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MarllyFaisulyZuluaga\Documents\INTERVENTORIA  POR GRUPOS\"/>
    </mc:Choice>
  </mc:AlternateContent>
  <xr:revisionPtr revIDLastSave="0" documentId="8_{1EB4B758-F225-4363-8A66-FCB3B8E692B9}" xr6:coauthVersionLast="47" xr6:coauthVersionMax="47" xr10:uidLastSave="{00000000-0000-0000-0000-000000000000}"/>
  <bookViews>
    <workbookView xWindow="-120" yWindow="-120" windowWidth="29040" windowHeight="15840" xr2:uid="{14BAF635-4895-42A8-AA21-6AC0EE53CE1E}"/>
  </bookViews>
  <sheets>
    <sheet name="PRESUPUESTO  LOTE 4" sheetId="7" r:id="rId1"/>
    <sheet name="ADMINISTRACION Y HONORARIOS" sheetId="9" state="hidden" r:id="rId2"/>
  </sheets>
  <externalReferences>
    <externalReference r:id="rId3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7" i="7" l="1"/>
  <c r="U7" i="7" s="1"/>
  <c r="V7" i="7"/>
  <c r="W7" i="7" s="1"/>
  <c r="X7" i="7"/>
  <c r="Y7" i="7" s="1"/>
  <c r="T8" i="7"/>
  <c r="U8" i="7"/>
  <c r="V8" i="7"/>
  <c r="W8" i="7" s="1"/>
  <c r="X8" i="7"/>
  <c r="Y8" i="7"/>
  <c r="T9" i="7"/>
  <c r="U9" i="7" s="1"/>
  <c r="V9" i="7"/>
  <c r="W9" i="7"/>
  <c r="X9" i="7"/>
  <c r="Y9" i="7" s="1"/>
  <c r="T10" i="7"/>
  <c r="U10" i="7" s="1"/>
  <c r="V10" i="7"/>
  <c r="W10" i="7" s="1"/>
  <c r="X10" i="7"/>
  <c r="Y10" i="7"/>
  <c r="T11" i="7"/>
  <c r="U11" i="7" s="1"/>
  <c r="V11" i="7"/>
  <c r="W11" i="7"/>
  <c r="X11" i="7"/>
  <c r="Y11" i="7" s="1"/>
  <c r="T12" i="7"/>
  <c r="U12" i="7" s="1"/>
  <c r="V12" i="7"/>
  <c r="W12" i="7" s="1"/>
  <c r="X12" i="7"/>
  <c r="Y12" i="7" s="1"/>
  <c r="T13" i="7"/>
  <c r="U13" i="7" s="1"/>
  <c r="V13" i="7"/>
  <c r="W13" i="7"/>
  <c r="X13" i="7"/>
  <c r="Y13" i="7" s="1"/>
  <c r="T14" i="7"/>
  <c r="U14" i="7"/>
  <c r="V14" i="7"/>
  <c r="W14" i="7" s="1"/>
  <c r="X14" i="7"/>
  <c r="Y14" i="7" s="1"/>
  <c r="T15" i="7"/>
  <c r="U15" i="7" s="1"/>
  <c r="V15" i="7"/>
  <c r="W15" i="7" s="1"/>
  <c r="X15" i="7"/>
  <c r="Y15" i="7" s="1"/>
  <c r="T16" i="7"/>
  <c r="U16" i="7"/>
  <c r="V16" i="7"/>
  <c r="W16" i="7" s="1"/>
  <c r="X16" i="7"/>
  <c r="Y16" i="7"/>
  <c r="T17" i="7"/>
  <c r="U17" i="7" s="1"/>
  <c r="V17" i="7"/>
  <c r="W17" i="7" s="1"/>
  <c r="X17" i="7"/>
  <c r="Y17" i="7" s="1"/>
  <c r="T18" i="7"/>
  <c r="U18" i="7" s="1"/>
  <c r="V18" i="7"/>
  <c r="W18" i="7" s="1"/>
  <c r="X18" i="7"/>
  <c r="Y18" i="7"/>
  <c r="T19" i="7"/>
  <c r="U19" i="7" s="1"/>
  <c r="V19" i="7"/>
  <c r="W19" i="7"/>
  <c r="X19" i="7"/>
  <c r="Y19" i="7" s="1"/>
  <c r="T20" i="7"/>
  <c r="U20" i="7" s="1"/>
  <c r="V20" i="7"/>
  <c r="W20" i="7" s="1"/>
  <c r="X20" i="7"/>
  <c r="Y20" i="7" s="1"/>
  <c r="X6" i="7"/>
  <c r="Y6" i="7" s="1"/>
  <c r="W6" i="7"/>
  <c r="V6" i="7"/>
  <c r="T6" i="7"/>
  <c r="U6" i="7" s="1"/>
  <c r="S7" i="7" l="1"/>
  <c r="S14" i="7"/>
  <c r="S8" i="7"/>
  <c r="S9" i="7"/>
  <c r="S10" i="7"/>
  <c r="S11" i="7"/>
  <c r="S12" i="7"/>
  <c r="S13" i="7"/>
  <c r="S6" i="7"/>
  <c r="S15" i="7" l="1"/>
  <c r="S17" i="7" s="1"/>
  <c r="S18" i="7" s="1"/>
  <c r="S19" i="7" s="1"/>
  <c r="S20" i="7" s="1"/>
  <c r="P13" i="7" l="1"/>
  <c r="K13" i="7"/>
  <c r="K14" i="7"/>
  <c r="Q13" i="7" l="1"/>
  <c r="J4" i="9"/>
  <c r="M4" i="9" l="1"/>
  <c r="L4" i="9"/>
  <c r="K4" i="9"/>
  <c r="P10" i="7" l="1"/>
  <c r="K10" i="7"/>
  <c r="P8" i="7"/>
  <c r="K8" i="7"/>
  <c r="Q8" i="7" s="1"/>
  <c r="Q10" i="7" l="1"/>
  <c r="P14" i="7" l="1"/>
  <c r="Q14" i="7"/>
  <c r="P12" i="7"/>
  <c r="K12" i="7"/>
  <c r="P11" i="7"/>
  <c r="K11" i="7"/>
  <c r="Q11" i="7" s="1"/>
  <c r="P9" i="7"/>
  <c r="K9" i="7"/>
  <c r="P7" i="7"/>
  <c r="K7" i="7"/>
  <c r="P6" i="7"/>
  <c r="K6" i="7"/>
  <c r="Q6" i="7" l="1"/>
  <c r="Q7" i="7"/>
  <c r="Q9" i="7"/>
  <c r="Q12" i="7"/>
  <c r="Q15" i="7" l="1"/>
  <c r="Q17" i="7" s="1"/>
  <c r="Q18" i="7" s="1"/>
  <c r="Q19" i="7" s="1"/>
  <c r="Q20" i="7" s="1"/>
</calcChain>
</file>

<file path=xl/sharedStrings.xml><?xml version="1.0" encoding="utf-8"?>
<sst xmlns="http://schemas.openxmlformats.org/spreadsheetml/2006/main" count="84" uniqueCount="65">
  <si>
    <t xml:space="preserve"> </t>
  </si>
  <si>
    <t>Item</t>
  </si>
  <si>
    <t># de profesionales</t>
  </si>
  <si>
    <t>Cargo</t>
  </si>
  <si>
    <t>Título Profesional</t>
  </si>
  <si>
    <t>Título de Posgrado</t>
  </si>
  <si>
    <t>Experiencia General
(años mínimos)</t>
  </si>
  <si>
    <t>Experiencia Específica
(años mínimos)</t>
  </si>
  <si>
    <t>% Dedicación</t>
  </si>
  <si>
    <t>Unidad</t>
  </si>
  <si>
    <t>Valor Base Mensual</t>
  </si>
  <si>
    <t>Total Valor Mensual</t>
  </si>
  <si>
    <t>Mes 1</t>
  </si>
  <si>
    <t>Mes 2</t>
  </si>
  <si>
    <t>Mes 3</t>
  </si>
  <si>
    <t>Mes 4</t>
  </si>
  <si>
    <t>Total Meses</t>
  </si>
  <si>
    <t>Valor Total</t>
  </si>
  <si>
    <t>Director de Interventoría, 25% ciudad Cali,  25% Ciudad Palmira
(CATEGORÍA 3)</t>
  </si>
  <si>
    <t>Ingeniero civil o Arquitecto</t>
  </si>
  <si>
    <t>Con especialización en gerencia de proyectos y/o especialización en dirección y gestión de proyectos y/o especialización en gerencia de obras</t>
  </si>
  <si>
    <t>mes</t>
  </si>
  <si>
    <t>Residente de Interventoría  Ciudad Palmira
(CATEGORÍA 5)</t>
  </si>
  <si>
    <t>N.A</t>
  </si>
  <si>
    <t>Residente de Interventoría  Ciudad Cali
(CATEGORÍA 5)</t>
  </si>
  <si>
    <t>Especialista: Ingeniero Electrico y/o Ingeniero Electromecánico, 25% ciudad Palmira, 25% ciudad Cali
(CATEGORÍA 4)</t>
  </si>
  <si>
    <t xml:space="preserve">Ingeniero Eléctrico y/o Electromecánico
</t>
  </si>
  <si>
    <t>Si el profesional es Ingeniero Eléctrico deberá contar con posgrado en Ingeniería mecánica</t>
  </si>
  <si>
    <t>Personal Seguridad y salud en el trabajo, 50% ciudad Palmira, 50% ciudad Cali
(CATEGORÍA 6)</t>
  </si>
  <si>
    <t xml:space="preserve">Tecnico y/tecnologo Seguridad y salud en el trabajo
</t>
  </si>
  <si>
    <t>Inspector de Interventoría, Ciudad Palmira
(CATEGORÍA 6)</t>
  </si>
  <si>
    <t xml:space="preserve">Maestro de obra (certificado por el COPNIA)
</t>
  </si>
  <si>
    <t>Inspector de Interventoría, Ciudad Cali
(CATEGORÍA 6)</t>
  </si>
  <si>
    <t>Profesional Administrativo: Abogado (Ciudades Palmira y Cali)
(CATEGORÍA 6)</t>
  </si>
  <si>
    <t xml:space="preserve">Abogado
</t>
  </si>
  <si>
    <t>Profesional Administrativo: Contador Público (Ciudades Palmira y Cali)
CATEGORÍA 6)</t>
  </si>
  <si>
    <t xml:space="preserve">Contador Público
</t>
  </si>
  <si>
    <t>TOTAL PERSONAL</t>
  </si>
  <si>
    <t>COSTOS INDIRECTOS</t>
  </si>
  <si>
    <t>ADMINISTRACIÓN Y HONORARIOS</t>
  </si>
  <si>
    <t>SUBTOTAL TOTAL PERSONAL + COSTOS INDIRECTOS</t>
  </si>
  <si>
    <t>IVA 19%</t>
  </si>
  <si>
    <t xml:space="preserve">VALOR TOTAL INTERVENTORIA </t>
  </si>
  <si>
    <t>LOTE 1- MANIZALES</t>
  </si>
  <si>
    <t>LOTE 2 - CARTAGENA</t>
  </si>
  <si>
    <t>LOTE 3 - REGIONAL ORIENTE</t>
  </si>
  <si>
    <t>LOTE 4 - PALMIRA</t>
  </si>
  <si>
    <t>LOTE 5 - PEREIRA</t>
  </si>
  <si>
    <t>LOTE 6 - MEDELLIN</t>
  </si>
  <si>
    <t>LOTE 7 - CALI</t>
  </si>
  <si>
    <t>LOTE 8 -BOGOTA</t>
  </si>
  <si>
    <t>PROMEDIO</t>
  </si>
  <si>
    <t>DESVIACION ESTANDAR</t>
  </si>
  <si>
    <t>COEFICIENTE DE VARIACIÓN</t>
  </si>
  <si>
    <t>MEDIA GEOMETRICA</t>
  </si>
  <si>
    <t>FORMATO DE OFERTA ECONÓMICA</t>
  </si>
  <si>
    <t>LOTE 4</t>
  </si>
  <si>
    <t xml:space="preserve">INFORMACIÓN PRESUPUESTO OFICIAL </t>
  </si>
  <si>
    <t>% estimado por la entidad</t>
  </si>
  <si>
    <t>Costos indirectos estimados por la entidad</t>
  </si>
  <si>
    <t>OFERTA ECONÓMICA</t>
  </si>
  <si>
    <t>Total Valor Mensual ofertado</t>
  </si>
  <si>
    <t xml:space="preserve">valor total  ofertado </t>
  </si>
  <si>
    <t xml:space="preserve">% ofertado costos indirectos </t>
  </si>
  <si>
    <t xml:space="preserve">costos indirectos ofertados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</si>
</sst>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\ &quot;años&quot;"/>
  </numFmts>
  <fonts count="9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6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6" xfId="0" applyFont="1" applyBorder="1"/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horizontal="center"/>
    </xf>
    <xf numFmtId="0" fontId="0" fillId="0" borderId="10" xfId="0" applyBorder="1"/>
    <xf numFmtId="10" fontId="0" fillId="0" borderId="10" xfId="1" applyNumberFormat="1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4" fillId="3" borderId="0" xfId="0" applyFont="1" applyFill="1" applyAlignment="1">
      <alignment vertical="center" wrapText="1"/>
    </xf>
    <xf numFmtId="0" fontId="5" fillId="3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justify" vertical="center" wrapText="1"/>
    </xf>
    <xf numFmtId="164" fontId="3" fillId="3" borderId="1" xfId="0" applyNumberFormat="1" applyFont="1" applyFill="1" applyBorder="1" applyAlignment="1">
      <alignment horizontal="center" vertical="center"/>
    </xf>
    <xf numFmtId="9" fontId="3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4" fillId="3" borderId="1" xfId="0" applyFont="1" applyFill="1" applyBorder="1" applyAlignment="1">
      <alignment horizontal="left" vertical="center" wrapText="1"/>
    </xf>
    <xf numFmtId="3" fontId="2" fillId="3" borderId="1" xfId="0" applyNumberFormat="1" applyFont="1" applyFill="1" applyBorder="1" applyAlignment="1">
      <alignment horizontal="right" vertical="center" wrapText="1"/>
    </xf>
    <xf numFmtId="0" fontId="6" fillId="3" borderId="0" xfId="0" applyFont="1" applyFill="1"/>
    <xf numFmtId="9" fontId="4" fillId="3" borderId="1" xfId="1" applyFont="1" applyFill="1" applyBorder="1" applyAlignment="1">
      <alignment horizontal="center" vertical="center" wrapText="1"/>
    </xf>
    <xf numFmtId="0" fontId="6" fillId="3" borderId="3" xfId="0" applyFont="1" applyFill="1" applyBorder="1"/>
    <xf numFmtId="0" fontId="6" fillId="3" borderId="4" xfId="0" applyFont="1" applyFill="1" applyBorder="1"/>
    <xf numFmtId="3" fontId="6" fillId="3" borderId="3" xfId="0" applyNumberFormat="1" applyFont="1" applyFill="1" applyBorder="1"/>
    <xf numFmtId="3" fontId="2" fillId="2" borderId="1" xfId="0" applyNumberFormat="1" applyFont="1" applyFill="1" applyBorder="1" applyAlignment="1">
      <alignment horizontal="right" vertical="center" wrapText="1"/>
    </xf>
    <xf numFmtId="0" fontId="6" fillId="2" borderId="3" xfId="0" applyFont="1" applyFill="1" applyBorder="1"/>
    <xf numFmtId="0" fontId="6" fillId="2" borderId="4" xfId="0" applyFont="1" applyFill="1" applyBorder="1"/>
    <xf numFmtId="0" fontId="4" fillId="2" borderId="4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43" fontId="1" fillId="3" borderId="1" xfId="2" applyFont="1" applyFill="1" applyBorder="1" applyAlignment="1">
      <alignment vertical="center"/>
    </xf>
    <xf numFmtId="3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left" vertical="center" wrapText="1"/>
    </xf>
    <xf numFmtId="9" fontId="2" fillId="5" borderId="1" xfId="1" applyFont="1" applyFill="1" applyBorder="1" applyAlignment="1">
      <alignment horizontal="right" vertical="center" wrapText="1"/>
    </xf>
    <xf numFmtId="43" fontId="2" fillId="3" borderId="1" xfId="2" applyFont="1" applyFill="1" applyBorder="1" applyAlignment="1">
      <alignment horizontal="right" vertical="center" wrapText="1"/>
    </xf>
    <xf numFmtId="43" fontId="2" fillId="4" borderId="1" xfId="2" applyFont="1" applyFill="1" applyBorder="1" applyAlignment="1">
      <alignment horizontal="right" vertical="center" wrapText="1"/>
    </xf>
    <xf numFmtId="43" fontId="1" fillId="3" borderId="1" xfId="2" applyFont="1" applyFill="1" applyBorder="1" applyAlignment="1">
      <alignment horizontal="right" vertical="center" wrapText="1"/>
    </xf>
    <xf numFmtId="4" fontId="2" fillId="4" borderId="1" xfId="0" applyNumberFormat="1" applyFont="1" applyFill="1" applyBorder="1" applyAlignment="1">
      <alignment horizontal="right" vertical="center" wrapText="1"/>
    </xf>
    <xf numFmtId="3" fontId="1" fillId="4" borderId="1" xfId="0" applyNumberFormat="1" applyFont="1" applyFill="1" applyBorder="1" applyAlignment="1">
      <alignment horizontal="right" vertical="center" wrapText="1"/>
    </xf>
    <xf numFmtId="3" fontId="2" fillId="4" borderId="13" xfId="0" applyNumberFormat="1" applyFont="1" applyFill="1" applyBorder="1" applyAlignment="1">
      <alignment horizontal="center" vertical="center" wrapText="1"/>
    </xf>
    <xf numFmtId="3" fontId="2" fillId="4" borderId="14" xfId="0" applyNumberFormat="1" applyFont="1" applyFill="1" applyBorder="1" applyAlignment="1">
      <alignment horizontal="center" vertical="center" wrapText="1"/>
    </xf>
    <xf numFmtId="3" fontId="2" fillId="4" borderId="15" xfId="0" applyNumberFormat="1" applyFont="1" applyFill="1" applyBorder="1" applyAlignment="1">
      <alignment horizontal="center" vertical="center" wrapText="1"/>
    </xf>
    <xf numFmtId="9" fontId="6" fillId="3" borderId="4" xfId="0" applyNumberFormat="1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justify" vertical="top" wrapText="1"/>
    </xf>
    <xf numFmtId="0" fontId="3" fillId="3" borderId="1" xfId="0" applyFont="1" applyFill="1" applyBorder="1" applyAlignment="1">
      <alignment horizontal="justify" vertical="top" wrapText="1"/>
    </xf>
    <xf numFmtId="0" fontId="5" fillId="3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center" vertical="center" wrapText="1"/>
    </xf>
    <xf numFmtId="0" fontId="5" fillId="2" borderId="1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/>
    </xf>
    <xf numFmtId="0" fontId="8" fillId="0" borderId="0" xfId="0" applyFont="1" applyAlignment="1">
      <alignment horizontal="center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s://medicinalegalgovco-my.sharepoint.com/personal/caterin_garzon_medicinalegal_gov_co/Documents/1.%20GNGC/2025/2.%20REVISIONES/4.%20LP/2.%20INFRAESTRUCTURA/2.%20INTERVENTORIA%20DE%20OBRA/PRESUPUESTOS%20DEFINITIVOS/FORMULARIO%20PRESUPUESTO%20INTERVENTORiA%20LOTE%204%20PALMIRA%20Y%20CALI%202.xlsx?4F12B187" TargetMode="External"/><Relationship Id="rId1" Type="http://schemas.openxmlformats.org/officeDocument/2006/relationships/externalLinkPath" Target="file:///\\4F12B187\FORMULARIO%20PRESUPUESTO%20INTERVENTORiA%20LOTE%204%20PALMIRA%20Y%20CALI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 LOTE 4"/>
      <sheetName val="ADMINISTRACION Y HONORARIOS"/>
    </sheetNames>
    <sheetDataSet>
      <sheetData sheetId="0">
        <row r="6">
          <cell r="A6">
            <v>1</v>
          </cell>
          <cell r="B6">
            <v>1</v>
          </cell>
          <cell r="C6" t="str">
            <v>Director de Interventoría, 25% ciudad Cali,  25% Ciudad Palmira
(CATEGORÍA 3)</v>
          </cell>
          <cell r="D6" t="str">
            <v>Ingeniero civil o Arquitecto</v>
          </cell>
          <cell r="E6" t="str">
            <v>Con especialización en gerencia de proyectos y/o especialización en dirección y gestión de proyectos y/o especialización en gerencia de obras</v>
          </cell>
          <cell r="F6">
            <v>8</v>
          </cell>
          <cell r="G6">
            <v>3</v>
          </cell>
          <cell r="H6">
            <v>0.5</v>
          </cell>
          <cell r="I6" t="str">
            <v>mes</v>
          </cell>
          <cell r="J6">
            <v>10925304</v>
          </cell>
          <cell r="K6">
            <v>5462652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4</v>
          </cell>
          <cell r="Q6">
            <v>21850608</v>
          </cell>
        </row>
        <row r="7">
          <cell r="A7">
            <v>2</v>
          </cell>
          <cell r="B7">
            <v>1</v>
          </cell>
          <cell r="C7" t="str">
            <v>Residente de Interventoría  Ciudad Palmira
(CATEGORÍA 5)</v>
          </cell>
          <cell r="D7" t="str">
            <v>Ingeniero civil o Arquitecto</v>
          </cell>
          <cell r="E7" t="str">
            <v>N.A</v>
          </cell>
          <cell r="F7">
            <v>4</v>
          </cell>
          <cell r="G7">
            <v>2</v>
          </cell>
          <cell r="H7">
            <v>1</v>
          </cell>
          <cell r="I7" t="str">
            <v>mes</v>
          </cell>
          <cell r="J7">
            <v>7431023</v>
          </cell>
          <cell r="K7">
            <v>7431023</v>
          </cell>
          <cell r="L7">
            <v>1</v>
          </cell>
          <cell r="M7">
            <v>1</v>
          </cell>
          <cell r="N7">
            <v>1</v>
          </cell>
          <cell r="O7">
            <v>1</v>
          </cell>
          <cell r="P7">
            <v>4</v>
          </cell>
          <cell r="Q7">
            <v>29724092</v>
          </cell>
        </row>
        <row r="8">
          <cell r="A8">
            <v>3</v>
          </cell>
          <cell r="B8">
            <v>1</v>
          </cell>
          <cell r="C8" t="str">
            <v>Residente de Interventoría  Ciudad Cali
(CATEGORÍA 5)</v>
          </cell>
          <cell r="D8" t="str">
            <v>Ingeniero civil o Arquitecto</v>
          </cell>
          <cell r="E8" t="str">
            <v>N.A</v>
          </cell>
          <cell r="F8">
            <v>4</v>
          </cell>
          <cell r="G8">
            <v>2</v>
          </cell>
          <cell r="H8">
            <v>1</v>
          </cell>
          <cell r="I8" t="str">
            <v>mes</v>
          </cell>
          <cell r="J8">
            <v>7431023</v>
          </cell>
          <cell r="K8">
            <v>7431023</v>
          </cell>
          <cell r="L8">
            <v>1</v>
          </cell>
          <cell r="M8">
            <v>1</v>
          </cell>
          <cell r="N8">
            <v>1</v>
          </cell>
          <cell r="O8">
            <v>1</v>
          </cell>
          <cell r="P8">
            <v>4</v>
          </cell>
          <cell r="Q8">
            <v>29724092</v>
          </cell>
        </row>
        <row r="9">
          <cell r="A9">
            <v>4</v>
          </cell>
          <cell r="B9">
            <v>1</v>
          </cell>
          <cell r="C9" t="str">
            <v>Especialista: Ingeniero Electrico y/o Ingeniero Electromecánico, 25% ciudad Palmira, 25% ciudad Cali
(CATEGORÍA 4)</v>
          </cell>
          <cell r="D9" t="str">
            <v xml:space="preserve">Ingeniero Eléctrico y/o Electromecánico
</v>
          </cell>
          <cell r="E9" t="str">
            <v>Si el profesional es Ingeniero Eléctrico deberá contar con posgrado en Ingeniería mecánica</v>
          </cell>
          <cell r="F9">
            <v>6</v>
          </cell>
          <cell r="G9">
            <v>2</v>
          </cell>
          <cell r="H9">
            <v>0.5</v>
          </cell>
          <cell r="I9" t="str">
            <v>mes</v>
          </cell>
          <cell r="J9">
            <v>9208472</v>
          </cell>
          <cell r="K9">
            <v>4604236</v>
          </cell>
          <cell r="L9">
            <v>1</v>
          </cell>
          <cell r="M9">
            <v>1</v>
          </cell>
          <cell r="N9">
            <v>1</v>
          </cell>
          <cell r="O9">
            <v>1</v>
          </cell>
          <cell r="P9">
            <v>4</v>
          </cell>
          <cell r="Q9">
            <v>18416944</v>
          </cell>
        </row>
        <row r="10">
          <cell r="A10">
            <v>5</v>
          </cell>
          <cell r="B10">
            <v>1</v>
          </cell>
          <cell r="C10" t="str">
            <v>Personal Seguridad y salud en el trabajo, 50% ciudad Palmira, 50% ciudad Cali
(CATEGORÍA 6)</v>
          </cell>
          <cell r="D10" t="str">
            <v xml:space="preserve">Tecnico y/tecnologo Seguridad y salud en el trabajo
</v>
          </cell>
          <cell r="E10" t="str">
            <v>N.A</v>
          </cell>
          <cell r="F10">
            <v>2</v>
          </cell>
          <cell r="G10">
            <v>1</v>
          </cell>
          <cell r="H10">
            <v>1</v>
          </cell>
          <cell r="I10" t="str">
            <v>mes</v>
          </cell>
          <cell r="J10">
            <v>5075370</v>
          </cell>
          <cell r="K10">
            <v>5075370</v>
          </cell>
          <cell r="L10">
            <v>1</v>
          </cell>
          <cell r="M10">
            <v>1</v>
          </cell>
          <cell r="N10">
            <v>1</v>
          </cell>
          <cell r="O10">
            <v>1</v>
          </cell>
          <cell r="P10">
            <v>4</v>
          </cell>
          <cell r="Q10">
            <v>20301480</v>
          </cell>
        </row>
        <row r="11">
          <cell r="A11">
            <v>6</v>
          </cell>
          <cell r="B11">
            <v>1</v>
          </cell>
          <cell r="C11" t="str">
            <v>Inspector de Interventoría, Ciudad Palmira
(CATEGORÍA 6)</v>
          </cell>
          <cell r="D11" t="str">
            <v xml:space="preserve">Maestro de obra (certificado por el COPNIA)
</v>
          </cell>
          <cell r="E11" t="str">
            <v>N.A</v>
          </cell>
          <cell r="F11">
            <v>2</v>
          </cell>
          <cell r="G11">
            <v>1</v>
          </cell>
          <cell r="H11">
            <v>1</v>
          </cell>
          <cell r="I11" t="str">
            <v>mes</v>
          </cell>
          <cell r="J11">
            <v>5075370</v>
          </cell>
          <cell r="K11">
            <v>5075370</v>
          </cell>
          <cell r="L11">
            <v>1</v>
          </cell>
          <cell r="M11">
            <v>1</v>
          </cell>
          <cell r="N11">
            <v>1</v>
          </cell>
          <cell r="O11">
            <v>1</v>
          </cell>
          <cell r="P11">
            <v>4</v>
          </cell>
          <cell r="Q11">
            <v>20301480</v>
          </cell>
        </row>
        <row r="12">
          <cell r="A12">
            <v>7</v>
          </cell>
          <cell r="B12">
            <v>1</v>
          </cell>
          <cell r="C12" t="str">
            <v>Inspector de Interventoría, Ciudad Cali
(CATEGORÍA 6)</v>
          </cell>
          <cell r="D12" t="str">
            <v xml:space="preserve">Maestro de obra (certificado por el COPNIA)
</v>
          </cell>
          <cell r="E12" t="str">
            <v>N.A</v>
          </cell>
          <cell r="F12">
            <v>2</v>
          </cell>
          <cell r="G12">
            <v>1</v>
          </cell>
          <cell r="H12">
            <v>1</v>
          </cell>
          <cell r="I12" t="str">
            <v>mes</v>
          </cell>
          <cell r="J12">
            <v>5075370</v>
          </cell>
          <cell r="K12">
            <v>5075370</v>
          </cell>
          <cell r="L12">
            <v>1</v>
          </cell>
          <cell r="M12">
            <v>1</v>
          </cell>
          <cell r="N12">
            <v>1</v>
          </cell>
          <cell r="O12">
            <v>1</v>
          </cell>
          <cell r="P12">
            <v>4</v>
          </cell>
          <cell r="Q12">
            <v>20301480</v>
          </cell>
        </row>
        <row r="13">
          <cell r="A13">
            <v>8</v>
          </cell>
          <cell r="B13">
            <v>1</v>
          </cell>
          <cell r="C13" t="str">
            <v>Profesional Administrativo: Abogado (Ciudades Palmira y Cali)
(CATEGORÍA 6)</v>
          </cell>
          <cell r="D13" t="str">
            <v xml:space="preserve">Abogado
</v>
          </cell>
          <cell r="E13" t="str">
            <v>N.A</v>
          </cell>
          <cell r="F13">
            <v>2</v>
          </cell>
          <cell r="G13">
            <v>1</v>
          </cell>
          <cell r="H13">
            <v>0.2</v>
          </cell>
          <cell r="I13" t="str">
            <v>mes</v>
          </cell>
          <cell r="J13">
            <v>6360272</v>
          </cell>
          <cell r="K13">
            <v>1272054</v>
          </cell>
          <cell r="L13">
            <v>1</v>
          </cell>
          <cell r="M13">
            <v>1</v>
          </cell>
          <cell r="N13">
            <v>1</v>
          </cell>
          <cell r="O13">
            <v>1</v>
          </cell>
          <cell r="P13">
            <v>4</v>
          </cell>
          <cell r="Q13">
            <v>5088216</v>
          </cell>
        </row>
        <row r="14">
          <cell r="A14">
            <v>9</v>
          </cell>
          <cell r="B14">
            <v>1</v>
          </cell>
          <cell r="C14" t="str">
            <v>Profesional Administrativo: Contador Público (Ciudades Palmira y Cali)
CATEGORÍA 6)</v>
          </cell>
          <cell r="D14" t="str">
            <v xml:space="preserve">Contador Público
</v>
          </cell>
          <cell r="E14" t="str">
            <v>N.A</v>
          </cell>
          <cell r="F14">
            <v>2</v>
          </cell>
          <cell r="G14">
            <v>1</v>
          </cell>
          <cell r="H14">
            <v>0.2</v>
          </cell>
          <cell r="I14" t="str">
            <v>mes</v>
          </cell>
          <cell r="J14">
            <v>6360272</v>
          </cell>
          <cell r="K14">
            <v>1272054</v>
          </cell>
          <cell r="L14">
            <v>1</v>
          </cell>
          <cell r="M14">
            <v>1</v>
          </cell>
          <cell r="N14">
            <v>1</v>
          </cell>
          <cell r="O14">
            <v>1</v>
          </cell>
          <cell r="P14">
            <v>4</v>
          </cell>
          <cell r="Q14">
            <v>5088216</v>
          </cell>
        </row>
        <row r="15">
          <cell r="A15" t="str">
            <v>TOTAL PERSONAL</v>
          </cell>
          <cell r="Q15">
            <v>170796608</v>
          </cell>
        </row>
        <row r="16">
          <cell r="A16" t="str">
            <v>COSTOS INDIRECTOS</v>
          </cell>
          <cell r="Q16" t="str">
            <v xml:space="preserve"> </v>
          </cell>
        </row>
        <row r="17">
          <cell r="A17" t="str">
            <v>ADMINISTRACIÓN Y HONORARIOS</v>
          </cell>
          <cell r="D17">
            <v>0.33</v>
          </cell>
          <cell r="Q17">
            <v>56362881</v>
          </cell>
        </row>
        <row r="18">
          <cell r="A18" t="str">
            <v>SUBTOTAL TOTAL PERSONAL + COSTOS INDIRECTOS</v>
          </cell>
          <cell r="Q18">
            <v>227159489</v>
          </cell>
        </row>
        <row r="19">
          <cell r="A19" t="str">
            <v>IVA 19%</v>
          </cell>
          <cell r="Q19">
            <v>43160303</v>
          </cell>
        </row>
        <row r="20">
          <cell r="A20" t="str">
            <v xml:space="preserve">VALOR TOTAL INTERVENTORIA </v>
          </cell>
          <cell r="Q20">
            <v>270319792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D8A0F-D0E8-B547-B414-A9325A529C53}">
  <dimension ref="A1:Y22"/>
  <sheetViews>
    <sheetView tabSelected="1" topLeftCell="A13" zoomScaleNormal="100" workbookViewId="0">
      <selection activeCell="C14" sqref="C14"/>
    </sheetView>
  </sheetViews>
  <sheetFormatPr baseColWidth="10" defaultColWidth="11.375" defaultRowHeight="12.75"/>
  <cols>
    <col min="1" max="1" width="9.375" style="13" bestFit="1" customWidth="1"/>
    <col min="2" max="2" width="13.125" style="13" customWidth="1"/>
    <col min="3" max="3" width="46.25" style="13" customWidth="1"/>
    <col min="4" max="4" width="32.875" style="13" hidden="1" customWidth="1"/>
    <col min="5" max="5" width="36.625" style="13" hidden="1" customWidth="1"/>
    <col min="6" max="6" width="16" style="13" hidden="1" customWidth="1"/>
    <col min="7" max="7" width="15.625" style="13" hidden="1" customWidth="1"/>
    <col min="8" max="8" width="15" style="13" hidden="1" customWidth="1"/>
    <col min="9" max="9" width="7.375" style="13" hidden="1" customWidth="1"/>
    <col min="10" max="10" width="11.375" style="13" hidden="1" customWidth="1"/>
    <col min="11" max="11" width="11.375" style="13" customWidth="1"/>
    <col min="12" max="13" width="11.375" style="13" hidden="1" customWidth="1"/>
    <col min="14" max="15" width="0" style="13" hidden="1" customWidth="1"/>
    <col min="16" max="16" width="7.125" style="13" customWidth="1"/>
    <col min="17" max="17" width="20.625" style="13" customWidth="1"/>
    <col min="18" max="19" width="19.5" style="13" customWidth="1"/>
    <col min="20" max="20" width="0" style="13" hidden="1" customWidth="1"/>
    <col min="21" max="21" width="12.875" style="13" hidden="1" customWidth="1"/>
    <col min="22" max="22" width="0" style="13" hidden="1" customWidth="1"/>
    <col min="23" max="23" width="12.875" style="13" hidden="1" customWidth="1"/>
    <col min="24" max="24" width="0" style="13" hidden="1" customWidth="1"/>
    <col min="25" max="25" width="12.875" style="13" hidden="1" customWidth="1"/>
    <col min="26" max="16384" width="11.375" style="13"/>
  </cols>
  <sheetData>
    <row r="1" spans="1:25" ht="16.899999999999999" customHeight="1"/>
    <row r="2" spans="1:25">
      <c r="A2" s="12" t="s">
        <v>0</v>
      </c>
      <c r="B2" s="62" t="s">
        <v>55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</row>
    <row r="3" spans="1:25">
      <c r="A3" s="12"/>
      <c r="B3" s="62" t="s">
        <v>56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</row>
    <row r="4" spans="1:25">
      <c r="K4" s="63" t="s">
        <v>57</v>
      </c>
      <c r="L4" s="63"/>
      <c r="M4" s="63"/>
      <c r="N4" s="63"/>
      <c r="O4" s="63"/>
      <c r="P4" s="63"/>
      <c r="Q4" s="63"/>
      <c r="R4" s="67" t="s">
        <v>60</v>
      </c>
      <c r="S4" s="67"/>
    </row>
    <row r="5" spans="1:25" s="15" customFormat="1" ht="38.25">
      <c r="A5" s="1" t="s">
        <v>1</v>
      </c>
      <c r="B5" s="1" t="s">
        <v>2</v>
      </c>
      <c r="C5" s="1" t="s">
        <v>3</v>
      </c>
      <c r="D5" s="14" t="s">
        <v>4</v>
      </c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" t="s">
        <v>11</v>
      </c>
      <c r="L5" s="1" t="s">
        <v>12</v>
      </c>
      <c r="M5" s="1" t="s">
        <v>13</v>
      </c>
      <c r="N5" s="1" t="s">
        <v>14</v>
      </c>
      <c r="O5" s="1" t="s">
        <v>15</v>
      </c>
      <c r="P5" s="1" t="s">
        <v>16</v>
      </c>
      <c r="Q5" s="1" t="s">
        <v>17</v>
      </c>
      <c r="R5" s="36" t="s">
        <v>61</v>
      </c>
      <c r="S5" s="36" t="s">
        <v>62</v>
      </c>
    </row>
    <row r="6" spans="1:25" s="24" customFormat="1" ht="59.45" customHeight="1">
      <c r="A6" s="16">
        <v>1</v>
      </c>
      <c r="B6" s="17">
        <v>1</v>
      </c>
      <c r="C6" s="18" t="s">
        <v>18</v>
      </c>
      <c r="D6" s="18" t="s">
        <v>19</v>
      </c>
      <c r="E6" s="18" t="s">
        <v>20</v>
      </c>
      <c r="F6" s="19">
        <v>8</v>
      </c>
      <c r="G6" s="19">
        <v>3</v>
      </c>
      <c r="H6" s="20">
        <v>0.5</v>
      </c>
      <c r="I6" s="21" t="s">
        <v>21</v>
      </c>
      <c r="J6" s="22">
        <v>10925304</v>
      </c>
      <c r="K6" s="22">
        <f t="shared" ref="K6:K14" si="0">ROUND((J6*H6),0)</f>
        <v>5462652</v>
      </c>
      <c r="L6" s="23">
        <v>1</v>
      </c>
      <c r="M6" s="23">
        <v>1</v>
      </c>
      <c r="N6" s="23">
        <v>1</v>
      </c>
      <c r="O6" s="23">
        <v>1</v>
      </c>
      <c r="P6" s="23">
        <f t="shared" ref="P6:P14" si="1">SUM(L6:O6)</f>
        <v>4</v>
      </c>
      <c r="Q6" s="22">
        <f t="shared" ref="Q6:Q14" si="2">+K6*P6</f>
        <v>21850608</v>
      </c>
      <c r="R6" s="22"/>
      <c r="S6" s="37">
        <f>+R6*P6</f>
        <v>0</v>
      </c>
      <c r="T6" s="24" t="str">
        <f>+VLOOKUP(A6,'[1]PRESUPUESTO  LOTE 4'!$A$6:$Q$20,3,FALSE)</f>
        <v>Director de Interventoría, 25% ciudad Cali,  25% Ciudad Palmira
(CATEGORÍA 3)</v>
      </c>
      <c r="U6" s="24" t="b">
        <f>+C6=T6</f>
        <v>1</v>
      </c>
      <c r="V6" s="24">
        <f>+VLOOKUP(A6,'[1]PRESUPUESTO  LOTE 4'!$A$6:$Q$20,11,FALSE)</f>
        <v>5462652</v>
      </c>
      <c r="W6" s="24" t="b">
        <f>++V6=K6</f>
        <v>1</v>
      </c>
      <c r="X6" s="24">
        <f>+VLOOKUP(A6,'[1]PRESUPUESTO  LOTE 4'!$A$6:$Q$20,17,FALSE)</f>
        <v>21850608</v>
      </c>
      <c r="Y6" s="24" t="b">
        <f>+X6=Q6</f>
        <v>1</v>
      </c>
    </row>
    <row r="7" spans="1:25" s="24" customFormat="1" ht="59.45" customHeight="1">
      <c r="A7" s="16">
        <v>2</v>
      </c>
      <c r="B7" s="17">
        <v>1</v>
      </c>
      <c r="C7" s="18" t="s">
        <v>22</v>
      </c>
      <c r="D7" s="18" t="s">
        <v>19</v>
      </c>
      <c r="E7" s="18" t="s">
        <v>23</v>
      </c>
      <c r="F7" s="19">
        <v>4</v>
      </c>
      <c r="G7" s="19">
        <v>2</v>
      </c>
      <c r="H7" s="20">
        <v>1</v>
      </c>
      <c r="I7" s="21" t="s">
        <v>21</v>
      </c>
      <c r="J7" s="22">
        <v>7431023</v>
      </c>
      <c r="K7" s="22">
        <f t="shared" si="0"/>
        <v>7431023</v>
      </c>
      <c r="L7" s="23">
        <v>1</v>
      </c>
      <c r="M7" s="23">
        <v>1</v>
      </c>
      <c r="N7" s="23">
        <v>1</v>
      </c>
      <c r="O7" s="23">
        <v>1</v>
      </c>
      <c r="P7" s="23">
        <f t="shared" si="1"/>
        <v>4</v>
      </c>
      <c r="Q7" s="22">
        <f t="shared" si="2"/>
        <v>29724092</v>
      </c>
      <c r="R7" s="22"/>
      <c r="S7" s="37">
        <f t="shared" ref="S7:S14" si="3">+R7*P7</f>
        <v>0</v>
      </c>
      <c r="T7" s="24" t="str">
        <f>+VLOOKUP(A7,'[1]PRESUPUESTO  LOTE 4'!$A$6:$Q$20,3,FALSE)</f>
        <v>Residente de Interventoría  Ciudad Palmira
(CATEGORÍA 5)</v>
      </c>
      <c r="U7" s="24" t="b">
        <f t="shared" ref="U7:U20" si="4">+C7=T7</f>
        <v>1</v>
      </c>
      <c r="V7" s="24">
        <f>+VLOOKUP(A7,'[1]PRESUPUESTO  LOTE 4'!$A$6:$Q$20,11,FALSE)</f>
        <v>7431023</v>
      </c>
      <c r="W7" s="24" t="b">
        <f t="shared" ref="W7:W20" si="5">++V7=K7</f>
        <v>1</v>
      </c>
      <c r="X7" s="24">
        <f>+VLOOKUP(A7,'[1]PRESUPUESTO  LOTE 4'!$A$6:$Q$20,17,FALSE)</f>
        <v>29724092</v>
      </c>
      <c r="Y7" s="24" t="b">
        <f t="shared" ref="Y7:Y20" si="6">+X7=Q7</f>
        <v>1</v>
      </c>
    </row>
    <row r="8" spans="1:25" s="24" customFormat="1" ht="59.45" customHeight="1">
      <c r="A8" s="16">
        <v>3</v>
      </c>
      <c r="B8" s="17">
        <v>1</v>
      </c>
      <c r="C8" s="18" t="s">
        <v>24</v>
      </c>
      <c r="D8" s="18" t="s">
        <v>19</v>
      </c>
      <c r="E8" s="18" t="s">
        <v>23</v>
      </c>
      <c r="F8" s="19">
        <v>4</v>
      </c>
      <c r="G8" s="19">
        <v>2</v>
      </c>
      <c r="H8" s="20">
        <v>1</v>
      </c>
      <c r="I8" s="21" t="s">
        <v>21</v>
      </c>
      <c r="J8" s="22">
        <v>7431023</v>
      </c>
      <c r="K8" s="22">
        <f t="shared" si="0"/>
        <v>7431023</v>
      </c>
      <c r="L8" s="23">
        <v>1</v>
      </c>
      <c r="M8" s="23">
        <v>1</v>
      </c>
      <c r="N8" s="23">
        <v>1</v>
      </c>
      <c r="O8" s="23">
        <v>1</v>
      </c>
      <c r="P8" s="23">
        <f t="shared" ref="P8" si="7">SUM(L8:O8)</f>
        <v>4</v>
      </c>
      <c r="Q8" s="22">
        <f t="shared" ref="Q8" si="8">+K8*P8</f>
        <v>29724092</v>
      </c>
      <c r="R8" s="22"/>
      <c r="S8" s="37">
        <f t="shared" si="3"/>
        <v>0</v>
      </c>
      <c r="T8" s="24" t="str">
        <f>+VLOOKUP(A8,'[1]PRESUPUESTO  LOTE 4'!$A$6:$Q$20,3,FALSE)</f>
        <v>Residente de Interventoría  Ciudad Cali
(CATEGORÍA 5)</v>
      </c>
      <c r="U8" s="24" t="b">
        <f t="shared" si="4"/>
        <v>1</v>
      </c>
      <c r="V8" s="24">
        <f>+VLOOKUP(A8,'[1]PRESUPUESTO  LOTE 4'!$A$6:$Q$20,11,FALSE)</f>
        <v>7431023</v>
      </c>
      <c r="W8" s="24" t="b">
        <f t="shared" si="5"/>
        <v>1</v>
      </c>
      <c r="X8" s="24">
        <f>+VLOOKUP(A8,'[1]PRESUPUESTO  LOTE 4'!$A$6:$Q$20,17,FALSE)</f>
        <v>29724092</v>
      </c>
      <c r="Y8" s="24" t="b">
        <f t="shared" si="6"/>
        <v>1</v>
      </c>
    </row>
    <row r="9" spans="1:25" s="24" customFormat="1" ht="59.45" customHeight="1">
      <c r="A9" s="16">
        <v>4</v>
      </c>
      <c r="B9" s="17">
        <v>1</v>
      </c>
      <c r="C9" s="18" t="s">
        <v>25</v>
      </c>
      <c r="D9" s="18" t="s">
        <v>26</v>
      </c>
      <c r="E9" s="18" t="s">
        <v>27</v>
      </c>
      <c r="F9" s="19">
        <v>6</v>
      </c>
      <c r="G9" s="19">
        <v>2</v>
      </c>
      <c r="H9" s="20">
        <v>0.5</v>
      </c>
      <c r="I9" s="21" t="s">
        <v>21</v>
      </c>
      <c r="J9" s="22">
        <v>9208472</v>
      </c>
      <c r="K9" s="22">
        <f t="shared" si="0"/>
        <v>4604236</v>
      </c>
      <c r="L9" s="23">
        <v>1</v>
      </c>
      <c r="M9" s="23">
        <v>1</v>
      </c>
      <c r="N9" s="23">
        <v>1</v>
      </c>
      <c r="O9" s="23">
        <v>1</v>
      </c>
      <c r="P9" s="23">
        <f t="shared" si="1"/>
        <v>4</v>
      </c>
      <c r="Q9" s="22">
        <f t="shared" si="2"/>
        <v>18416944</v>
      </c>
      <c r="R9" s="22"/>
      <c r="S9" s="37">
        <f t="shared" si="3"/>
        <v>0</v>
      </c>
      <c r="T9" s="24" t="str">
        <f>+VLOOKUP(A9,'[1]PRESUPUESTO  LOTE 4'!$A$6:$Q$20,3,FALSE)</f>
        <v>Especialista: Ingeniero Electrico y/o Ingeniero Electromecánico, 25% ciudad Palmira, 25% ciudad Cali
(CATEGORÍA 4)</v>
      </c>
      <c r="U9" s="24" t="b">
        <f t="shared" si="4"/>
        <v>1</v>
      </c>
      <c r="V9" s="24">
        <f>+VLOOKUP(A9,'[1]PRESUPUESTO  LOTE 4'!$A$6:$Q$20,11,FALSE)</f>
        <v>4604236</v>
      </c>
      <c r="W9" s="24" t="b">
        <f t="shared" si="5"/>
        <v>1</v>
      </c>
      <c r="X9" s="24">
        <f>+VLOOKUP(A9,'[1]PRESUPUESTO  LOTE 4'!$A$6:$Q$20,17,FALSE)</f>
        <v>18416944</v>
      </c>
      <c r="Y9" s="24" t="b">
        <f t="shared" si="6"/>
        <v>1</v>
      </c>
    </row>
    <row r="10" spans="1:25" s="24" customFormat="1" ht="59.45" customHeight="1">
      <c r="A10" s="16">
        <v>5</v>
      </c>
      <c r="B10" s="17">
        <v>1</v>
      </c>
      <c r="C10" s="18" t="s">
        <v>28</v>
      </c>
      <c r="D10" s="18" t="s">
        <v>29</v>
      </c>
      <c r="E10" s="18" t="s">
        <v>23</v>
      </c>
      <c r="F10" s="19">
        <v>2</v>
      </c>
      <c r="G10" s="19">
        <v>1</v>
      </c>
      <c r="H10" s="20">
        <v>1</v>
      </c>
      <c r="I10" s="21" t="s">
        <v>21</v>
      </c>
      <c r="J10" s="22">
        <v>5075370</v>
      </c>
      <c r="K10" s="22">
        <f t="shared" si="0"/>
        <v>5075370</v>
      </c>
      <c r="L10" s="23">
        <v>1</v>
      </c>
      <c r="M10" s="23">
        <v>1</v>
      </c>
      <c r="N10" s="23">
        <v>1</v>
      </c>
      <c r="O10" s="23">
        <v>1</v>
      </c>
      <c r="P10" s="23">
        <f t="shared" ref="P10" si="9">SUM(L10:O10)</f>
        <v>4</v>
      </c>
      <c r="Q10" s="22">
        <f t="shared" ref="Q10" si="10">+K10*P10</f>
        <v>20301480</v>
      </c>
      <c r="R10" s="22"/>
      <c r="S10" s="37">
        <f t="shared" si="3"/>
        <v>0</v>
      </c>
      <c r="T10" s="24" t="str">
        <f>+VLOOKUP(A10,'[1]PRESUPUESTO  LOTE 4'!$A$6:$Q$20,3,FALSE)</f>
        <v>Personal Seguridad y salud en el trabajo, 50% ciudad Palmira, 50% ciudad Cali
(CATEGORÍA 6)</v>
      </c>
      <c r="U10" s="24" t="b">
        <f t="shared" si="4"/>
        <v>1</v>
      </c>
      <c r="V10" s="24">
        <f>+VLOOKUP(A10,'[1]PRESUPUESTO  LOTE 4'!$A$6:$Q$20,11,FALSE)</f>
        <v>5075370</v>
      </c>
      <c r="W10" s="24" t="b">
        <f t="shared" si="5"/>
        <v>1</v>
      </c>
      <c r="X10" s="24">
        <f>+VLOOKUP(A10,'[1]PRESUPUESTO  LOTE 4'!$A$6:$Q$20,17,FALSE)</f>
        <v>20301480</v>
      </c>
      <c r="Y10" s="24" t="b">
        <f t="shared" si="6"/>
        <v>1</v>
      </c>
    </row>
    <row r="11" spans="1:25" s="24" customFormat="1" ht="59.45" customHeight="1">
      <c r="A11" s="16">
        <v>6</v>
      </c>
      <c r="B11" s="17">
        <v>1</v>
      </c>
      <c r="C11" s="18" t="s">
        <v>30</v>
      </c>
      <c r="D11" s="18" t="s">
        <v>31</v>
      </c>
      <c r="E11" s="18" t="s">
        <v>23</v>
      </c>
      <c r="F11" s="19">
        <v>2</v>
      </c>
      <c r="G11" s="19">
        <v>1</v>
      </c>
      <c r="H11" s="20">
        <v>1</v>
      </c>
      <c r="I11" s="21" t="s">
        <v>21</v>
      </c>
      <c r="J11" s="22">
        <v>5075370</v>
      </c>
      <c r="K11" s="22">
        <f t="shared" si="0"/>
        <v>5075370</v>
      </c>
      <c r="L11" s="23">
        <v>1</v>
      </c>
      <c r="M11" s="23">
        <v>1</v>
      </c>
      <c r="N11" s="23">
        <v>1</v>
      </c>
      <c r="O11" s="23">
        <v>1</v>
      </c>
      <c r="P11" s="23">
        <f t="shared" si="1"/>
        <v>4</v>
      </c>
      <c r="Q11" s="22">
        <f t="shared" si="2"/>
        <v>20301480</v>
      </c>
      <c r="R11" s="22"/>
      <c r="S11" s="37">
        <f t="shared" si="3"/>
        <v>0</v>
      </c>
      <c r="T11" s="24" t="str">
        <f>+VLOOKUP(A11,'[1]PRESUPUESTO  LOTE 4'!$A$6:$Q$20,3,FALSE)</f>
        <v>Inspector de Interventoría, Ciudad Palmira
(CATEGORÍA 6)</v>
      </c>
      <c r="U11" s="24" t="b">
        <f t="shared" si="4"/>
        <v>1</v>
      </c>
      <c r="V11" s="24">
        <f>+VLOOKUP(A11,'[1]PRESUPUESTO  LOTE 4'!$A$6:$Q$20,11,FALSE)</f>
        <v>5075370</v>
      </c>
      <c r="W11" s="24" t="b">
        <f t="shared" si="5"/>
        <v>1</v>
      </c>
      <c r="X11" s="24">
        <f>+VLOOKUP(A11,'[1]PRESUPUESTO  LOTE 4'!$A$6:$Q$20,17,FALSE)</f>
        <v>20301480</v>
      </c>
      <c r="Y11" s="24" t="b">
        <f t="shared" si="6"/>
        <v>1</v>
      </c>
    </row>
    <row r="12" spans="1:25" s="24" customFormat="1" ht="59.45" customHeight="1">
      <c r="A12" s="16">
        <v>7</v>
      </c>
      <c r="B12" s="17">
        <v>1</v>
      </c>
      <c r="C12" s="18" t="s">
        <v>32</v>
      </c>
      <c r="D12" s="18" t="s">
        <v>31</v>
      </c>
      <c r="E12" s="18" t="s">
        <v>23</v>
      </c>
      <c r="F12" s="19">
        <v>2</v>
      </c>
      <c r="G12" s="19">
        <v>1</v>
      </c>
      <c r="H12" s="20">
        <v>1</v>
      </c>
      <c r="I12" s="21" t="s">
        <v>21</v>
      </c>
      <c r="J12" s="22">
        <v>5075370</v>
      </c>
      <c r="K12" s="22">
        <f t="shared" si="0"/>
        <v>5075370</v>
      </c>
      <c r="L12" s="23">
        <v>1</v>
      </c>
      <c r="M12" s="23">
        <v>1</v>
      </c>
      <c r="N12" s="23">
        <v>1</v>
      </c>
      <c r="O12" s="23">
        <v>1</v>
      </c>
      <c r="P12" s="23">
        <f t="shared" si="1"/>
        <v>4</v>
      </c>
      <c r="Q12" s="22">
        <f t="shared" si="2"/>
        <v>20301480</v>
      </c>
      <c r="R12" s="22"/>
      <c r="S12" s="37">
        <f t="shared" si="3"/>
        <v>0</v>
      </c>
      <c r="T12" s="24" t="str">
        <f>+VLOOKUP(A12,'[1]PRESUPUESTO  LOTE 4'!$A$6:$Q$20,3,FALSE)</f>
        <v>Inspector de Interventoría, Ciudad Cali
(CATEGORÍA 6)</v>
      </c>
      <c r="U12" s="24" t="b">
        <f t="shared" si="4"/>
        <v>1</v>
      </c>
      <c r="V12" s="24">
        <f>+VLOOKUP(A12,'[1]PRESUPUESTO  LOTE 4'!$A$6:$Q$20,11,FALSE)</f>
        <v>5075370</v>
      </c>
      <c r="W12" s="24" t="b">
        <f t="shared" si="5"/>
        <v>1</v>
      </c>
      <c r="X12" s="24">
        <f>+VLOOKUP(A12,'[1]PRESUPUESTO  LOTE 4'!$A$6:$Q$20,17,FALSE)</f>
        <v>20301480</v>
      </c>
      <c r="Y12" s="24" t="b">
        <f t="shared" si="6"/>
        <v>1</v>
      </c>
    </row>
    <row r="13" spans="1:25" s="24" customFormat="1" ht="59.45" customHeight="1">
      <c r="A13" s="16">
        <v>8</v>
      </c>
      <c r="B13" s="17">
        <v>1</v>
      </c>
      <c r="C13" s="18" t="s">
        <v>33</v>
      </c>
      <c r="D13" s="18" t="s">
        <v>34</v>
      </c>
      <c r="E13" s="18" t="s">
        <v>23</v>
      </c>
      <c r="F13" s="19">
        <v>2</v>
      </c>
      <c r="G13" s="19">
        <v>1</v>
      </c>
      <c r="H13" s="20">
        <v>0.2</v>
      </c>
      <c r="I13" s="21" t="s">
        <v>21</v>
      </c>
      <c r="J13" s="22">
        <v>6360272</v>
      </c>
      <c r="K13" s="22">
        <f t="shared" si="0"/>
        <v>1272054</v>
      </c>
      <c r="L13" s="23">
        <v>1</v>
      </c>
      <c r="M13" s="23">
        <v>1</v>
      </c>
      <c r="N13" s="23">
        <v>1</v>
      </c>
      <c r="O13" s="23">
        <v>1</v>
      </c>
      <c r="P13" s="23">
        <f t="shared" si="1"/>
        <v>4</v>
      </c>
      <c r="Q13" s="22">
        <f t="shared" si="2"/>
        <v>5088216</v>
      </c>
      <c r="R13" s="22"/>
      <c r="S13" s="37">
        <f t="shared" si="3"/>
        <v>0</v>
      </c>
      <c r="T13" s="24" t="str">
        <f>+VLOOKUP(A13,'[1]PRESUPUESTO  LOTE 4'!$A$6:$Q$20,3,FALSE)</f>
        <v>Profesional Administrativo: Abogado (Ciudades Palmira y Cali)
(CATEGORÍA 6)</v>
      </c>
      <c r="U13" s="24" t="b">
        <f t="shared" si="4"/>
        <v>1</v>
      </c>
      <c r="V13" s="24">
        <f>+VLOOKUP(A13,'[1]PRESUPUESTO  LOTE 4'!$A$6:$Q$20,11,FALSE)</f>
        <v>1272054</v>
      </c>
      <c r="W13" s="24" t="b">
        <f t="shared" si="5"/>
        <v>1</v>
      </c>
      <c r="X13" s="24">
        <f>+VLOOKUP(A13,'[1]PRESUPUESTO  LOTE 4'!$A$6:$Q$20,17,FALSE)</f>
        <v>5088216</v>
      </c>
      <c r="Y13" s="24" t="b">
        <f t="shared" si="6"/>
        <v>1</v>
      </c>
    </row>
    <row r="14" spans="1:25" s="24" customFormat="1" ht="59.45" customHeight="1">
      <c r="A14" s="16">
        <v>9</v>
      </c>
      <c r="B14" s="17">
        <v>1</v>
      </c>
      <c r="C14" s="18" t="s">
        <v>35</v>
      </c>
      <c r="D14" s="18" t="s">
        <v>36</v>
      </c>
      <c r="E14" s="18" t="s">
        <v>23</v>
      </c>
      <c r="F14" s="19">
        <v>2</v>
      </c>
      <c r="G14" s="19">
        <v>1</v>
      </c>
      <c r="H14" s="20">
        <v>0.2</v>
      </c>
      <c r="I14" s="21" t="s">
        <v>21</v>
      </c>
      <c r="J14" s="22">
        <v>6360272</v>
      </c>
      <c r="K14" s="22">
        <f t="shared" si="0"/>
        <v>1272054</v>
      </c>
      <c r="L14" s="23">
        <v>1</v>
      </c>
      <c r="M14" s="23">
        <v>1</v>
      </c>
      <c r="N14" s="23">
        <v>1</v>
      </c>
      <c r="O14" s="23">
        <v>1</v>
      </c>
      <c r="P14" s="23">
        <f t="shared" si="1"/>
        <v>4</v>
      </c>
      <c r="Q14" s="22">
        <f t="shared" si="2"/>
        <v>5088216</v>
      </c>
      <c r="R14" s="22"/>
      <c r="S14" s="37">
        <f t="shared" si="3"/>
        <v>0</v>
      </c>
      <c r="T14" s="24" t="str">
        <f>+VLOOKUP(A14,'[1]PRESUPUESTO  LOTE 4'!$A$6:$Q$20,3,FALSE)</f>
        <v>Profesional Administrativo: Contador Público (Ciudades Palmira y Cali)
CATEGORÍA 6)</v>
      </c>
      <c r="U14" s="24" t="b">
        <f t="shared" si="4"/>
        <v>1</v>
      </c>
      <c r="V14" s="24">
        <f>+VLOOKUP(A14,'[1]PRESUPUESTO  LOTE 4'!$A$6:$Q$20,11,FALSE)</f>
        <v>1272054</v>
      </c>
      <c r="W14" s="24" t="b">
        <f t="shared" si="5"/>
        <v>1</v>
      </c>
      <c r="X14" s="24">
        <f>+VLOOKUP(A14,'[1]PRESUPUESTO  LOTE 4'!$A$6:$Q$20,17,FALSE)</f>
        <v>5088216</v>
      </c>
      <c r="Y14" s="24" t="b">
        <f t="shared" si="6"/>
        <v>1</v>
      </c>
    </row>
    <row r="15" spans="1:25" s="27" customFormat="1" ht="24" customHeight="1">
      <c r="A15" s="55" t="s">
        <v>37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32">
        <f>SUM(Q6:Q14)</f>
        <v>170796608</v>
      </c>
      <c r="R15" s="45"/>
      <c r="S15" s="37">
        <f>+SUM(S6:S14)</f>
        <v>0</v>
      </c>
      <c r="T15" s="24">
        <f>+VLOOKUP(A15,'[1]PRESUPUESTO  LOTE 4'!$A$6:$Q$20,3,FALSE)</f>
        <v>0</v>
      </c>
      <c r="U15" s="24" t="b">
        <f t="shared" si="4"/>
        <v>1</v>
      </c>
      <c r="V15" s="24">
        <f>+VLOOKUP(A15,'[1]PRESUPUESTO  LOTE 4'!$A$6:$Q$20,11,FALSE)</f>
        <v>0</v>
      </c>
      <c r="W15" s="24" t="b">
        <f t="shared" si="5"/>
        <v>1</v>
      </c>
      <c r="X15" s="24">
        <f>+VLOOKUP(A15,'[1]PRESUPUESTO  LOTE 4'!$A$6:$Q$20,17,FALSE)</f>
        <v>170796608</v>
      </c>
      <c r="Y15" s="24" t="b">
        <f t="shared" si="6"/>
        <v>1</v>
      </c>
    </row>
    <row r="16" spans="1:25" s="27" customFormat="1" ht="40.15" customHeight="1">
      <c r="A16" s="64" t="s">
        <v>38</v>
      </c>
      <c r="B16" s="65"/>
      <c r="C16" s="65"/>
      <c r="D16" s="35"/>
      <c r="E16" s="35"/>
      <c r="F16" s="35"/>
      <c r="G16" s="35"/>
      <c r="H16" s="35"/>
      <c r="I16" s="35"/>
      <c r="J16" s="35"/>
      <c r="K16" s="65" t="s">
        <v>58</v>
      </c>
      <c r="L16" s="65"/>
      <c r="M16" s="65"/>
      <c r="N16" s="65"/>
      <c r="O16" s="65"/>
      <c r="P16" s="66"/>
      <c r="Q16" s="32" t="s">
        <v>59</v>
      </c>
      <c r="R16" s="38" t="s">
        <v>63</v>
      </c>
      <c r="S16" s="39" t="s">
        <v>64</v>
      </c>
      <c r="T16" s="24">
        <f>+VLOOKUP(A16,'[1]PRESUPUESTO  LOTE 4'!$A$6:$Q$20,3,FALSE)</f>
        <v>0</v>
      </c>
      <c r="U16" s="24" t="b">
        <f t="shared" si="4"/>
        <v>1</v>
      </c>
      <c r="V16" s="24">
        <f>+VLOOKUP(A16,'[1]PRESUPUESTO  LOTE 4'!$A$6:$Q$20,11,FALSE)</f>
        <v>0</v>
      </c>
      <c r="W16" s="24" t="b">
        <f t="shared" si="5"/>
        <v>0</v>
      </c>
      <c r="X16" s="24" t="str">
        <f>+VLOOKUP(A16,'[1]PRESUPUESTO  LOTE 4'!$A$6:$Q$20,17,FALSE)</f>
        <v xml:space="preserve"> </v>
      </c>
      <c r="Y16" s="24" t="b">
        <f t="shared" si="6"/>
        <v>0</v>
      </c>
    </row>
    <row r="17" spans="1:25" s="27" customFormat="1" ht="15.75" customHeight="1">
      <c r="A17" s="56" t="s">
        <v>39</v>
      </c>
      <c r="B17" s="57"/>
      <c r="C17" s="58"/>
      <c r="D17" s="28">
        <v>0.33</v>
      </c>
      <c r="E17" s="25"/>
      <c r="F17" s="25"/>
      <c r="G17" s="29"/>
      <c r="H17" s="29"/>
      <c r="I17" s="30"/>
      <c r="J17" s="30"/>
      <c r="K17" s="49">
        <v>0.33</v>
      </c>
      <c r="L17" s="50"/>
      <c r="M17" s="50"/>
      <c r="N17" s="50"/>
      <c r="O17" s="50"/>
      <c r="P17" s="51"/>
      <c r="Q17" s="26">
        <f>ROUND((+Q15*D17),0)</f>
        <v>56362881</v>
      </c>
      <c r="R17" s="40"/>
      <c r="S17" s="41">
        <f>+ROUND(S15*R17,0)</f>
        <v>0</v>
      </c>
      <c r="T17" s="24">
        <f>+VLOOKUP(A17,'[1]PRESUPUESTO  LOTE 4'!$A$6:$Q$20,3,FALSE)</f>
        <v>0</v>
      </c>
      <c r="U17" s="24" t="b">
        <f t="shared" si="4"/>
        <v>1</v>
      </c>
      <c r="V17" s="24">
        <f>+VLOOKUP(A17,'[1]PRESUPUESTO  LOTE 4'!$A$6:$Q$20,11,FALSE)</f>
        <v>0</v>
      </c>
      <c r="W17" s="24" t="b">
        <f t="shared" si="5"/>
        <v>0</v>
      </c>
      <c r="X17" s="24">
        <f>+VLOOKUP(A17,'[1]PRESUPUESTO  LOTE 4'!$A$6:$Q$20,17,FALSE)</f>
        <v>56362881</v>
      </c>
      <c r="Y17" s="24" t="b">
        <f t="shared" si="6"/>
        <v>1</v>
      </c>
    </row>
    <row r="18" spans="1:25" s="27" customFormat="1" ht="13.5" customHeight="1">
      <c r="A18" s="59" t="s">
        <v>40</v>
      </c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32">
        <f>SUM(Q15:Q17)</f>
        <v>227159489</v>
      </c>
      <c r="R18" s="46"/>
      <c r="S18" s="42">
        <f>SUM(S15:S17)</f>
        <v>0</v>
      </c>
      <c r="T18" s="24">
        <f>+VLOOKUP(A18,'[1]PRESUPUESTO  LOTE 4'!$A$6:$Q$20,3,FALSE)</f>
        <v>0</v>
      </c>
      <c r="U18" s="24" t="b">
        <f t="shared" si="4"/>
        <v>1</v>
      </c>
      <c r="V18" s="24">
        <f>+VLOOKUP(A18,'[1]PRESUPUESTO  LOTE 4'!$A$6:$Q$20,11,FALSE)</f>
        <v>0</v>
      </c>
      <c r="W18" s="24" t="b">
        <f t="shared" si="5"/>
        <v>1</v>
      </c>
      <c r="X18" s="24">
        <f>+VLOOKUP(A18,'[1]PRESUPUESTO  LOTE 4'!$A$6:$Q$20,17,FALSE)</f>
        <v>227159489</v>
      </c>
      <c r="Y18" s="24" t="b">
        <f t="shared" si="6"/>
        <v>1</v>
      </c>
    </row>
    <row r="19" spans="1:25" ht="15.75" customHeight="1">
      <c r="A19" s="61" t="s">
        <v>41</v>
      </c>
      <c r="B19" s="61"/>
      <c r="C19" s="61"/>
      <c r="D19" s="61"/>
      <c r="E19" s="61"/>
      <c r="F19" s="61"/>
      <c r="G19" s="31"/>
      <c r="H19" s="31"/>
      <c r="I19" s="30"/>
      <c r="J19" s="30"/>
      <c r="K19" s="30"/>
      <c r="L19" s="30"/>
      <c r="M19" s="30"/>
      <c r="N19" s="30"/>
      <c r="O19" s="30"/>
      <c r="P19" s="30"/>
      <c r="Q19" s="22">
        <f>ROUND((+Q18*19%),0)</f>
        <v>43160303</v>
      </c>
      <c r="R19" s="47"/>
      <c r="S19" s="43">
        <f>ROUND((+S18*19%),0)</f>
        <v>0</v>
      </c>
      <c r="T19" s="24">
        <f>+VLOOKUP(A19,'[1]PRESUPUESTO  LOTE 4'!$A$6:$Q$20,3,FALSE)</f>
        <v>0</v>
      </c>
      <c r="U19" s="24" t="b">
        <f t="shared" si="4"/>
        <v>1</v>
      </c>
      <c r="V19" s="24">
        <f>+VLOOKUP(A19,'[1]PRESUPUESTO  LOTE 4'!$A$6:$Q$20,11,FALSE)</f>
        <v>0</v>
      </c>
      <c r="W19" s="24" t="b">
        <f t="shared" si="5"/>
        <v>1</v>
      </c>
      <c r="X19" s="24">
        <f>+VLOOKUP(A19,'[1]PRESUPUESTO  LOTE 4'!$A$6:$Q$20,17,FALSE)</f>
        <v>43160303</v>
      </c>
      <c r="Y19" s="24" t="b">
        <f t="shared" si="6"/>
        <v>1</v>
      </c>
    </row>
    <row r="20" spans="1:25" ht="15.75" customHeight="1">
      <c r="A20" s="55" t="s">
        <v>42</v>
      </c>
      <c r="B20" s="55"/>
      <c r="C20" s="55"/>
      <c r="D20" s="55"/>
      <c r="E20" s="55"/>
      <c r="F20" s="55"/>
      <c r="G20" s="33"/>
      <c r="H20" s="34"/>
      <c r="I20" s="34"/>
      <c r="J20" s="34"/>
      <c r="K20" s="34"/>
      <c r="L20" s="34"/>
      <c r="M20" s="34"/>
      <c r="N20" s="34"/>
      <c r="O20" s="34"/>
      <c r="P20" s="34"/>
      <c r="Q20" s="32">
        <f>SUM(Q18:Q19)</f>
        <v>270319792</v>
      </c>
      <c r="R20" s="48"/>
      <c r="S20" s="44">
        <f>ROUND(SUM(S18:S19),0)</f>
        <v>0</v>
      </c>
      <c r="T20" s="24">
        <f>+VLOOKUP(A20,'[1]PRESUPUESTO  LOTE 4'!$A$6:$Q$20,3,FALSE)</f>
        <v>0</v>
      </c>
      <c r="U20" s="24" t="b">
        <f t="shared" si="4"/>
        <v>1</v>
      </c>
      <c r="V20" s="24">
        <f>+VLOOKUP(A20,'[1]PRESUPUESTO  LOTE 4'!$A$6:$Q$20,11,FALSE)</f>
        <v>0</v>
      </c>
      <c r="W20" s="24" t="b">
        <f t="shared" si="5"/>
        <v>1</v>
      </c>
      <c r="X20" s="24">
        <f>+VLOOKUP(A20,'[1]PRESUPUESTO  LOTE 4'!$A$6:$Q$20,17,FALSE)</f>
        <v>270319792</v>
      </c>
      <c r="Y20" s="24" t="b">
        <f t="shared" si="6"/>
        <v>1</v>
      </c>
    </row>
    <row r="21" spans="1:25">
      <c r="A21" s="52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</row>
    <row r="22" spans="1:25">
      <c r="A22" s="54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</row>
  </sheetData>
  <sheetProtection algorithmName="SHA-512" hashValue="kVN7CiHT8skoeCce+cUdthXkah742XeV2Mswhvp6u3TUG/8Tg/UaIKBrdch1kfkSV5SCISvYBitq93iYMXIT+Q==" saltValue="nBafWIep7A5MoEKzceEzsA==" spinCount="100000" sheet="1" objects="1" scenarios="1"/>
  <protectedRanges>
    <protectedRange sqref="C6:C14" name="Rango3"/>
    <protectedRange sqref="R17" name="Rango2"/>
    <protectedRange sqref="R6:R14" name="Rango1"/>
  </protectedRanges>
  <mergeCells count="15">
    <mergeCell ref="B2:V2"/>
    <mergeCell ref="B3:V3"/>
    <mergeCell ref="K4:Q4"/>
    <mergeCell ref="A16:C16"/>
    <mergeCell ref="K16:P16"/>
    <mergeCell ref="R4:S4"/>
    <mergeCell ref="R18:R20"/>
    <mergeCell ref="K17:P17"/>
    <mergeCell ref="A21:Q21"/>
    <mergeCell ref="A22:Q22"/>
    <mergeCell ref="A15:P15"/>
    <mergeCell ref="A20:F20"/>
    <mergeCell ref="A17:C17"/>
    <mergeCell ref="A18:P18"/>
    <mergeCell ref="A19:F19"/>
  </mergeCells>
  <dataValidations count="1">
    <dataValidation type="whole" operator="greaterThanOrEqual" allowBlank="1" showInputMessage="1" showErrorMessage="1" sqref="F6:G14" xr:uid="{537E9BC3-0A6E-0E4D-AD08-7B196286936F}">
      <formula1>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45995-1C7B-49DD-ABFC-772B07C795AD}">
  <dimension ref="A1:M4"/>
  <sheetViews>
    <sheetView workbookViewId="0">
      <selection activeCell="M4" sqref="M4"/>
    </sheetView>
  </sheetViews>
  <sheetFormatPr baseColWidth="10" defaultColWidth="11.5" defaultRowHeight="14.25"/>
  <cols>
    <col min="1" max="1" width="23.5" customWidth="1"/>
    <col min="2" max="2" width="11.125" bestFit="1" customWidth="1"/>
    <col min="3" max="3" width="12.125" bestFit="1" customWidth="1"/>
    <col min="4" max="4" width="18.5" customWidth="1"/>
    <col min="5" max="5" width="8.875" bestFit="1" customWidth="1"/>
    <col min="6" max="6" width="8.625" bestFit="1" customWidth="1"/>
    <col min="7" max="7" width="10.375" bestFit="1" customWidth="1"/>
    <col min="8" max="8" width="8.5" bestFit="1" customWidth="1"/>
    <col min="9" max="9" width="8.5" customWidth="1"/>
    <col min="11" max="11" width="13.5" customWidth="1"/>
    <col min="12" max="12" width="15" customWidth="1"/>
    <col min="13" max="13" width="15.5" customWidth="1"/>
  </cols>
  <sheetData>
    <row r="1" spans="1:13" ht="15">
      <c r="A1" s="68" t="s">
        <v>38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ht="15" thickBot="1"/>
    <row r="3" spans="1:13" s="2" customFormat="1" ht="45">
      <c r="A3" s="3"/>
      <c r="B3" s="4" t="s">
        <v>43</v>
      </c>
      <c r="C3" s="4" t="s">
        <v>44</v>
      </c>
      <c r="D3" s="4" t="s">
        <v>45</v>
      </c>
      <c r="E3" s="4" t="s">
        <v>46</v>
      </c>
      <c r="F3" s="4" t="s">
        <v>47</v>
      </c>
      <c r="G3" s="4" t="s">
        <v>48</v>
      </c>
      <c r="H3" s="4" t="s">
        <v>49</v>
      </c>
      <c r="I3" s="4" t="s">
        <v>50</v>
      </c>
      <c r="J3" s="5" t="s">
        <v>51</v>
      </c>
      <c r="K3" s="4" t="s">
        <v>52</v>
      </c>
      <c r="L3" s="4" t="s">
        <v>53</v>
      </c>
      <c r="M3" s="6" t="s">
        <v>54</v>
      </c>
    </row>
    <row r="4" spans="1:13" ht="29.25" thickBot="1">
      <c r="A4" s="7" t="s">
        <v>39</v>
      </c>
      <c r="B4" s="8">
        <v>36</v>
      </c>
      <c r="C4" s="8">
        <v>33</v>
      </c>
      <c r="D4" s="8">
        <v>39</v>
      </c>
      <c r="E4" s="8">
        <v>34</v>
      </c>
      <c r="F4" s="8">
        <v>29</v>
      </c>
      <c r="G4" s="8">
        <v>26</v>
      </c>
      <c r="H4" s="8">
        <v>36</v>
      </c>
      <c r="I4" s="8">
        <v>25</v>
      </c>
      <c r="J4" s="9">
        <f>AVERAGE(B4:I4)</f>
        <v>32.25</v>
      </c>
      <c r="K4" s="9">
        <f>_xlfn.STDEV.S(B4:H4)</f>
        <v>4.4614753058558918</v>
      </c>
      <c r="L4" s="10">
        <f>+K4/J4</f>
        <v>0.13834031956142301</v>
      </c>
      <c r="M4" s="11">
        <f>ROUND((GEOMEAN(B4:H4)),0)</f>
        <v>33</v>
      </c>
    </row>
  </sheetData>
  <mergeCells count="1">
    <mergeCell ref="A1:M1"/>
  </mergeCells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ce000cd5-0841-4431-a124-062ac493f284}" enabled="0" method="" siteId="{ce000cd5-0841-4431-a124-062ac493f28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 LOTE 4</vt:lpstr>
      <vt:lpstr>ADMINISTRACION Y HONORARIOS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Marlly Faisuly Zuluaga Correa</dc:creator>
  <cp:keywords/>
  <dc:description/>
  <cp:lastModifiedBy>Marlly Faisuly Zuluaga Correa</cp:lastModifiedBy>
  <cp:revision/>
  <dcterms:created xsi:type="dcterms:W3CDTF">2024-06-15T00:42:35Z</dcterms:created>
  <dcterms:modified xsi:type="dcterms:W3CDTF">2025-07-18T16:43:29Z</dcterms:modified>
  <cp:category/>
  <cp:contentStatus/>
</cp:coreProperties>
</file>