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backupFile="1" defaultThemeVersion="166925"/>
  <mc:AlternateContent xmlns:mc="http://schemas.openxmlformats.org/markup-compatibility/2006">
    <mc:Choice Requires="x15">
      <x15ac:absPath xmlns:x15ac="http://schemas.microsoft.com/office/spreadsheetml/2010/11/ac" url="C:\Users\asus\Desktop\info0725\DANIELA\EDURHA DABEIBA\EDURHA 2025\ORDENES DE SERVICIOS, SUMINISTROS\SMC 039 DE 2025 ESTUDIOS Y DISEÑOS\"/>
    </mc:Choice>
  </mc:AlternateContent>
  <xr:revisionPtr revIDLastSave="0" documentId="13_ncr:1_{9BC39637-EECE-4616-97B9-0E96103EEBC2}" xr6:coauthVersionLast="47" xr6:coauthVersionMax="47" xr10:uidLastSave="{00000000-0000-0000-0000-000000000000}"/>
  <bookViews>
    <workbookView xWindow="-120" yWindow="-120" windowWidth="20730" windowHeight="11040" tabRatio="635" xr2:uid="{00000000-000D-0000-FFFF-FFFF00000000}"/>
  </bookViews>
  <sheets>
    <sheet name="FICHA TECNICA" sheetId="22" r:id="rId1"/>
    <sheet name="PRESUPUESTO" sheetId="1" r:id="rId2"/>
    <sheet name="MO" sheetId="7" r:id="rId3"/>
    <sheet name="APU" sheetId="8" r:id="rId4"/>
    <sheet name="FM" sheetId="17" r:id="rId5"/>
    <sheet name="POLIZA" sheetId="21" r:id="rId6"/>
    <sheet name="CRONOGRAMA FINAL" sheetId="20" r:id="rId7"/>
  </sheets>
  <externalReferences>
    <externalReference r:id="rId8"/>
  </externalReferences>
  <definedNames>
    <definedName name="_xlnm.Print_Area" localSheetId="3">APU!$A$1:$J$152</definedName>
    <definedName name="_xlnm.Print_Area" localSheetId="6">'CRONOGRAMA FINAL'!$A$1:$H$24</definedName>
    <definedName name="_xlnm.Print_Area" localSheetId="0">'FICHA TECNICA'!$A$1:$H$34</definedName>
    <definedName name="_xlnm.Print_Area" localSheetId="4">FM!$A$1:$D$49</definedName>
    <definedName name="_xlnm.Print_Area" localSheetId="1">PRESUPUESTO!$A$1:$H$34</definedName>
    <definedName name="_xlnm.Print_Titles" localSheetId="6">'CRONOGRAMA FINAL'!$1:$9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3" i="22" l="1"/>
  <c r="B6" i="22"/>
  <c r="A6" i="22"/>
  <c r="B18" i="20"/>
  <c r="B17" i="20"/>
  <c r="B16" i="20"/>
  <c r="B15" i="20"/>
  <c r="B14" i="20"/>
  <c r="B13" i="20"/>
  <c r="B12" i="20"/>
  <c r="A3" i="21"/>
  <c r="B18" i="21"/>
  <c r="B8" i="21"/>
  <c r="C8" i="21" s="1"/>
  <c r="B118" i="8"/>
  <c r="B105" i="8"/>
  <c r="B100" i="8"/>
  <c r="B88" i="8"/>
  <c r="C88" i="8" s="1"/>
  <c r="B83" i="8"/>
  <c r="B71" i="8"/>
  <c r="I71" i="8" s="1"/>
  <c r="I12" i="8"/>
  <c r="B12" i="8"/>
  <c r="F12" i="8" s="1"/>
  <c r="G12" i="8" s="1"/>
  <c r="J12" i="8" s="1"/>
  <c r="B70" i="8"/>
  <c r="B72" i="8"/>
  <c r="F72" i="8" s="1"/>
  <c r="E15" i="21" l="1"/>
  <c r="E14" i="21"/>
  <c r="E13" i="21"/>
  <c r="E18" i="21"/>
  <c r="I88" i="8"/>
  <c r="F88" i="8"/>
  <c r="G88" i="8" s="1"/>
  <c r="J88" i="8" s="1"/>
  <c r="C71" i="8"/>
  <c r="F71" i="8"/>
  <c r="G71" i="8" s="1"/>
  <c r="J71" i="8" s="1"/>
  <c r="C12" i="8"/>
  <c r="C72" i="8"/>
  <c r="F25" i="7"/>
  <c r="E25" i="7"/>
  <c r="B65" i="8"/>
  <c r="B53" i="8"/>
  <c r="B4" i="8"/>
  <c r="B24" i="8"/>
  <c r="B48" i="8"/>
  <c r="D41" i="8" l="1"/>
  <c r="D40" i="8"/>
  <c r="D39" i="8"/>
  <c r="D38" i="8"/>
  <c r="D37" i="8"/>
  <c r="F19" i="7"/>
  <c r="D19" i="7"/>
  <c r="D15" i="7"/>
  <c r="D16" i="7" s="1"/>
  <c r="D18" i="7"/>
  <c r="D20" i="7"/>
  <c r="D21" i="7" s="1"/>
  <c r="J150" i="8"/>
  <c r="J149" i="8"/>
  <c r="J147" i="8"/>
  <c r="J146" i="8"/>
  <c r="J145" i="8" s="1"/>
  <c r="I143" i="8"/>
  <c r="F143" i="8"/>
  <c r="G143" i="8" s="1"/>
  <c r="J143" i="8" s="1"/>
  <c r="C143" i="8"/>
  <c r="I142" i="8"/>
  <c r="F142" i="8"/>
  <c r="G142" i="8" s="1"/>
  <c r="C142" i="8"/>
  <c r="F141" i="8"/>
  <c r="G141" i="8" s="1"/>
  <c r="C141" i="8"/>
  <c r="F140" i="8"/>
  <c r="G140" i="8" s="1"/>
  <c r="C140" i="8"/>
  <c r="A138" i="8"/>
  <c r="A148" i="8" s="1"/>
  <c r="J132" i="8"/>
  <c r="J131" i="8"/>
  <c r="J129" i="8"/>
  <c r="J128" i="8"/>
  <c r="I125" i="8"/>
  <c r="F125" i="8"/>
  <c r="G125" i="8" s="1"/>
  <c r="C125" i="8"/>
  <c r="I124" i="8"/>
  <c r="F124" i="8"/>
  <c r="G124" i="8" s="1"/>
  <c r="C124" i="8"/>
  <c r="F123" i="8"/>
  <c r="G123" i="8" s="1"/>
  <c r="C123" i="8"/>
  <c r="F122" i="8"/>
  <c r="G122" i="8" s="1"/>
  <c r="C122" i="8"/>
  <c r="A120" i="8"/>
  <c r="A130" i="8" s="1"/>
  <c r="J110" i="8"/>
  <c r="J92" i="8"/>
  <c r="J75" i="8"/>
  <c r="J114" i="8"/>
  <c r="J113" i="8"/>
  <c r="J111" i="8"/>
  <c r="I107" i="8"/>
  <c r="F107" i="8"/>
  <c r="G107" i="8" s="1"/>
  <c r="J107" i="8" s="1"/>
  <c r="C107" i="8"/>
  <c r="F106" i="8"/>
  <c r="G106" i="8" s="1"/>
  <c r="C106" i="8"/>
  <c r="C105" i="8"/>
  <c r="F104" i="8"/>
  <c r="G104" i="8" s="1"/>
  <c r="C104" i="8"/>
  <c r="A102" i="8"/>
  <c r="A112" i="8" s="1"/>
  <c r="C89" i="8"/>
  <c r="F89" i="8"/>
  <c r="G89" i="8" s="1"/>
  <c r="J96" i="8"/>
  <c r="J95" i="8"/>
  <c r="J93" i="8"/>
  <c r="F87" i="8"/>
  <c r="G87" i="8" s="1"/>
  <c r="C87" i="8"/>
  <c r="A85" i="8"/>
  <c r="A94" i="8" s="1"/>
  <c r="J79" i="8"/>
  <c r="J78" i="8"/>
  <c r="J76" i="8"/>
  <c r="G72" i="8"/>
  <c r="F70" i="8"/>
  <c r="G70" i="8" s="1"/>
  <c r="C70" i="8"/>
  <c r="F69" i="8"/>
  <c r="G69" i="8" s="1"/>
  <c r="C69" i="8"/>
  <c r="A67" i="8"/>
  <c r="A77" i="8" s="1"/>
  <c r="J61" i="8"/>
  <c r="J60" i="8"/>
  <c r="J58" i="8"/>
  <c r="J57" i="8"/>
  <c r="F54" i="8"/>
  <c r="G54" i="8" s="1"/>
  <c r="C54" i="8"/>
  <c r="F53" i="8"/>
  <c r="G53" i="8" s="1"/>
  <c r="C53" i="8"/>
  <c r="F52" i="8"/>
  <c r="G52" i="8" s="1"/>
  <c r="C52" i="8"/>
  <c r="A50" i="8"/>
  <c r="A59" i="8" s="1"/>
  <c r="J38" i="8"/>
  <c r="J39" i="8"/>
  <c r="J40" i="8"/>
  <c r="J41" i="8"/>
  <c r="J35" i="8"/>
  <c r="J33" i="8"/>
  <c r="J32" i="8"/>
  <c r="F28" i="8"/>
  <c r="G28" i="8" s="1"/>
  <c r="C28" i="8"/>
  <c r="C29" i="8"/>
  <c r="J44" i="8"/>
  <c r="J43" i="8"/>
  <c r="J37" i="8"/>
  <c r="A26" i="8"/>
  <c r="A42" i="8" s="1"/>
  <c r="A6" i="8"/>
  <c r="F11" i="8"/>
  <c r="G11" i="8" s="1"/>
  <c r="F9" i="8"/>
  <c r="G9" i="8" s="1"/>
  <c r="F10" i="8"/>
  <c r="G10" i="8" s="1"/>
  <c r="F8" i="8"/>
  <c r="G8" i="8" s="1"/>
  <c r="J20" i="8"/>
  <c r="J19" i="8"/>
  <c r="J18" i="8" s="1"/>
  <c r="J16" i="8"/>
  <c r="D33" i="17"/>
  <c r="J17" i="8"/>
  <c r="F10" i="7"/>
  <c r="F11" i="7"/>
  <c r="F12" i="7"/>
  <c r="F13" i="7"/>
  <c r="F14" i="7"/>
  <c r="F15" i="7"/>
  <c r="F18" i="7"/>
  <c r="F20" i="7"/>
  <c r="F23" i="7"/>
  <c r="F24" i="7"/>
  <c r="D13" i="17"/>
  <c r="C9" i="8"/>
  <c r="C10" i="8"/>
  <c r="C11" i="8"/>
  <c r="C8" i="8"/>
  <c r="D10" i="17"/>
  <c r="F9" i="7"/>
  <c r="C6" i="20"/>
  <c r="B6" i="1"/>
  <c r="J15" i="8"/>
  <c r="J14" i="8"/>
  <c r="D27" i="17"/>
  <c r="A6" i="1"/>
  <c r="A2" i="7"/>
  <c r="A3" i="17"/>
  <c r="A2" i="8"/>
  <c r="J130" i="8" l="1"/>
  <c r="J56" i="8"/>
  <c r="J77" i="8"/>
  <c r="J31" i="8"/>
  <c r="J74" i="8"/>
  <c r="J109" i="8"/>
  <c r="J91" i="8"/>
  <c r="J127" i="8"/>
  <c r="J142" i="8"/>
  <c r="J59" i="8"/>
  <c r="J34" i="8"/>
  <c r="J112" i="8"/>
  <c r="J148" i="8"/>
  <c r="J42" i="8"/>
  <c r="D42" i="17"/>
  <c r="D41" i="17" s="1"/>
  <c r="J124" i="8"/>
  <c r="J94" i="8"/>
  <c r="J36" i="8"/>
  <c r="D44" i="17"/>
  <c r="A18" i="8"/>
  <c r="J13" i="8"/>
  <c r="J125" i="8"/>
  <c r="D8" i="17"/>
  <c r="E13" i="7" s="1"/>
  <c r="I89" i="8"/>
  <c r="J89" i="8" s="1"/>
  <c r="D22" i="7"/>
  <c r="F21" i="7"/>
  <c r="F29" i="8"/>
  <c r="G29" i="8" s="1"/>
  <c r="F16" i="7"/>
  <c r="D17" i="7"/>
  <c r="I69" i="8" l="1"/>
  <c r="J69" i="8" s="1"/>
  <c r="E19" i="7"/>
  <c r="E21" i="7"/>
  <c r="I141" i="8"/>
  <c r="J141" i="8" s="1"/>
  <c r="E11" i="7"/>
  <c r="I123" i="8"/>
  <c r="J123" i="8" s="1"/>
  <c r="E14" i="7"/>
  <c r="E23" i="7"/>
  <c r="E18" i="7"/>
  <c r="I9" i="8"/>
  <c r="J9" i="8" s="1"/>
  <c r="I53" i="8"/>
  <c r="J53" i="8" s="1"/>
  <c r="I11" i="8"/>
  <c r="J11" i="8" s="1"/>
  <c r="E20" i="7"/>
  <c r="E10" i="7"/>
  <c r="I28" i="8"/>
  <c r="J28" i="8" s="1"/>
  <c r="I106" i="8"/>
  <c r="J106" i="8" s="1"/>
  <c r="E24" i="7"/>
  <c r="E12" i="7"/>
  <c r="I52" i="8"/>
  <c r="J52" i="8" s="1"/>
  <c r="I54" i="8"/>
  <c r="J54" i="8" s="1"/>
  <c r="I105" i="8"/>
  <c r="I87" i="8"/>
  <c r="J87" i="8" s="1"/>
  <c r="I29" i="8"/>
  <c r="J29" i="8" s="1"/>
  <c r="I104" i="8"/>
  <c r="J104" i="8" s="1"/>
  <c r="I10" i="8"/>
  <c r="J10" i="8" s="1"/>
  <c r="D13" i="1"/>
  <c r="B19" i="20" s="1"/>
  <c r="E16" i="7"/>
  <c r="I140" i="8"/>
  <c r="J140" i="8" s="1"/>
  <c r="J139" i="8" s="1"/>
  <c r="J138" i="8" s="1"/>
  <c r="E15" i="7"/>
  <c r="I8" i="8"/>
  <c r="J8" i="8" s="1"/>
  <c r="I122" i="8"/>
  <c r="J122" i="8" s="1"/>
  <c r="I72" i="8"/>
  <c r="J72" i="8" s="1"/>
  <c r="E9" i="7"/>
  <c r="H9" i="7" s="1"/>
  <c r="I9" i="7" s="1"/>
  <c r="I70" i="8"/>
  <c r="J70" i="8" s="1"/>
  <c r="E17" i="7"/>
  <c r="F105" i="8"/>
  <c r="G105" i="8" s="1"/>
  <c r="F17" i="7"/>
  <c r="F22" i="7"/>
  <c r="E22" i="7"/>
  <c r="J86" i="8" l="1"/>
  <c r="J85" i="8" s="1"/>
  <c r="J121" i="8"/>
  <c r="J7" i="8"/>
  <c r="J6" i="8" s="1"/>
  <c r="J27" i="8"/>
  <c r="I8" i="7"/>
  <c r="K9" i="7" s="1"/>
  <c r="J68" i="8"/>
  <c r="J67" i="8" s="1"/>
  <c r="J51" i="8"/>
  <c r="J50" i="8" s="1"/>
  <c r="J62" i="8" s="1"/>
  <c r="J63" i="8" s="1"/>
  <c r="J48" i="8" s="1"/>
  <c r="G8" i="1" s="1"/>
  <c r="H8" i="1" s="1"/>
  <c r="J105" i="8"/>
  <c r="J103" i="8" s="1"/>
  <c r="J102" i="8" s="1"/>
  <c r="J151" i="8"/>
  <c r="J152" i="8" s="1"/>
  <c r="J136" i="8" s="1"/>
  <c r="G13" i="1" s="1"/>
  <c r="F14" i="20" l="1"/>
  <c r="J115" i="8"/>
  <c r="J116" i="8" s="1"/>
  <c r="J100" i="8" s="1"/>
  <c r="G11" i="1"/>
  <c r="H11" i="1" s="1"/>
  <c r="J97" i="8"/>
  <c r="J98" i="8" s="1"/>
  <c r="J83" i="8" s="1"/>
  <c r="G10" i="1"/>
  <c r="H10" i="1" s="1"/>
  <c r="J120" i="8"/>
  <c r="G12" i="1" s="1"/>
  <c r="H12" i="1" s="1"/>
  <c r="J80" i="8"/>
  <c r="J81" i="8" s="1"/>
  <c r="J65" i="8" s="1"/>
  <c r="G9" i="1"/>
  <c r="H9" i="1" s="1"/>
  <c r="J21" i="8"/>
  <c r="J22" i="8" s="1"/>
  <c r="J4" i="8" s="1"/>
  <c r="G6" i="1"/>
  <c r="H6" i="1" s="1"/>
  <c r="J26" i="8"/>
  <c r="H13" i="1"/>
  <c r="F15" i="20" l="1"/>
  <c r="G17" i="20"/>
  <c r="E12" i="20"/>
  <c r="G18" i="20"/>
  <c r="F16" i="20"/>
  <c r="G19" i="20"/>
  <c r="J133" i="8"/>
  <c r="J134" i="8" s="1"/>
  <c r="J118" i="8" s="1"/>
  <c r="J45" i="8"/>
  <c r="J46" i="8" s="1"/>
  <c r="J24" i="8" s="1"/>
  <c r="G7" i="1"/>
  <c r="H14" i="20"/>
  <c r="H12" i="20"/>
  <c r="H7" i="1" l="1"/>
  <c r="H15" i="20"/>
  <c r="H17" i="20"/>
  <c r="H18" i="20"/>
  <c r="G20" i="20"/>
  <c r="H19" i="20"/>
  <c r="H16" i="20"/>
  <c r="E13" i="20" l="1"/>
  <c r="E20" i="20" s="1"/>
  <c r="H14" i="1"/>
  <c r="H15" i="1" l="1"/>
  <c r="E22" i="20" s="1"/>
  <c r="H22" i="20" s="1"/>
  <c r="H13" i="20"/>
  <c r="F20" i="20"/>
  <c r="E21" i="20" s="1"/>
  <c r="H20" i="20" l="1"/>
  <c r="E23" i="20"/>
  <c r="H23" i="20" s="1"/>
  <c r="B7" i="21"/>
  <c r="E16" i="21" s="1"/>
  <c r="C13" i="21"/>
  <c r="D13" i="21" s="1"/>
  <c r="G13" i="21" s="1"/>
  <c r="E24" i="20"/>
  <c r="H24" i="20" s="1"/>
  <c r="C9" i="21" l="1"/>
  <c r="C14" i="21" s="1"/>
  <c r="D14" i="21" s="1"/>
  <c r="G14" i="21" s="1"/>
  <c r="C16" i="21"/>
  <c r="D16" i="21" s="1"/>
  <c r="G16" i="21" s="1"/>
  <c r="C7" i="21"/>
  <c r="C15" i="21"/>
  <c r="D15" i="21" s="1"/>
  <c r="G15" i="21" s="1"/>
  <c r="A18" i="21" l="1"/>
  <c r="C18" i="21" s="1"/>
  <c r="G18" i="21" s="1"/>
  <c r="G19" i="21" s="1"/>
  <c r="G20" i="21" l="1"/>
  <c r="G21" i="21" s="1"/>
  <c r="G22" i="21" s="1"/>
</calcChain>
</file>

<file path=xl/sharedStrings.xml><?xml version="1.0" encoding="utf-8"?>
<sst xmlns="http://schemas.openxmlformats.org/spreadsheetml/2006/main" count="424" uniqueCount="185">
  <si>
    <t>NOMBRE DEL PROYECTO:</t>
  </si>
  <si>
    <t>ITEM</t>
  </si>
  <si>
    <t>PRODUCTO</t>
  </si>
  <si>
    <t>ACTIVIDAD</t>
  </si>
  <si>
    <t>SALARIO MENSUAL</t>
  </si>
  <si>
    <t>SALARIO DIA</t>
  </si>
  <si>
    <t>TIEMPO EN DIAS</t>
  </si>
  <si>
    <t>Cadenero 1</t>
  </si>
  <si>
    <t>Cadenero 2</t>
  </si>
  <si>
    <t>Delineante de arquitectura</t>
  </si>
  <si>
    <t>Ingeniero sanitario</t>
  </si>
  <si>
    <t>TOTAL</t>
  </si>
  <si>
    <t>DESCRIPCION</t>
  </si>
  <si>
    <t>%</t>
  </si>
  <si>
    <t>Prestaciones Sociales</t>
  </si>
  <si>
    <t>Prima anual</t>
  </si>
  <si>
    <t>Vacaciones</t>
  </si>
  <si>
    <t>Plan obligatorio de salud</t>
  </si>
  <si>
    <t>Fondo de Pensiones</t>
  </si>
  <si>
    <t xml:space="preserve">Riesgos Profesionales </t>
  </si>
  <si>
    <t>Parafiscales: Caja de compensión</t>
  </si>
  <si>
    <t>Cesantías</t>
  </si>
  <si>
    <t>Intereses a las Cesantías</t>
  </si>
  <si>
    <t>UTILIDAD</t>
  </si>
  <si>
    <t>TOTAL Factor Multiplicador</t>
  </si>
  <si>
    <t>LISTADO DE MANO DE OBRA</t>
  </si>
  <si>
    <t>MANO DE OBRA</t>
  </si>
  <si>
    <t>SMLV</t>
  </si>
  <si>
    <t>ANÁLISIS DE PRECIO UNITARIO</t>
  </si>
  <si>
    <t>DESCRIPCIÓN</t>
  </si>
  <si>
    <t>UNIDAD</t>
  </si>
  <si>
    <t>CANTIDAD</t>
  </si>
  <si>
    <t>% DEDICACIÓN</t>
  </si>
  <si>
    <t>Costos directos</t>
  </si>
  <si>
    <t>Personal</t>
  </si>
  <si>
    <t>Profesional</t>
  </si>
  <si>
    <t>Costos indirectos</t>
  </si>
  <si>
    <t>FACTOR MULTIPLICADOR</t>
  </si>
  <si>
    <t>Salario Básico (Nómina Total Mensual)</t>
  </si>
  <si>
    <t>Gastos de papelería y equipos de oficina</t>
  </si>
  <si>
    <t>COSTOS INDIRECTOS</t>
  </si>
  <si>
    <t>Coordinador de consultoria</t>
  </si>
  <si>
    <t>Ensayos de laboratorio</t>
  </si>
  <si>
    <t>Perforaciones</t>
  </si>
  <si>
    <t>Límites de Atterberg (LL, LP y LC)</t>
  </si>
  <si>
    <t>COSTO DIRECTO - FACTOR PRESTACIONAL</t>
  </si>
  <si>
    <t>ICBF</t>
  </si>
  <si>
    <t>* Presupuesto indicativo para el calculo de la cadena de valor en la MGA</t>
  </si>
  <si>
    <t>Otros costos directos</t>
  </si>
  <si>
    <t>Día-equipo</t>
  </si>
  <si>
    <t>Ingeniero diseñador estructuras hidráulicas</t>
  </si>
  <si>
    <t>DESCRIPCIÓN ACTIVIDAD</t>
  </si>
  <si>
    <t>ENTREGABLES</t>
  </si>
  <si>
    <t>PROFESIONALES</t>
  </si>
  <si>
    <t>Ingeniero Civil con 5 años de experiencia general en el proyecto de infraestructura pública o privada</t>
  </si>
  <si>
    <t>Abogado</t>
  </si>
  <si>
    <t>PRESUPUESTO</t>
  </si>
  <si>
    <t>CRONOGRAMA Y FLUJO DE FONDOS</t>
  </si>
  <si>
    <t xml:space="preserve">Técnologo </t>
  </si>
  <si>
    <t xml:space="preserve">TIPO DE CARGO </t>
  </si>
  <si>
    <t>Mes</t>
  </si>
  <si>
    <t>Ayudante</t>
  </si>
  <si>
    <t>Asistencial</t>
  </si>
  <si>
    <t>Arquitecto urbanista</t>
  </si>
  <si>
    <t>Ingeniero civil</t>
  </si>
  <si>
    <t>Ingeniero electrico</t>
  </si>
  <si>
    <t>Equipos de topografía (GPS y ESTACIÓN)</t>
  </si>
  <si>
    <t>Costos oficina (arrendamiento, administración y servicios públicos, mantenimiento de oficinas, aseo, vigilancia,  y mantenimiento de vehículos de administración y gerencia,  documentación técnica,  gastos de viaje, gastos de representación)</t>
  </si>
  <si>
    <t>Papelería de la oficina del consultor para uso del proyecto (cafetería y otros gastos funcionamiento</t>
  </si>
  <si>
    <t>Muebles y equipos de oficina, pago programas, sistematización  y actualización tecnológica, rack.</t>
  </si>
  <si>
    <t>Personal administrativo, técnico y no técnico, no facturable, entrenamiento de personal, capacitación y actualización técnica (cursos, seminarios, congresos).</t>
  </si>
  <si>
    <t>Asesoría contable, tributaria (revisoría fiscal) y médica</t>
  </si>
  <si>
    <t>CÁLCULO DEL  FACTOR MULTIPLICADOR</t>
  </si>
  <si>
    <t>Salario Básico</t>
  </si>
  <si>
    <t>EPP</t>
  </si>
  <si>
    <t>Otros costos (Estampillas e impuestos)</t>
  </si>
  <si>
    <t>Pro deporte y recreacion</t>
  </si>
  <si>
    <t>Pro adulto mayor</t>
  </si>
  <si>
    <t>Pro cultura</t>
  </si>
  <si>
    <t>Pro hospital</t>
  </si>
  <si>
    <t>Reteica</t>
  </si>
  <si>
    <t xml:space="preserve">Honorarios </t>
  </si>
  <si>
    <t>Sena</t>
  </si>
  <si>
    <t>Dotación</t>
  </si>
  <si>
    <t>Examen de ingresp - egreso</t>
  </si>
  <si>
    <t>CON FM</t>
  </si>
  <si>
    <t xml:space="preserve">SALARIO </t>
  </si>
  <si>
    <t>UN</t>
  </si>
  <si>
    <t>Total</t>
  </si>
  <si>
    <t>Vr/Unitario</t>
  </si>
  <si>
    <t>Retefuente</t>
  </si>
  <si>
    <t>Transporte de personal</t>
  </si>
  <si>
    <t xml:space="preserve">Transporte de equipo </t>
  </si>
  <si>
    <t>Costo total</t>
  </si>
  <si>
    <t xml:space="preserve">IVA </t>
  </si>
  <si>
    <t>Ingeniero civil - especialista estructural</t>
  </si>
  <si>
    <t>Ingeniero civil - especialista hidrulica</t>
  </si>
  <si>
    <t xml:space="preserve">Ingeniero civil - especialista Geotecnia </t>
  </si>
  <si>
    <t xml:space="preserve">Documental </t>
  </si>
  <si>
    <t>Elaboración de informe con sus conclusiones y recomendaciones</t>
  </si>
  <si>
    <t xml:space="preserve">ml </t>
  </si>
  <si>
    <t>ml</t>
  </si>
  <si>
    <t>Perforación mecánica a cielo abierto para urbanismo</t>
  </si>
  <si>
    <t>Cant perfraciones</t>
  </si>
  <si>
    <t xml:space="preserve">Granulometria - clasificación </t>
  </si>
  <si>
    <t xml:space="preserve">Humedad natural </t>
  </si>
  <si>
    <t xml:space="preserve">Peso especifico </t>
  </si>
  <si>
    <t>CBR Inalterado</t>
  </si>
  <si>
    <t>cant ens x perf</t>
  </si>
  <si>
    <t>TOTAL COSTOS DIRECTOS + INDIRECTOS CON IVA</t>
  </si>
  <si>
    <t xml:space="preserve">Gastos de transporte de personal y equipos </t>
  </si>
  <si>
    <t xml:space="preserve">Gastos de transporte de personal para visita al sitio del proyecto </t>
  </si>
  <si>
    <r>
      <t>Plan de manejo ambiental.</t>
    </r>
    <r>
      <rPr>
        <sz val="10"/>
        <color indexed="8"/>
        <rFont val="Arial"/>
        <family val="2"/>
      </rPr>
      <t xml:space="preserve"> Incluye: análisis de riesgo e informe </t>
    </r>
  </si>
  <si>
    <t>Debera entregar:
El presupuesto de obra ordenado por capitulos de acuerdo con las especificaciones de construcción y las cantidades de obra deberán estar acompañadas de sus memorias, la programación de obra definiendo los tiempos de duración y secuencia de tiempos asociados a cada una de las diferentes actividades del presupuesto; regulando las etapas de construcción, determinando los tiempos teóricos de obra, que muestre la ruta crítica, fecha de iniciaciones primeras y últimas, fechas de finalización primeras y últimas y holgura de cada actividad, flujo de caja del proyecto, valores unitarios de las actividades que conforman el presupuesto para calcular el costo de actividades de obra(Análisis de Precios Unitarios -APU), estudio de precios de mercado mediante la solicitud de cotizaciones, este último se utiliza exclusivamente para la estimación de costos de muebles, herramientas y equipos, las cotizaciones se deben solicitar a fabricantes especializados y reconocidos en el mercado.</t>
  </si>
  <si>
    <t xml:space="preserve">GASTOS POR MES </t>
  </si>
  <si>
    <t xml:space="preserve">CRONOGRAMA Y FLUJO DE FONDOS </t>
  </si>
  <si>
    <t xml:space="preserve"> </t>
  </si>
  <si>
    <t>Elaboración de estudios y diseños para el Mejoramiento de la Red Vial Terciaria en el Municipio de Dabeiba, Departamento de Antioquia.</t>
  </si>
  <si>
    <t>SALARIO MINIMO 2025</t>
  </si>
  <si>
    <t>Ingeniero civil - especialista vías</t>
  </si>
  <si>
    <t>Pro justicia</t>
  </si>
  <si>
    <t xml:space="preserve">Topografo </t>
  </si>
  <si>
    <t>Materiales mojones</t>
  </si>
  <si>
    <t>Cant [km]</t>
  </si>
  <si>
    <t>* El presente presupuesto no incorpora interventoría ya que la supervisión será realizada de manera directa por la administración municipal con sus funcionarios. El proyecto contempla una coordinación de consultoria para garantizar la calidad y la correcta ejecución de cada uno de los componentes en apego a las especificaciones técnicas del proyecto.</t>
  </si>
  <si>
    <t>Estudio de suelos: Exploración de campo (apiques), ensayos de granulometria, limites de Atterberg, humedad natural y CBR a traves de la prueba de penetrómetro dinámico de cono; elaboración del informe, conclusiones y recomendaciones de diseño.</t>
  </si>
  <si>
    <t>Diseño Hidrologico e hidraulico: informe de diseño, determinación de los parametros hidrologicos e hidraulicos, memorias de calculo, determinación de la intensidad de la lluvia en la zona del proyecto, calculo del caudal de diseño, diseño hidraulico de alcantarillas, sistema berma- cuneta y aliviaderos.</t>
  </si>
  <si>
    <t>Presuesto de obra. Incluye: cálculo de administración, interventoria y factor multipicador; elaboración de Analis de precios unitarios (APU) y auxliares, memorias gráficas, cronograma y flujo financiero de obra, especificaciones técnicas y proceso constructivo.</t>
  </si>
  <si>
    <t>Diseño Geometrico de la vía, de conformidad con la normatividad INVIAS aplicable, metodología de diseño geometrico de la vía, planos y detalles del diseño.</t>
  </si>
  <si>
    <t>Plan de manejo de transito</t>
  </si>
  <si>
    <t>Ayudante Aforo</t>
  </si>
  <si>
    <t>Levantamiento topógrafico: Se utilizará personal experto con equipo de precisión. Incluye amarre geodesico dejando mojones materializados en campo para cada tramo para la georreferenciación de los proyectos, Informe, cartera topográfica, levantamiento topografico, planimetria con planta general, curvas y perfiles. Se debe garantizar que el levantamiento este ligado al sistema de coordenadas local.</t>
  </si>
  <si>
    <t>Diseño estructura de pavimento y análisis de transito: incidencia de la intensidad y  análisis de la composición del transito (aforos vehiculares), obtención de la capacidad de soporte de la subrasante, diseño de la estructura de pavimento, cumpliendo con la normatividad invias aplicable.</t>
  </si>
  <si>
    <t>SUBTOTAL</t>
  </si>
  <si>
    <t>IVA (19%)</t>
  </si>
  <si>
    <t>DEPARTAMENTO DE ANTIOQUIA</t>
  </si>
  <si>
    <t/>
  </si>
  <si>
    <t>INSERTE ESCUDO ENTIDAD AQUÍ</t>
  </si>
  <si>
    <t>CÁLCULO DE PÓLIZAS DE INTERVENTORÍA</t>
  </si>
  <si>
    <t>VALOR DEL CONTRATO ( $ )</t>
  </si>
  <si>
    <t>PLAZO DEL CONTRATO</t>
  </si>
  <si>
    <t>ANTICIPO</t>
  </si>
  <si>
    <t>TIPO DE GARANTÍA</t>
  </si>
  <si>
    <t>VALOR ASEGURADO</t>
  </si>
  <si>
    <t>COBERTURA 
( DÍAS )</t>
  </si>
  <si>
    <t>TASA 
ANUAL</t>
  </si>
  <si>
    <t>PRIMA</t>
  </si>
  <si>
    <t>BASE</t>
  </si>
  <si>
    <t>VALOR</t>
  </si>
  <si>
    <t>CUMPLIMIENTO</t>
  </si>
  <si>
    <t>BUEN MANEJO Y CORRECTA INVERSIÓN DEL ANTICIPO</t>
  </si>
  <si>
    <t>SALARIOS Y PRESTACIONES SOCIALES</t>
  </si>
  <si>
    <t>CALIDAD DEL SERVICIO</t>
  </si>
  <si>
    <t>DECRETO 1082 SMMLV RESPONSABILIDAD CIVIL</t>
  </si>
  <si>
    <t>SMMLV</t>
  </si>
  <si>
    <t>MONTO ASEGURABLE</t>
  </si>
  <si>
    <t>PLAZO MESES</t>
  </si>
  <si>
    <t>TASA ANUAL</t>
  </si>
  <si>
    <t>SUBTOTAL PRIMA</t>
  </si>
  <si>
    <t>GASTOS DE EXPEDICIÓN</t>
  </si>
  <si>
    <t>I.V.A.</t>
  </si>
  <si>
    <t>TOTAL POLIZAS</t>
  </si>
  <si>
    <t>MUNICIPIO DE DABEIBA</t>
  </si>
  <si>
    <t>PROVISIÓN PARA EL PAGO DE PRIMAS DE PÓLIZAS (GARANTÍAS)</t>
  </si>
  <si>
    <t>*EL PAGO DE GARANTIAS ES UN VALOR REEMBOLSABLE QUE SÓLO SE PAGARÁ DE ACUERDO AL COSTO REAL DE LAS PÓLIZAS ADQUIRIDAS</t>
  </si>
  <si>
    <t>El objetivo principal del estudio topográfico es realizar los levantamientos de campo con la
medición de parámetros de planimetría y altimetría, requeridos por los distintos
componentes y objetivos del proyecto que servirán de base en la preparación de los
documentos técnicos objeto del contrato. Se debe garantizar que el Levantamiento esté
ligado al sistema de coordenadas local (coordenadas cartográficas cartesianas), y la
información aitimétrica con la precisión requerida, referida al sistema de Catastro Municipal
y que permitan adelantar los trámites de permisos y licencia necesarios. Se deberá elaborar
el levantamiento topográfico detallado de la vía, efectuando los amarres al sistema de
coordenadas del IGAC (cuando aplique). El informe topográfico deberá contener la siguiente información:
a) Localización del proyecto donde se referencie la localización de los amarres al sistema de
coordenadas del IGAC, cuando no se cuente con placa certificada del IGAC y los puntos
internos de control amarrados a esos mojones, que permitan realizar el replanteo del
proyecto.
b) Memorias topográficas en original y dos (copias) y copia en medio magnética donde se
deben anexar las carteras topográficas.
c) Planos topográficos completos de cada una de las secciones transversales cada 20 metros y la sección en planta con cotas redondas cada metro, que incluyan todos los elementos
existentes como: Postes de energía, linderos, redes de servicios públicos, construcciones
aledañas, estructuras y/o obras hidráulicas, árboles, señales, accesos peatonales y
vehiculares a predios, sardineles, bordillos, entre otros.d) Dibujos, en versión digital e impreso mediante el uso de AutoCAD de los levantamientos
y cálculos ejecutados.
e) El topógrafo encargado del levantamiento topográfico, anexará en las memorias copia de
su respectiva matrícula profesional vigente.</t>
  </si>
  <si>
    <t>Conocer el perfil estratigráfico del suelo con base la exploración de campo (apiques),determinar mediante pruebas y ensayos de laboratorio las propiedades físicas-mecánicas
del suelo tales como: Granulometría, límites de Atterberg, humedad natural y CBR a través
de la prueba de penetrómetro dinámico de cono. Además, ubicar el nivel de aguas freáticas
o estables su ausencia.
El estudio de suelos deberá contener la siguiente información:
• Localización del proyecto y caracterización general del área de estudio.
• Investigación del suelo, donde se determine las propiedades físicas mecánicas del
subsuelo a partir de las exploraciones en campo (apiques). La localización de los apiques
debe ser georreferenciada.
• Perfiles estratigráficos de los diferentes apiques donde se identifique existencia de nivel
freático y el tipo de material de acuerdo con la clasificación de la CUSC y la ASHTO
• Resultados y análisis. Granulometría, humedad natural, materia orgánica, límites de
Atterberg y CBR.
• Análisis de resultados y recomendaciones para el diseño de las estructuras de acuerdo
al tipo de proyecto.</t>
  </si>
  <si>
    <t>Corresponde al diseño geométrico de la vía de acuerdo a la normatividad INVIAS, y tendrá en cuenta las
ubicaciones de las estructuras de drenaje (aliviaderos y alcantarillas) en las
recomendaciones y conclusiones del estudio de suelos La memoria de diseño debe incluir
en su contenido la siguiente información:
a) Información general del proyecto.
b) Metodología del diseño geométrico de la vía
c) Planos y detalles del diseño con los siguientes elementos:
- Plano en planta del eje de la vía con el diseño de las curvas horizontales
- Plano con el perfil longitudinal de la vía y el diseño de las curvas verticales
- Secciones trasversales cada 20 metros
El contratista está obligado a entregar al contratante dos (2) juegos impresos (original y 2
copias) de la totalidad de los planos de diseños, al igual que los correspondientes medios
ópticos (Discos compactos), anexará en las memorias copia de su respectiva matrícula
profesional vigente.</t>
  </si>
  <si>
    <t>El diseño estructural deberá corresponder en un todo con el diseño geométrico de la vía y
al análisis de tránsito, y estar basado en las recomendaciones y conclusiones del estudio de
suelos.
El diseño estructural debe cumplir como con los criterios de diseño mínimos adoptados por
la guía de diseño de pavimentos con placa huella del Instituto Nacional de Vías INVIAS. Como mínimo se deberán contener:
a) Análisis de la composición del tránsito donde se verifique las características de diseño de
acuerdo a la guía de diseño de pavimentos con placa huella.
b) Definición de las características de la mezcla de concreto para cada uno de los elementos
estructurales que componen la placa huella (resistencia a la compresión, tamaño máximo
de los agregados y asentamientos), diseño de mezcla.
c) Planos estructurales constructivos, los cuales deben contemplar las plantas con
localización y dimensiones de todos los elementos, los despieces y colocación de refuerzos,
traslapos, longitudes de desarrollo, cortes y detalles especiales que se requieran para una
fácil interpretación y ejecución.
Dentro de los planos, se deberá indicar las especificaciones de los materiales de construcción
y toda la información que se considere relevante para la construcción y supervisión técnica.
Deberá entregarse como mínimo la siguiente información:
- Esquema en planta, perfil y detalles de la placa huella (incluye bordillo y cuneta si aplica)
- Distribución del acero de refuerzo
- Planta y perfil de viga riostra
El contratista está obligado a entregar al contratante dos (2) juegos impresos (original y 2
copias) de la totalidad de los planos de diseños, al igual que los correspondientes medios
ópticos (Discos compactos), anexará en las memorias copia de su respectiva matrícula
profesional vigente.
Carta de responsabilidad del Diseñador con copia de la matrícula profesional del calculista
responsable.</t>
  </si>
  <si>
    <t>El diseño comprende el diseño de drenaje superficial de la vía necesarios para garantizar la
estabilidad de la estructura, la evacuación y disposición de las aguas lluvias. Debe cumplir
las recomendaciones para el diseño de drenaje superficial de la vía, de acuerdo a la guía de
diseño de pavimentos con placa huella del Instituto Nacional de Vías INVIAS.
Se deben entregar memorias de cálculo y los planos de diseños hidráulicos cumpliendo todas
las normas vigentes, además de los planos de detalles, cortes y perfiles. Como mínimo se deberán contener:
a) Memorias de cálculo. Consistente en la determinar la intensidad de la lluvia en la zona
del proyecto, cálculo del caudal de diseño, diseño de hidráulico alcantarillas, sistema bermacuneta
y aliviaderos.
b) Planos de detalles de las obras hidráulicas.
c) Detalles constructivos.
d) Normas técnicas de diseño aplicables - Guía de diseño de pavimentos 
del Instituto Nacional de Vías INVIAS.</t>
  </si>
  <si>
    <t xml:space="preserve">Deberá entregar:
PMA con la siguiente información mínima: Descripción y localización del proyecto: Descripción del proyecto y de las actividades constructivas del proyecto. Caracterización ambiental del área de estudio: Línea base y caracterización de los aspectos biofísicos y socioeconómicos del área directa e indirecta del proyecto en sus diferentes componentes, demanda ambiental de recursos para el proyecto. Identificación y evaluación de los impactos ambientales: Metodología de identificación de impactos, descripción y valoración de impactos sin proyecto y con proyecto. Medidas de manejo ambiental: Planteamiento de medidas preventivas, correctivas y compensatorias de los impactos ambientales generados proel proyecto en su etapa de construcción y operación, con sus indicadores de seguimiento. Presupuesto general. Carta de responsabilidad: Se anexará certificado de responsabilidad del profesional responsable del PMA con copia de la matrícula profesional. El PMA se elaborará teniendo en cuenta los requerimientos normativos para este tipo de proyectos, en concordancia con los requerimientos de la autoridad ambiental. </t>
  </si>
  <si>
    <t xml:space="preserve"> Documento técnico del PMT (justificación, normatividad, descripción de la obra).
 Diagnóstico de movilidad (aforos, riesgos, caracterización de usuarios).
 Planos y esquemas gráficos (zona de intervención, desvíos, señalización).
 Plan de señalización y dispositivos de control temporal.
 Plan de desvíos y rutas alternas.
 Cronograma de aplicación del PMT.
 Plan de contingencia y seguridad vial.
 Plan de comunicación e información al usuario.
 Informe de personal y recursos asignados.
 Informe final con registro fotográfico y actas de verificación.</t>
  </si>
  <si>
    <t>Topógrafo  titulado con mínimo 3 años de experiencia en levantamientos topográficos, que haya participado en la construcción de obras de infraestructura pública o privada de vias y auxiliar de campo</t>
  </si>
  <si>
    <t xml:space="preserve">  ingeniero civil especialista en geotecnia. el laboratorio donde se relicen los ensayos deberia esta debidamente acreditado y con certificación de calidad ICONTEC que garantice la calidad de los resultados entregados en los estudios.</t>
  </si>
  <si>
    <t>Ingeniero sanitario, Ingeniero Ambiental o Ingeniero civil  con 3 años de experiencia general o como especialista en el área ambiental</t>
  </si>
  <si>
    <t>Ingeniero civil especialista en vias con experiencia mínima de 3 años en la construcción y/o diseño de proyectos de infraestructura vial o Ingeniero Civil con 5 años de experiencia general en el proyecto de infraestructura pública o privada</t>
  </si>
  <si>
    <t>Ingeniero civil especialista en vias con experiencia mínima de 3 años en la construcción y/o diseño de proyectos de infraestructura vial o Ingeniero Civil con 5 años de experiencia general en  proyectos de infraestructura pública o privada</t>
  </si>
  <si>
    <t>Ingeniero civil especialista en hidraulica e hidrologia con experiencia mínima de 3 años en la construcción y/o diseño de proyectos de infraestructura vial o Ingeniero Civil con 5 años de experiencia general en  proyectos de infraestructura pública o privada</t>
  </si>
  <si>
    <t>Ingeniero civil con experiencia mínima de 3 años en la construcción y/o diseño de proyectos de infraestructura vial Ingeniero Civil con 5 años de experiencia general en el proyecto de infraestructura pública o privada</t>
  </si>
  <si>
    <t>IVA</t>
  </si>
  <si>
    <t>POLIZAS</t>
  </si>
  <si>
    <t>SUB TOTAL</t>
  </si>
  <si>
    <t xml:space="preserve">HADY LORENA VILLA </t>
  </si>
  <si>
    <t>Secretaria de Planeación y Habitat</t>
  </si>
  <si>
    <t>Municipio de Dabeiba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</si>
</sst>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 #,##0;\-&quot;$&quot;\ #,##0"/>
    <numFmt numFmtId="44" formatCode="_-&quot;$&quot;\ * #,##0.00_-;\-&quot;$&quot;\ * #,##0.00_-;_-&quot;$&quot;\ * &quot;-&quot;??_-;_-@_-"/>
    <numFmt numFmtId="164" formatCode="&quot;$&quot;#,##0.00;[Red]\-&quot;$&quot;#,##0.00"/>
    <numFmt numFmtId="165" formatCode="_-&quot;$&quot;* #,##0_-;\-&quot;$&quot;* #,##0_-;_-&quot;$&quot;* &quot;-&quot;_-;_-@_-"/>
    <numFmt numFmtId="166" formatCode="_-&quot;$&quot;* #,##0.00_-;\-&quot;$&quot;* #,##0.00_-;_-&quot;$&quot;* &quot;-&quot;??_-;_-@_-"/>
    <numFmt numFmtId="167" formatCode="_(* #,##0.00_);_(* \(#,##0.00\);_(* &quot;-&quot;??_);_(@_)"/>
    <numFmt numFmtId="168" formatCode="_(&quot;$&quot;* #,##0.00_);_(&quot;$&quot;* \(#,##0.00\);_(&quot;$&quot;* &quot;-&quot;??_);_(@_)"/>
    <numFmt numFmtId="169" formatCode="_ &quot;$&quot;\ * #,##0_ ;_ &quot;$&quot;\ * \-#,##0_ ;_ &quot;$&quot;\ * &quot;-&quot;_ ;_ @_ "/>
    <numFmt numFmtId="170" formatCode="_ * #,##0_ ;_ * \-#,##0_ ;_ * &quot;-&quot;_ ;_ @_ "/>
    <numFmt numFmtId="171" formatCode="_ &quot;$&quot;\ * #,##0.00_ ;_ &quot;$&quot;\ * \-#,##0.00_ ;_ &quot;$&quot;\ * &quot;-&quot;??_ ;_ @_ "/>
    <numFmt numFmtId="172" formatCode="_ * #,##0.00_ ;_ * \-#,##0.00_ ;_ * &quot;-&quot;??_ ;_ @_ "/>
    <numFmt numFmtId="173" formatCode="0.0000"/>
    <numFmt numFmtId="174" formatCode="_-[$€-2]* #,##0.00_-;\-[$€-2]* #,##0.00_-;_-[$€-2]* &quot;-&quot;??_-"/>
    <numFmt numFmtId="175" formatCode="0.000"/>
    <numFmt numFmtId="176" formatCode="&quot;$&quot;\ #,##0"/>
    <numFmt numFmtId="177" formatCode="_-_$\ * #,##0.00_ ;_-_$\ * \-#,##0.00\ ;_-_$\ * &quot;-&quot;??_ ;_-@_ "/>
    <numFmt numFmtId="178" formatCode="#,##0.0"/>
    <numFmt numFmtId="179" formatCode="_-[$$-240A]\ * #,##0_-;\-[$$-240A]\ * #,##0_-;_-[$$-240A]\ * &quot;-&quot;??_-;_-@_-"/>
    <numFmt numFmtId="180" formatCode="#,##0.00&quot; SMMLV&quot;"/>
    <numFmt numFmtId="181" formatCode="#,##0.0&quot; MESES&quot;"/>
    <numFmt numFmtId="182" formatCode="#,##0&quot; DÍAS&quot;"/>
  </numFmts>
  <fonts count="34" x14ac:knownFonts="1">
    <font>
      <sz val="10"/>
      <color indexed="8"/>
      <name val="Arial"/>
    </font>
    <font>
      <sz val="11"/>
      <color theme="1"/>
      <name val="Calibri"/>
      <family val="2"/>
      <scheme val="minor"/>
    </font>
    <font>
      <sz val="10"/>
      <color indexed="8"/>
      <name val="Arial"/>
      <family val="2"/>
    </font>
    <font>
      <sz val="10"/>
      <color indexed="8"/>
      <name val="Arial"/>
      <family val="2"/>
    </font>
    <font>
      <sz val="12"/>
      <color indexed="24"/>
      <name val="Arial"/>
      <family val="2"/>
    </font>
    <font>
      <b/>
      <sz val="18"/>
      <color indexed="24"/>
      <name val="Arial"/>
      <family val="2"/>
    </font>
    <font>
      <u/>
      <sz val="7"/>
      <color indexed="12"/>
      <name val="MS Sans Serif"/>
    </font>
    <font>
      <u/>
      <sz val="7"/>
      <color indexed="20"/>
      <name val="MS Sans Serif"/>
    </font>
    <font>
      <b/>
      <sz val="12"/>
      <color indexed="8"/>
      <name val="Arial Narrow"/>
      <family val="2"/>
    </font>
    <font>
      <sz val="12"/>
      <color indexed="8"/>
      <name val="Arial Narrow"/>
      <family val="2"/>
    </font>
    <font>
      <sz val="11"/>
      <color indexed="8"/>
      <name val="Calibri"/>
      <family val="2"/>
    </font>
    <font>
      <sz val="11"/>
      <color indexed="9"/>
      <name val="Calibri"/>
      <family val="2"/>
    </font>
    <font>
      <b/>
      <sz val="11"/>
      <color indexed="9"/>
      <name val="Calibri"/>
      <family val="2"/>
    </font>
    <font>
      <sz val="11"/>
      <color indexed="61"/>
      <name val="Calibri"/>
      <family val="2"/>
    </font>
    <font>
      <b/>
      <sz val="11"/>
      <color indexed="59"/>
      <name val="Calibri"/>
      <family val="2"/>
    </font>
    <font>
      <b/>
      <sz val="15"/>
      <color indexed="58"/>
      <name val="Calibri"/>
      <family val="2"/>
    </font>
    <font>
      <sz val="11"/>
      <color indexed="55"/>
      <name val="Calibri"/>
      <family val="2"/>
    </font>
    <font>
      <sz val="11"/>
      <color indexed="54"/>
      <name val="Calibri"/>
      <family val="2"/>
    </font>
    <font>
      <sz val="12"/>
      <color indexed="8"/>
      <name val="Arial"/>
      <family val="2"/>
    </font>
    <font>
      <b/>
      <sz val="12"/>
      <color indexed="8"/>
      <name val="Arial"/>
      <family val="2"/>
    </font>
    <font>
      <b/>
      <sz val="10"/>
      <color indexed="8"/>
      <name val="Arial"/>
      <family val="2"/>
    </font>
    <font>
      <sz val="10"/>
      <name val="Arial"/>
      <family val="2"/>
    </font>
    <font>
      <b/>
      <sz val="8"/>
      <color indexed="8"/>
      <name val="Arial"/>
      <family val="2"/>
    </font>
    <font>
      <b/>
      <sz val="11"/>
      <color theme="1"/>
      <name val="Calibri"/>
      <family val="2"/>
      <scheme val="minor"/>
    </font>
    <font>
      <sz val="10"/>
      <color indexed="8"/>
      <name val="Arial"/>
      <family val="2"/>
    </font>
    <font>
      <sz val="12"/>
      <color theme="1"/>
      <name val="Arial"/>
      <family val="2"/>
    </font>
    <font>
      <b/>
      <sz val="14"/>
      <color indexed="8"/>
      <name val="Calibri"/>
      <family val="2"/>
    </font>
    <font>
      <b/>
      <sz val="16"/>
      <color indexed="8"/>
      <name val="Calibri"/>
      <family val="2"/>
    </font>
    <font>
      <b/>
      <sz val="12"/>
      <color indexed="8"/>
      <name val="Calibri"/>
      <family val="2"/>
    </font>
    <font>
      <b/>
      <sz val="11"/>
      <color indexed="8"/>
      <name val="Calibri"/>
      <family val="2"/>
    </font>
    <font>
      <b/>
      <sz val="8"/>
      <color rgb="FFEAEAEA"/>
      <name val="Calibri"/>
      <family val="2"/>
    </font>
    <font>
      <sz val="10"/>
      <color indexed="8"/>
      <name val="Calibri"/>
      <family val="2"/>
    </font>
    <font>
      <b/>
      <sz val="10"/>
      <color indexed="8"/>
      <name val="Calibri"/>
      <family val="2"/>
    </font>
    <font>
      <sz val="11"/>
      <color theme="1"/>
      <name val="Calibri"/>
      <family val="2"/>
    </font>
  </fonts>
  <fills count="41">
    <fill>
      <patternFill patternType="none"/>
    </fill>
    <fill>
      <patternFill patternType="gray125"/>
    </fill>
    <fill>
      <patternFill patternType="solid">
        <fgColor indexed="50"/>
        <bgColor indexed="64"/>
      </patternFill>
    </fill>
    <fill>
      <patternFill patternType="solid">
        <fgColor indexed="49"/>
        <bgColor indexed="64"/>
      </patternFill>
    </fill>
    <fill>
      <patternFill patternType="solid">
        <fgColor indexed="48"/>
        <bgColor indexed="64"/>
      </patternFill>
    </fill>
    <fill>
      <patternFill patternType="solid">
        <fgColor indexed="39"/>
        <bgColor indexed="64"/>
      </patternFill>
    </fill>
    <fill>
      <patternFill patternType="solid">
        <fgColor indexed="38"/>
        <bgColor indexed="64"/>
      </patternFill>
    </fill>
    <fill>
      <patternFill patternType="solid">
        <fgColor indexed="37"/>
        <bgColor indexed="64"/>
      </patternFill>
    </fill>
    <fill>
      <patternFill patternType="solid">
        <fgColor indexed="36"/>
        <bgColor indexed="64"/>
      </patternFill>
    </fill>
    <fill>
      <patternFill patternType="solid">
        <fgColor indexed="35"/>
        <bgColor indexed="64"/>
      </patternFill>
    </fill>
    <fill>
      <patternFill patternType="solid">
        <fgColor indexed="34"/>
        <bgColor indexed="64"/>
      </patternFill>
    </fill>
    <fill>
      <patternFill patternType="solid">
        <fgColor indexed="45"/>
        <bgColor indexed="64"/>
      </patternFill>
    </fill>
    <fill>
      <patternFill patternType="solid">
        <fgColor indexed="29"/>
      </patternFill>
    </fill>
    <fill>
      <patternFill patternType="solid">
        <fgColor indexed="44"/>
        <bgColor indexed="64"/>
      </patternFill>
    </fill>
    <fill>
      <patternFill patternType="solid">
        <fgColor indexed="42"/>
        <bgColor indexed="64"/>
      </patternFill>
    </fill>
    <fill>
      <patternFill patternType="solid">
        <fgColor indexed="41"/>
        <bgColor indexed="64"/>
      </patternFill>
    </fill>
    <fill>
      <patternFill patternType="solid">
        <fgColor indexed="40"/>
        <bgColor indexed="64"/>
      </patternFill>
    </fill>
    <fill>
      <patternFill patternType="solid">
        <fgColor indexed="32"/>
        <bgColor indexed="64"/>
      </patternFill>
    </fill>
    <fill>
      <patternFill patternType="solid">
        <fgColor indexed="31"/>
        <bgColor indexed="64"/>
      </patternFill>
    </fill>
    <fill>
      <patternFill patternType="solid">
        <fgColor indexed="46"/>
        <bgColor indexed="64"/>
      </patternFill>
    </fill>
    <fill>
      <patternFill patternType="solid">
        <fgColor indexed="30"/>
        <bgColor indexed="64"/>
      </patternFill>
    </fill>
    <fill>
      <patternFill patternType="solid">
        <fgColor indexed="29"/>
        <bgColor indexed="64"/>
      </patternFill>
    </fill>
    <fill>
      <patternFill patternType="solid">
        <fgColor indexed="33"/>
        <bgColor indexed="64"/>
      </patternFill>
    </fill>
    <fill>
      <patternFill patternType="solid">
        <fgColor indexed="43"/>
        <bgColor indexed="64"/>
      </patternFill>
    </fill>
    <fill>
      <patternFill patternType="solid">
        <fgColor indexed="26"/>
        <bgColor indexed="64"/>
      </patternFill>
    </fill>
    <fill>
      <patternFill patternType="solid">
        <fgColor indexed="25"/>
        <bgColor indexed="64"/>
      </patternFill>
    </fill>
    <fill>
      <patternFill patternType="solid">
        <fgColor indexed="21"/>
        <bgColor indexed="64"/>
      </patternFill>
    </fill>
    <fill>
      <patternFill patternType="solid">
        <fgColor indexed="16"/>
        <bgColor indexed="64"/>
      </patternFill>
    </fill>
    <fill>
      <patternFill patternType="solid">
        <fgColor indexed="1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34998626667073579"/>
        <bgColor indexed="64"/>
      </patternFill>
    </fill>
  </fills>
  <borders count="22">
    <border>
      <left/>
      <right/>
      <top/>
      <bottom/>
      <diagonal/>
    </border>
    <border>
      <left/>
      <right/>
      <top/>
      <bottom style="thick">
        <color indexed="27"/>
      </bottom>
      <diagonal/>
    </border>
    <border>
      <left style="thin">
        <color indexed="51"/>
      </left>
      <right style="thin">
        <color indexed="51"/>
      </right>
      <top style="thin">
        <color indexed="51"/>
      </top>
      <bottom style="thin">
        <color indexed="51"/>
      </bottom>
      <diagonal/>
    </border>
    <border>
      <left style="double">
        <color indexed="53"/>
      </left>
      <right style="double">
        <color indexed="53"/>
      </right>
      <top style="double">
        <color indexed="53"/>
      </top>
      <bottom style="double">
        <color indexed="5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double">
        <color indexed="64"/>
      </left>
      <right/>
      <top/>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top style="thin">
        <color indexed="64"/>
      </top>
      <bottom style="thin">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4">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pplyNumberFormat="0" applyFont="0" applyFill="0" applyBorder="0" applyAlignment="0" applyProtection="0"/>
    <xf numFmtId="0" fontId="10" fillId="2" borderId="0"/>
    <xf numFmtId="0" fontId="10" fillId="3" borderId="0"/>
    <xf numFmtId="0" fontId="10" fillId="4" borderId="0"/>
    <xf numFmtId="0" fontId="10" fillId="5" borderId="0"/>
    <xf numFmtId="0" fontId="10" fillId="6" borderId="0"/>
    <xf numFmtId="0" fontId="11" fillId="7" borderId="0"/>
    <xf numFmtId="0" fontId="11" fillId="8" borderId="0"/>
    <xf numFmtId="0" fontId="11" fillId="9" borderId="0"/>
    <xf numFmtId="0" fontId="11" fillId="10" borderId="0"/>
    <xf numFmtId="0" fontId="15" fillId="0" borderId="1"/>
    <xf numFmtId="0" fontId="10" fillId="11" borderId="0"/>
    <xf numFmtId="0" fontId="10" fillId="13" borderId="0"/>
    <xf numFmtId="0" fontId="10" fillId="14" borderId="0"/>
    <xf numFmtId="0" fontId="10" fillId="15" borderId="0"/>
    <xf numFmtId="0" fontId="10" fillId="16" borderId="0"/>
    <xf numFmtId="0" fontId="11" fillId="17" borderId="0"/>
    <xf numFmtId="166" fontId="10" fillId="0" borderId="0"/>
    <xf numFmtId="0" fontId="13" fillId="18" borderId="0"/>
    <xf numFmtId="0" fontId="10" fillId="19" borderId="0"/>
    <xf numFmtId="0" fontId="3" fillId="0" borderId="0"/>
    <xf numFmtId="0" fontId="3" fillId="0" borderId="0"/>
    <xf numFmtId="0" fontId="14" fillId="20" borderId="2"/>
    <xf numFmtId="0" fontId="12" fillId="21" borderId="3"/>
    <xf numFmtId="0" fontId="11" fillId="22" borderId="0"/>
    <xf numFmtId="0" fontId="10" fillId="23" borderId="0"/>
    <xf numFmtId="0" fontId="11" fillId="24" borderId="0"/>
    <xf numFmtId="0" fontId="11" fillId="25" borderId="0"/>
    <xf numFmtId="0" fontId="11" fillId="26" borderId="0"/>
    <xf numFmtId="174" fontId="3" fillId="0" borderId="0"/>
    <xf numFmtId="2" fontId="4" fillId="0" borderId="0"/>
    <xf numFmtId="0" fontId="5" fillId="0" borderId="0"/>
    <xf numFmtId="0" fontId="6" fillId="0" borderId="0">
      <alignment vertical="top"/>
      <protection locked="0"/>
    </xf>
    <xf numFmtId="0" fontId="7" fillId="0" borderId="0">
      <alignment vertical="top"/>
      <protection locked="0"/>
    </xf>
    <xf numFmtId="0" fontId="16" fillId="27" borderId="0"/>
    <xf numFmtId="172" fontId="3" fillId="0" borderId="0"/>
    <xf numFmtId="170" fontId="3" fillId="0" borderId="0"/>
    <xf numFmtId="177" fontId="10" fillId="0" borderId="0"/>
    <xf numFmtId="167" fontId="10" fillId="0" borderId="0"/>
    <xf numFmtId="168" fontId="3" fillId="0" borderId="0"/>
    <xf numFmtId="177" fontId="3" fillId="0" borderId="0"/>
    <xf numFmtId="171" fontId="3" fillId="0" borderId="0"/>
    <xf numFmtId="169" fontId="3" fillId="0" borderId="0"/>
    <xf numFmtId="165" fontId="10" fillId="0" borderId="0"/>
    <xf numFmtId="0" fontId="17" fillId="28" borderId="0"/>
    <xf numFmtId="0" fontId="3" fillId="0" borderId="0"/>
    <xf numFmtId="164" fontId="3" fillId="0" borderId="0"/>
    <xf numFmtId="44" fontId="24" fillId="0" borderId="0" applyFont="0" applyFill="0" applyBorder="0" applyAlignment="0" applyProtection="0"/>
    <xf numFmtId="0" fontId="1" fillId="0" borderId="0"/>
  </cellStyleXfs>
  <cellXfs count="257">
    <xf numFmtId="0" fontId="3" fillId="0" borderId="0" xfId="0" applyFont="1"/>
    <xf numFmtId="0" fontId="9" fillId="0" borderId="4" xfId="0" applyFont="1" applyBorder="1" applyAlignment="1">
      <alignment vertical="center" wrapText="1"/>
    </xf>
    <xf numFmtId="49" fontId="8" fillId="0" borderId="0" xfId="0" applyNumberFormat="1" applyFont="1" applyAlignment="1">
      <alignment vertical="center"/>
    </xf>
    <xf numFmtId="0" fontId="8" fillId="0" borderId="0" xfId="0" applyFont="1" applyAlignment="1">
      <alignment vertical="center" wrapText="1"/>
    </xf>
    <xf numFmtId="49" fontId="8" fillId="0" borderId="0" xfId="0" applyNumberFormat="1" applyFont="1" applyAlignment="1">
      <alignment vertical="center" wrapText="1"/>
    </xf>
    <xf numFmtId="0" fontId="18" fillId="0" borderId="0" xfId="0" applyFont="1" applyAlignment="1">
      <alignment vertical="center" wrapText="1"/>
    </xf>
    <xf numFmtId="0" fontId="19" fillId="0" borderId="5" xfId="0" applyFont="1" applyBorder="1" applyAlignment="1">
      <alignment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9" xfId="0" applyFont="1" applyBorder="1" applyAlignment="1">
      <alignment horizontal="center" vertical="center"/>
    </xf>
    <xf numFmtId="0" fontId="19" fillId="0" borderId="10" xfId="0" applyFont="1" applyBorder="1" applyAlignment="1">
      <alignment horizontal="center" vertical="center"/>
    </xf>
    <xf numFmtId="176" fontId="18" fillId="0" borderId="4" xfId="0" applyNumberFormat="1" applyFont="1" applyBorder="1" applyAlignment="1">
      <alignment horizontal="center" vertical="center" wrapText="1"/>
    </xf>
    <xf numFmtId="0" fontId="18" fillId="0" borderId="11" xfId="0" applyFont="1" applyBorder="1" applyAlignment="1">
      <alignment horizontal="center" vertical="center" wrapText="1"/>
    </xf>
    <xf numFmtId="0" fontId="19" fillId="0" borderId="11" xfId="0" applyFont="1" applyBorder="1" applyAlignment="1">
      <alignment horizontal="center" vertical="center"/>
    </xf>
    <xf numFmtId="0" fontId="19" fillId="0" borderId="0" xfId="0" applyFont="1" applyAlignment="1">
      <alignment vertical="top" wrapText="1"/>
    </xf>
    <xf numFmtId="0" fontId="18" fillId="0" borderId="0" xfId="0" applyFont="1" applyAlignment="1">
      <alignment horizontal="center" vertical="center" wrapText="1"/>
    </xf>
    <xf numFmtId="0" fontId="18" fillId="0" borderId="0" xfId="0" applyFont="1" applyAlignment="1">
      <alignment horizontal="left" vertical="center" wrapText="1"/>
    </xf>
    <xf numFmtId="176" fontId="19" fillId="0" borderId="0" xfId="0" applyNumberFormat="1" applyFont="1" applyAlignment="1">
      <alignment horizontal="center" vertical="center" wrapText="1"/>
    </xf>
    <xf numFmtId="0" fontId="18" fillId="0" borderId="0" xfId="0" applyFont="1" applyAlignment="1">
      <alignment horizontal="left"/>
    </xf>
    <xf numFmtId="0" fontId="18" fillId="0" borderId="0" xfId="0" applyFont="1"/>
    <xf numFmtId="0" fontId="18" fillId="0" borderId="0" xfId="0" applyFont="1" applyAlignment="1">
      <alignment wrapText="1"/>
    </xf>
    <xf numFmtId="0" fontId="18" fillId="0" borderId="0" xfId="0" applyFont="1" applyAlignment="1">
      <alignment horizontal="center"/>
    </xf>
    <xf numFmtId="0" fontId="19" fillId="0" borderId="0" xfId="0" applyFont="1" applyAlignment="1">
      <alignment horizontal="left" indent="4"/>
    </xf>
    <xf numFmtId="0" fontId="18" fillId="0" borderId="0" xfId="0" applyFont="1" applyAlignment="1">
      <alignment horizontal="left" indent="4"/>
    </xf>
    <xf numFmtId="0" fontId="18" fillId="0" borderId="0" xfId="0" applyFont="1" applyAlignment="1">
      <alignment horizontal="left" vertical="center" wrapText="1" indent="4"/>
    </xf>
    <xf numFmtId="0" fontId="19" fillId="12" borderId="12" xfId="0" applyFont="1" applyFill="1" applyBorder="1" applyAlignment="1">
      <alignment vertical="center" wrapText="1"/>
    </xf>
    <xf numFmtId="0" fontId="19" fillId="0" borderId="12" xfId="0" applyFont="1" applyBorder="1" applyAlignment="1">
      <alignment horizontal="center" vertical="center" wrapText="1"/>
    </xf>
    <xf numFmtId="49" fontId="20" fillId="0" borderId="0" xfId="0" applyNumberFormat="1" applyFont="1" applyAlignment="1">
      <alignment vertical="center"/>
    </xf>
    <xf numFmtId="0" fontId="2" fillId="0" borderId="0" xfId="0" applyFont="1"/>
    <xf numFmtId="0" fontId="20" fillId="0" borderId="0" xfId="0" applyFont="1" applyAlignment="1">
      <alignment vertical="center" wrapText="1"/>
    </xf>
    <xf numFmtId="49" fontId="20" fillId="0" borderId="0" xfId="0" applyNumberFormat="1" applyFont="1" applyAlignment="1">
      <alignment vertical="center" wrapText="1"/>
    </xf>
    <xf numFmtId="0" fontId="2" fillId="0" borderId="4" xfId="0" applyFont="1" applyBorder="1" applyAlignment="1">
      <alignment horizontal="center"/>
    </xf>
    <xf numFmtId="0" fontId="20" fillId="0" borderId="4" xfId="0" applyFont="1" applyBorder="1" applyAlignment="1">
      <alignment horizontal="center"/>
    </xf>
    <xf numFmtId="0" fontId="20" fillId="0" borderId="4" xfId="0" applyFont="1" applyBorder="1" applyAlignment="1">
      <alignment horizontal="left"/>
    </xf>
    <xf numFmtId="10" fontId="20" fillId="0" borderId="4" xfId="0" applyNumberFormat="1" applyFont="1" applyBorder="1" applyAlignment="1">
      <alignment horizontal="center"/>
    </xf>
    <xf numFmtId="10" fontId="2" fillId="0" borderId="4" xfId="0" applyNumberFormat="1" applyFont="1" applyBorder="1" applyAlignment="1">
      <alignment horizontal="center"/>
    </xf>
    <xf numFmtId="10" fontId="2" fillId="0" borderId="0" xfId="0" applyNumberFormat="1" applyFont="1"/>
    <xf numFmtId="10" fontId="2" fillId="0" borderId="13" xfId="0" applyNumberFormat="1" applyFont="1" applyBorder="1" applyAlignment="1">
      <alignment horizontal="center"/>
    </xf>
    <xf numFmtId="9" fontId="21" fillId="0" borderId="4" xfId="0" applyNumberFormat="1" applyFont="1" applyBorder="1" applyAlignment="1">
      <alignment horizontal="center"/>
    </xf>
    <xf numFmtId="0" fontId="2" fillId="0" borderId="0" xfId="0" applyFont="1" applyAlignment="1">
      <alignment horizontal="center"/>
    </xf>
    <xf numFmtId="173" fontId="20" fillId="0" borderId="0" xfId="0" applyNumberFormat="1" applyFont="1" applyAlignment="1">
      <alignment horizontal="center"/>
    </xf>
    <xf numFmtId="175" fontId="20" fillId="29" borderId="4" xfId="0" applyNumberFormat="1" applyFont="1" applyFill="1" applyBorder="1" applyAlignment="1">
      <alignment horizontal="center"/>
    </xf>
    <xf numFmtId="0" fontId="20" fillId="30" borderId="4" xfId="0" applyFont="1" applyFill="1" applyBorder="1" applyAlignment="1">
      <alignment horizontal="center"/>
    </xf>
    <xf numFmtId="10" fontId="20" fillId="30" borderId="4" xfId="0" applyNumberFormat="1" applyFont="1" applyFill="1" applyBorder="1" applyAlignment="1">
      <alignment horizontal="center"/>
    </xf>
    <xf numFmtId="177" fontId="20" fillId="0" borderId="4" xfId="0" applyNumberFormat="1" applyFont="1" applyBorder="1" applyAlignment="1">
      <alignment horizontal="center" vertical="center" wrapText="1"/>
    </xf>
    <xf numFmtId="177" fontId="20" fillId="0" borderId="14" xfId="0" applyNumberFormat="1" applyFont="1" applyBorder="1" applyAlignment="1">
      <alignment horizontal="center" vertical="center" wrapText="1"/>
    </xf>
    <xf numFmtId="3" fontId="2" fillId="0" borderId="4" xfId="0" applyNumberFormat="1" applyFont="1" applyBorder="1" applyAlignment="1">
      <alignment horizontal="left" vertical="center" wrapText="1"/>
    </xf>
    <xf numFmtId="3" fontId="2" fillId="0" borderId="4" xfId="0" applyNumberFormat="1" applyFont="1" applyBorder="1" applyAlignment="1">
      <alignment horizontal="center" vertical="center"/>
    </xf>
    <xf numFmtId="10" fontId="2" fillId="0" borderId="4" xfId="0" applyNumberFormat="1" applyFont="1" applyBorder="1" applyAlignment="1">
      <alignment horizontal="center" vertical="center"/>
    </xf>
    <xf numFmtId="3" fontId="2" fillId="0" borderId="4" xfId="0" applyNumberFormat="1" applyFont="1" applyBorder="1" applyAlignment="1">
      <alignment horizontal="right" vertical="center"/>
    </xf>
    <xf numFmtId="0" fontId="2" fillId="0" borderId="0" xfId="0" applyFont="1" applyAlignment="1">
      <alignment horizontal="left"/>
    </xf>
    <xf numFmtId="0" fontId="20" fillId="0" borderId="0" xfId="0" applyFont="1" applyAlignment="1">
      <alignment horizontal="center" vertical="center" wrapText="1"/>
    </xf>
    <xf numFmtId="0" fontId="2" fillId="0" borderId="0" xfId="0" applyFont="1" applyAlignment="1">
      <alignment vertical="center" wrapText="1"/>
    </xf>
    <xf numFmtId="0" fontId="20" fillId="0" borderId="0" xfId="0" applyFont="1" applyAlignment="1">
      <alignment horizontal="center" wrapText="1"/>
    </xf>
    <xf numFmtId="0" fontId="2" fillId="0" borderId="4" xfId="0" applyFont="1" applyBorder="1" applyAlignment="1">
      <alignment vertical="center" wrapText="1"/>
    </xf>
    <xf numFmtId="0" fontId="20" fillId="0" borderId="0" xfId="0" applyFont="1" applyAlignment="1">
      <alignment horizontal="center" vertical="center" textRotation="90" wrapText="1"/>
    </xf>
    <xf numFmtId="0" fontId="20" fillId="0" borderId="15" xfId="0" applyFont="1" applyBorder="1" applyAlignment="1">
      <alignment horizontal="center" vertical="center"/>
    </xf>
    <xf numFmtId="0" fontId="2" fillId="0" borderId="1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justify" vertical="center" wrapText="1"/>
    </xf>
    <xf numFmtId="0" fontId="2" fillId="0" borderId="4" xfId="0" applyFont="1" applyBorder="1" applyAlignment="1">
      <alignment horizontal="center" vertical="center" wrapText="1"/>
    </xf>
    <xf numFmtId="0" fontId="20" fillId="0" borderId="7" xfId="0" applyFont="1" applyBorder="1" applyAlignment="1">
      <alignment horizontal="center" vertical="center"/>
    </xf>
    <xf numFmtId="0" fontId="20" fillId="0" borderId="0" xfId="0" applyFont="1" applyAlignment="1">
      <alignment vertical="top" wrapText="1"/>
    </xf>
    <xf numFmtId="0" fontId="20" fillId="0" borderId="0" xfId="0" applyFont="1" applyAlignment="1">
      <alignment horizontal="left" vertical="center" wrapText="1"/>
    </xf>
    <xf numFmtId="0" fontId="2" fillId="0" borderId="0" xfId="0" applyFont="1" applyAlignment="1">
      <alignment wrapText="1"/>
    </xf>
    <xf numFmtId="0" fontId="20" fillId="0" borderId="0" xfId="0" applyFont="1" applyAlignment="1">
      <alignment horizontal="left" indent="4"/>
    </xf>
    <xf numFmtId="0" fontId="2" fillId="0" borderId="0" xfId="0" applyFont="1" applyAlignment="1">
      <alignment horizontal="left" indent="4"/>
    </xf>
    <xf numFmtId="0" fontId="2" fillId="0" borderId="0" xfId="0" applyFont="1" applyAlignment="1">
      <alignment horizontal="left" vertical="center" wrapText="1" indent="4"/>
    </xf>
    <xf numFmtId="3" fontId="2" fillId="0" borderId="7" xfId="0" applyNumberFormat="1" applyFont="1" applyBorder="1" applyAlignment="1">
      <alignment horizontal="left" vertical="center" wrapText="1"/>
    </xf>
    <xf numFmtId="3" fontId="2" fillId="0" borderId="9" xfId="0" applyNumberFormat="1" applyFont="1" applyBorder="1" applyAlignment="1">
      <alignment horizontal="center" vertical="center"/>
    </xf>
    <xf numFmtId="10" fontId="2" fillId="0" borderId="9" xfId="0" applyNumberFormat="1" applyFont="1" applyBorder="1" applyAlignment="1">
      <alignment horizontal="center" vertical="center"/>
    </xf>
    <xf numFmtId="0" fontId="19" fillId="0" borderId="14" xfId="0" applyFont="1" applyBorder="1" applyAlignment="1">
      <alignment horizontal="center" vertical="center"/>
    </xf>
    <xf numFmtId="0" fontId="9" fillId="0" borderId="4" xfId="0" applyFont="1" applyBorder="1" applyAlignment="1">
      <alignment horizontal="center" vertical="center" wrapText="1"/>
    </xf>
    <xf numFmtId="10" fontId="21" fillId="0" borderId="4" xfId="0" applyNumberFormat="1" applyFont="1" applyBorder="1" applyAlignment="1">
      <alignment horizontal="center"/>
    </xf>
    <xf numFmtId="0" fontId="2" fillId="0" borderId="4" xfId="0" applyFont="1" applyBorder="1" applyAlignment="1">
      <alignment horizontal="center" vertical="center"/>
    </xf>
    <xf numFmtId="0" fontId="2" fillId="0" borderId="7" xfId="0" applyFont="1" applyBorder="1"/>
    <xf numFmtId="171" fontId="3" fillId="0" borderId="0" xfId="56"/>
    <xf numFmtId="0" fontId="9" fillId="0" borderId="0" xfId="0" applyFont="1" applyAlignment="1">
      <alignment vertical="center"/>
    </xf>
    <xf numFmtId="0" fontId="8" fillId="0" borderId="4" xfId="0" applyFont="1" applyBorder="1" applyAlignment="1">
      <alignment horizontal="center" vertical="center"/>
    </xf>
    <xf numFmtId="0" fontId="3" fillId="0" borderId="0" xfId="0" applyFont="1" applyAlignment="1">
      <alignment horizontal="center" vertical="center"/>
    </xf>
    <xf numFmtId="176" fontId="9" fillId="0" borderId="4" xfId="0" applyNumberFormat="1" applyFont="1" applyBorder="1" applyAlignment="1">
      <alignment horizontal="right" vertical="center"/>
    </xf>
    <xf numFmtId="4" fontId="9" fillId="0" borderId="4" xfId="0" applyNumberFormat="1" applyFont="1" applyBorder="1" applyAlignment="1">
      <alignment horizontal="right" vertical="center"/>
    </xf>
    <xf numFmtId="0" fontId="3" fillId="0" borderId="0" xfId="15" applyAlignment="1">
      <alignment vertical="center"/>
    </xf>
    <xf numFmtId="0" fontId="9" fillId="0" borderId="4" xfId="0" applyFont="1" applyBorder="1" applyAlignment="1">
      <alignment horizontal="left" vertical="center"/>
    </xf>
    <xf numFmtId="0" fontId="9" fillId="0" borderId="4" xfId="0" applyFont="1" applyBorder="1" applyAlignment="1">
      <alignment horizontal="center" vertical="center"/>
    </xf>
    <xf numFmtId="0" fontId="9" fillId="0" borderId="4" xfId="0" applyFont="1" applyBorder="1" applyAlignment="1">
      <alignment horizontal="left" vertical="center" wrapText="1"/>
    </xf>
    <xf numFmtId="0" fontId="9" fillId="0" borderId="0" xfId="0" applyFont="1" applyAlignment="1">
      <alignment horizontal="center" vertical="center"/>
    </xf>
    <xf numFmtId="0" fontId="18" fillId="0" borderId="4" xfId="0" applyFont="1" applyBorder="1" applyAlignment="1">
      <alignment horizontal="center" vertical="center" wrapText="1"/>
    </xf>
    <xf numFmtId="3" fontId="18" fillId="0" borderId="4" xfId="0" applyNumberFormat="1" applyFont="1" applyBorder="1" applyAlignment="1">
      <alignment horizontal="center" vertical="center" wrapText="1"/>
    </xf>
    <xf numFmtId="175" fontId="2" fillId="0" borderId="4" xfId="0" applyNumberFormat="1" applyFont="1" applyBorder="1" applyAlignment="1">
      <alignment horizontal="center" vertical="center"/>
    </xf>
    <xf numFmtId="3" fontId="20" fillId="30" borderId="4" xfId="0" applyNumberFormat="1" applyFont="1" applyFill="1" applyBorder="1" applyAlignment="1">
      <alignment horizontal="center" vertical="center"/>
    </xf>
    <xf numFmtId="0" fontId="2" fillId="0" borderId="0" xfId="0" applyFont="1" applyAlignment="1">
      <alignment vertical="center"/>
    </xf>
    <xf numFmtId="3" fontId="20" fillId="30" borderId="14" xfId="0" applyNumberFormat="1" applyFont="1" applyFill="1" applyBorder="1" applyAlignment="1">
      <alignment vertical="center"/>
    </xf>
    <xf numFmtId="3" fontId="20" fillId="30" borderId="4" xfId="0" applyNumberFormat="1" applyFont="1" applyFill="1" applyBorder="1" applyAlignment="1">
      <alignment horizontal="right" vertical="center"/>
    </xf>
    <xf numFmtId="3" fontId="2" fillId="0" borderId="0" xfId="0" applyNumberFormat="1" applyFont="1" applyAlignment="1">
      <alignment vertical="center"/>
    </xf>
    <xf numFmtId="3" fontId="2" fillId="0" borderId="4" xfId="0" applyNumberFormat="1" applyFont="1" applyBorder="1" applyAlignment="1">
      <alignment vertical="center"/>
    </xf>
    <xf numFmtId="3" fontId="20" fillId="30" borderId="4" xfId="0" applyNumberFormat="1" applyFont="1" applyFill="1" applyBorder="1" applyAlignment="1">
      <alignment vertical="center"/>
    </xf>
    <xf numFmtId="4" fontId="20" fillId="30" borderId="12" xfId="0" applyNumberFormat="1" applyFont="1" applyFill="1" applyBorder="1" applyAlignment="1">
      <alignment horizontal="center" vertical="center"/>
    </xf>
    <xf numFmtId="177" fontId="20" fillId="31" borderId="4" xfId="0" applyNumberFormat="1" applyFont="1" applyFill="1" applyBorder="1" applyAlignment="1">
      <alignment horizontal="center" vertical="center" wrapText="1"/>
    </xf>
    <xf numFmtId="3" fontId="20" fillId="31" borderId="4" xfId="0" applyNumberFormat="1" applyFont="1" applyFill="1" applyBorder="1" applyAlignment="1">
      <alignment horizontal="center" vertical="center" wrapText="1"/>
    </xf>
    <xf numFmtId="3" fontId="20" fillId="30" borderId="4" xfId="0" applyNumberFormat="1" applyFont="1" applyFill="1" applyBorder="1" applyAlignment="1">
      <alignment vertical="center" wrapText="1"/>
    </xf>
    <xf numFmtId="175" fontId="2" fillId="0" borderId="14" xfId="0" applyNumberFormat="1" applyFont="1" applyBorder="1" applyAlignment="1">
      <alignment horizontal="center" vertical="center"/>
    </xf>
    <xf numFmtId="3" fontId="20" fillId="30" borderId="7" xfId="0" applyNumberFormat="1" applyFont="1" applyFill="1" applyBorder="1" applyAlignment="1">
      <alignment vertical="center"/>
    </xf>
    <xf numFmtId="3" fontId="20" fillId="30" borderId="9" xfId="0" applyNumberFormat="1" applyFont="1" applyFill="1" applyBorder="1" applyAlignment="1">
      <alignment vertical="center"/>
    </xf>
    <xf numFmtId="3" fontId="20" fillId="30" borderId="9" xfId="0" applyNumberFormat="1" applyFont="1" applyFill="1" applyBorder="1" applyAlignment="1">
      <alignment horizontal="center" vertical="center"/>
    </xf>
    <xf numFmtId="3" fontId="22" fillId="30" borderId="9" xfId="0" applyNumberFormat="1" applyFont="1" applyFill="1" applyBorder="1" applyAlignment="1">
      <alignment horizontal="center" vertical="center"/>
    </xf>
    <xf numFmtId="3" fontId="22" fillId="30" borderId="9" xfId="0" applyNumberFormat="1" applyFont="1" applyFill="1" applyBorder="1" applyAlignment="1">
      <alignment horizontal="center" vertical="center" wrapText="1"/>
    </xf>
    <xf numFmtId="178" fontId="2" fillId="0" borderId="4" xfId="0" applyNumberFormat="1" applyFont="1" applyBorder="1" applyAlignment="1">
      <alignment horizontal="center" vertical="center"/>
    </xf>
    <xf numFmtId="3" fontId="2" fillId="0" borderId="4" xfId="0" applyNumberFormat="1" applyFont="1" applyBorder="1" applyAlignment="1">
      <alignment vertical="center" wrapText="1"/>
    </xf>
    <xf numFmtId="0" fontId="19" fillId="12" borderId="12" xfId="0" applyFont="1" applyFill="1" applyBorder="1" applyAlignment="1">
      <alignment horizontal="center" vertical="center" wrapText="1"/>
    </xf>
    <xf numFmtId="168" fontId="23" fillId="0" borderId="0" xfId="0" applyNumberFormat="1" applyFont="1" applyAlignment="1">
      <alignment horizontal="right" vertical="center"/>
    </xf>
    <xf numFmtId="3" fontId="20" fillId="0" borderId="4" xfId="0" applyNumberFormat="1" applyFont="1" applyBorder="1" applyAlignment="1">
      <alignment vertical="center" wrapText="1"/>
    </xf>
    <xf numFmtId="176" fontId="2" fillId="33" borderId="16" xfId="0" applyNumberFormat="1" applyFont="1" applyFill="1" applyBorder="1" applyAlignment="1">
      <alignment horizontal="center" vertical="center" wrapText="1"/>
    </xf>
    <xf numFmtId="0" fontId="20" fillId="0" borderId="0" xfId="0" applyFont="1" applyAlignment="1">
      <alignment horizontal="right" vertical="center" wrapText="1"/>
    </xf>
    <xf numFmtId="179" fontId="25" fillId="32" borderId="4" xfId="0" applyNumberFormat="1" applyFont="1" applyFill="1" applyBorder="1" applyAlignment="1">
      <alignment horizontal="center" vertical="center"/>
    </xf>
    <xf numFmtId="44" fontId="2" fillId="0" borderId="0" xfId="62" applyFont="1" applyAlignment="1">
      <alignment vertical="center" wrapText="1"/>
    </xf>
    <xf numFmtId="44" fontId="2" fillId="0" borderId="0" xfId="0" applyNumberFormat="1" applyFont="1" applyAlignment="1">
      <alignment vertical="center" wrapText="1"/>
    </xf>
    <xf numFmtId="0" fontId="20" fillId="0" borderId="4" xfId="0" applyFont="1" applyBorder="1" applyAlignment="1">
      <alignment vertical="center" wrapText="1"/>
    </xf>
    <xf numFmtId="0" fontId="3" fillId="0" borderId="14" xfId="0" applyFont="1" applyBorder="1" applyAlignment="1">
      <alignment horizontal="left"/>
    </xf>
    <xf numFmtId="0" fontId="2" fillId="0" borderId="7" xfId="0" applyFont="1" applyBorder="1" applyAlignment="1">
      <alignment horizontal="left"/>
    </xf>
    <xf numFmtId="179" fontId="25" fillId="32" borderId="0" xfId="0" applyNumberFormat="1" applyFont="1" applyFill="1" applyAlignment="1">
      <alignment horizontal="center" vertical="center"/>
    </xf>
    <xf numFmtId="0" fontId="31" fillId="0" borderId="0" xfId="63" applyFont="1" applyAlignment="1">
      <alignment vertical="center" wrapText="1"/>
    </xf>
    <xf numFmtId="0" fontId="31" fillId="0" borderId="0" xfId="63" applyFont="1" applyAlignment="1">
      <alignment horizontal="center" vertical="center" wrapText="1"/>
    </xf>
    <xf numFmtId="0" fontId="31" fillId="0" borderId="0" xfId="63" applyFont="1" applyAlignment="1">
      <alignment vertical="center"/>
    </xf>
    <xf numFmtId="176" fontId="31" fillId="0" borderId="0" xfId="63" applyNumberFormat="1" applyFont="1" applyAlignment="1">
      <alignment vertical="center"/>
    </xf>
    <xf numFmtId="0" fontId="32" fillId="0" borderId="4" xfId="63" applyFont="1" applyBorder="1" applyAlignment="1">
      <alignment horizontal="left" vertical="center" wrapText="1"/>
    </xf>
    <xf numFmtId="176" fontId="31" fillId="0" borderId="4" xfId="63" applyNumberFormat="1" applyFont="1" applyBorder="1" applyAlignment="1">
      <alignment horizontal="center" vertical="center" wrapText="1"/>
    </xf>
    <xf numFmtId="181" fontId="33" fillId="0" borderId="4" xfId="56" applyNumberFormat="1" applyFont="1" applyBorder="1" applyAlignment="1">
      <alignment horizontal="center" vertical="center"/>
    </xf>
    <xf numFmtId="10" fontId="31" fillId="39" borderId="4" xfId="56" applyNumberFormat="1" applyFont="1" applyFill="1" applyBorder="1" applyAlignment="1">
      <alignment horizontal="center" vertical="center" wrapText="1"/>
    </xf>
    <xf numFmtId="0" fontId="32" fillId="0" borderId="0" xfId="63" applyFont="1" applyAlignment="1">
      <alignment horizontal="center" vertical="center" wrapText="1"/>
    </xf>
    <xf numFmtId="176" fontId="31" fillId="0" borderId="0" xfId="63" applyNumberFormat="1" applyFont="1" applyAlignment="1">
      <alignment horizontal="center" vertical="center" wrapText="1"/>
    </xf>
    <xf numFmtId="0" fontId="32" fillId="40" borderId="4" xfId="63" applyFont="1" applyFill="1" applyBorder="1" applyAlignment="1">
      <alignment horizontal="center" vertical="center" wrapText="1"/>
    </xf>
    <xf numFmtId="0" fontId="32" fillId="0" borderId="4" xfId="63" applyFont="1" applyBorder="1" applyAlignment="1">
      <alignment horizontal="justify" vertical="center" wrapText="1"/>
    </xf>
    <xf numFmtId="9" fontId="31" fillId="39" borderId="4" xfId="63" applyNumberFormat="1" applyFont="1" applyFill="1" applyBorder="1" applyAlignment="1">
      <alignment horizontal="center" vertical="center" wrapText="1"/>
    </xf>
    <xf numFmtId="182" fontId="31" fillId="0" borderId="4" xfId="63" applyNumberFormat="1" applyFont="1" applyBorder="1" applyAlignment="1">
      <alignment horizontal="center" vertical="center"/>
    </xf>
    <xf numFmtId="10" fontId="31" fillId="0" borderId="4" xfId="56" applyNumberFormat="1" applyFont="1" applyBorder="1" applyAlignment="1">
      <alignment horizontal="center" vertical="center"/>
    </xf>
    <xf numFmtId="176" fontId="31" fillId="0" borderId="4" xfId="63" applyNumberFormat="1" applyFont="1" applyBorder="1" applyAlignment="1">
      <alignment vertical="center"/>
    </xf>
    <xf numFmtId="0" fontId="32" fillId="30" borderId="4" xfId="63" applyFont="1" applyFill="1" applyBorder="1" applyAlignment="1">
      <alignment horizontal="justify" vertical="center" wrapText="1"/>
    </xf>
    <xf numFmtId="0" fontId="32" fillId="30" borderId="4" xfId="63" applyFont="1" applyFill="1" applyBorder="1" applyAlignment="1">
      <alignment horizontal="center" vertical="center" wrapText="1"/>
    </xf>
    <xf numFmtId="0" fontId="32" fillId="30" borderId="4" xfId="63" applyFont="1" applyFill="1" applyBorder="1" applyAlignment="1">
      <alignment horizontal="center" vertical="center"/>
    </xf>
    <xf numFmtId="176" fontId="32" fillId="30" borderId="4" xfId="63" applyNumberFormat="1" applyFont="1" applyFill="1" applyBorder="1" applyAlignment="1">
      <alignment horizontal="center" vertical="center"/>
    </xf>
    <xf numFmtId="0" fontId="32" fillId="0" borderId="4" xfId="63" applyFont="1" applyBorder="1" applyAlignment="1">
      <alignment horizontal="center" vertical="center" wrapText="1"/>
    </xf>
    <xf numFmtId="5" fontId="31" fillId="0" borderId="4" xfId="63" applyNumberFormat="1" applyFont="1" applyBorder="1" applyAlignment="1">
      <alignment horizontal="center" vertical="center" wrapText="1"/>
    </xf>
    <xf numFmtId="181" fontId="31" fillId="0" borderId="4" xfId="63" applyNumberFormat="1" applyFont="1" applyBorder="1" applyAlignment="1">
      <alignment horizontal="center" vertical="center"/>
    </xf>
    <xf numFmtId="10" fontId="31" fillId="0" borderId="4" xfId="63" applyNumberFormat="1" applyFont="1" applyBorder="1" applyAlignment="1">
      <alignment horizontal="center" vertical="center"/>
    </xf>
    <xf numFmtId="176" fontId="20" fillId="33" borderId="4" xfId="0" applyNumberFormat="1" applyFont="1" applyFill="1" applyBorder="1" applyAlignment="1">
      <alignment horizontal="center" vertical="center" wrapText="1"/>
    </xf>
    <xf numFmtId="44" fontId="20" fillId="30" borderId="4" xfId="62" applyFont="1" applyFill="1" applyBorder="1" applyAlignment="1">
      <alignment horizontal="center" vertical="center" wrapText="1"/>
    </xf>
    <xf numFmtId="44" fontId="20" fillId="0" borderId="4" xfId="62" applyFont="1" applyBorder="1" applyAlignment="1">
      <alignment horizontal="center" vertical="center" wrapText="1"/>
    </xf>
    <xf numFmtId="44" fontId="2" fillId="0" borderId="16" xfId="62" applyFont="1" applyFill="1" applyBorder="1" applyAlignment="1">
      <alignment vertical="center" wrapText="1"/>
    </xf>
    <xf numFmtId="44" fontId="2" fillId="0" borderId="16" xfId="62" applyFont="1" applyFill="1" applyBorder="1" applyAlignment="1">
      <alignment horizontal="center" vertical="center" wrapText="1"/>
    </xf>
    <xf numFmtId="44" fontId="2" fillId="0" borderId="4" xfId="62" applyFont="1" applyFill="1" applyBorder="1" applyAlignment="1">
      <alignment vertical="center" wrapText="1"/>
    </xf>
    <xf numFmtId="44" fontId="20" fillId="0" borderId="4" xfId="62" applyFont="1" applyFill="1" applyBorder="1" applyAlignment="1">
      <alignment vertical="center"/>
    </xf>
    <xf numFmtId="44" fontId="20" fillId="33" borderId="4" xfId="62" applyFont="1" applyFill="1" applyBorder="1" applyAlignment="1">
      <alignment horizontal="center" vertical="center" wrapText="1"/>
    </xf>
    <xf numFmtId="2" fontId="20" fillId="30" borderId="4" xfId="62" applyNumberFormat="1" applyFont="1" applyFill="1" applyBorder="1" applyAlignment="1">
      <alignment horizontal="center" vertical="center" wrapText="1"/>
    </xf>
    <xf numFmtId="44" fontId="2" fillId="0" borderId="4" xfId="62" applyFont="1" applyFill="1" applyBorder="1" applyAlignment="1">
      <alignment vertical="center"/>
    </xf>
    <xf numFmtId="0" fontId="19" fillId="0" borderId="0" xfId="0" applyFont="1" applyAlignment="1">
      <alignment horizont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0" xfId="0" applyFont="1" applyAlignment="1">
      <alignment horizontal="center" vertical="center" wrapText="1"/>
    </xf>
    <xf numFmtId="0" fontId="19" fillId="0" borderId="20" xfId="0" applyFont="1" applyBorder="1" applyAlignment="1">
      <alignment horizontal="center" vertical="center" wrapText="1"/>
    </xf>
    <xf numFmtId="3" fontId="18" fillId="0" borderId="7" xfId="0" applyNumberFormat="1" applyFont="1" applyBorder="1" applyAlignment="1">
      <alignment horizontal="left" vertical="center" wrapText="1"/>
    </xf>
    <xf numFmtId="3" fontId="18" fillId="0" borderId="9" xfId="0" applyNumberFormat="1" applyFont="1" applyBorder="1" applyAlignment="1">
      <alignment horizontal="left" vertical="center" wrapText="1"/>
    </xf>
    <xf numFmtId="0" fontId="18" fillId="0" borderId="0" xfId="0" applyFont="1" applyAlignment="1">
      <alignment horizontal="left" vertical="center" wrapText="1"/>
    </xf>
    <xf numFmtId="0" fontId="19" fillId="12" borderId="7" xfId="0" applyFont="1" applyFill="1" applyBorder="1" applyAlignment="1">
      <alignment horizontal="center" vertical="center" wrapText="1"/>
    </xf>
    <xf numFmtId="0" fontId="19" fillId="12" borderId="9" xfId="0" applyFont="1" applyFill="1" applyBorder="1" applyAlignment="1">
      <alignment horizontal="center" vertical="center" wrapText="1"/>
    </xf>
    <xf numFmtId="0" fontId="19" fillId="12" borderId="14" xfId="0" applyFont="1" applyFill="1" applyBorder="1" applyAlignment="1">
      <alignment horizontal="center" vertical="center" wrapText="1"/>
    </xf>
    <xf numFmtId="0" fontId="19" fillId="0" borderId="7"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7" xfId="0" applyFont="1" applyBorder="1" applyAlignment="1">
      <alignment horizontal="center" vertical="center"/>
    </xf>
    <xf numFmtId="0" fontId="19" fillId="0" borderId="9" xfId="0" applyFont="1" applyBorder="1" applyAlignment="1">
      <alignment horizontal="center" vertical="center"/>
    </xf>
    <xf numFmtId="168" fontId="23" fillId="0" borderId="4" xfId="0" applyNumberFormat="1" applyFont="1" applyBorder="1" applyAlignment="1">
      <alignment horizontal="center" vertical="center"/>
    </xf>
    <xf numFmtId="3" fontId="18" fillId="0" borderId="14" xfId="0" applyNumberFormat="1" applyFont="1" applyBorder="1" applyAlignment="1">
      <alignment horizontal="left" vertical="center" wrapText="1"/>
    </xf>
    <xf numFmtId="0" fontId="20" fillId="0" borderId="4" xfId="0" applyFont="1" applyBorder="1" applyAlignment="1">
      <alignment horizontal="center" vertical="center" textRotation="90" wrapText="1"/>
    </xf>
    <xf numFmtId="0" fontId="18" fillId="0" borderId="0" xfId="0" applyFont="1" applyAlignment="1">
      <alignment horizontal="center" vertical="center" wrapText="1"/>
    </xf>
    <xf numFmtId="0" fontId="8" fillId="0" borderId="7" xfId="0" applyFont="1" applyBorder="1" applyAlignment="1">
      <alignment horizontal="center" vertical="center"/>
    </xf>
    <xf numFmtId="0" fontId="8" fillId="0" borderId="9" xfId="0" applyFont="1" applyBorder="1" applyAlignment="1">
      <alignment horizontal="center" vertical="center"/>
    </xf>
    <xf numFmtId="0" fontId="8" fillId="0" borderId="14" xfId="0" applyFont="1" applyBorder="1" applyAlignment="1">
      <alignment horizontal="center" vertical="center"/>
    </xf>
    <xf numFmtId="0" fontId="9" fillId="0" borderId="0" xfId="0" applyFont="1" applyAlignment="1">
      <alignment horizontal="left" vertical="center"/>
    </xf>
    <xf numFmtId="0" fontId="8" fillId="0" borderId="0" xfId="0" applyFont="1" applyAlignment="1">
      <alignment horizontal="left" vertical="center"/>
    </xf>
    <xf numFmtId="176" fontId="8" fillId="0" borderId="4" xfId="0" applyNumberFormat="1" applyFont="1" applyBorder="1" applyAlignment="1">
      <alignment horizontal="center" vertical="center"/>
    </xf>
    <xf numFmtId="49" fontId="8" fillId="0" borderId="0" xfId="0" applyNumberFormat="1" applyFont="1" applyAlignment="1">
      <alignment horizontal="center" vertical="center"/>
    </xf>
    <xf numFmtId="0" fontId="8" fillId="0" borderId="0" xfId="0" applyFont="1" applyAlignment="1">
      <alignment horizontal="center" vertical="center" wrapText="1"/>
    </xf>
    <xf numFmtId="49" fontId="8" fillId="0" borderId="0" xfId="0" applyNumberFormat="1" applyFont="1" applyAlignment="1">
      <alignment horizontal="center" vertical="center" wrapText="1"/>
    </xf>
    <xf numFmtId="3" fontId="20" fillId="34" borderId="4" xfId="0" applyNumberFormat="1" applyFont="1" applyFill="1" applyBorder="1" applyAlignment="1">
      <alignment horizontal="center" vertical="center"/>
    </xf>
    <xf numFmtId="3" fontId="20" fillId="30" borderId="7" xfId="0" applyNumberFormat="1" applyFont="1" applyFill="1" applyBorder="1" applyAlignment="1">
      <alignment horizontal="left" vertical="center"/>
    </xf>
    <xf numFmtId="3" fontId="20" fillId="30" borderId="9" xfId="0" applyNumberFormat="1" applyFont="1" applyFill="1" applyBorder="1" applyAlignment="1">
      <alignment horizontal="left" vertical="center"/>
    </xf>
    <xf numFmtId="3" fontId="20" fillId="0" borderId="12" xfId="0" applyNumberFormat="1" applyFont="1" applyBorder="1" applyAlignment="1">
      <alignment horizontal="center" vertical="center"/>
    </xf>
    <xf numFmtId="3" fontId="20" fillId="0" borderId="13" xfId="0" applyNumberFormat="1" applyFont="1" applyBorder="1" applyAlignment="1">
      <alignment horizontal="center" vertical="center"/>
    </xf>
    <xf numFmtId="3" fontId="20" fillId="30" borderId="7" xfId="0" applyNumberFormat="1" applyFont="1" applyFill="1" applyBorder="1" applyAlignment="1">
      <alignment horizontal="left" vertical="center" wrapText="1"/>
    </xf>
    <xf numFmtId="3" fontId="20" fillId="30" borderId="9" xfId="0" applyNumberFormat="1" applyFont="1" applyFill="1" applyBorder="1" applyAlignment="1">
      <alignment horizontal="left" vertical="center" wrapText="1"/>
    </xf>
    <xf numFmtId="178" fontId="20" fillId="0" borderId="12" xfId="0" applyNumberFormat="1" applyFont="1" applyBorder="1" applyAlignment="1">
      <alignment horizontal="center" vertical="center"/>
    </xf>
    <xf numFmtId="178" fontId="20" fillId="0" borderId="13" xfId="0" applyNumberFormat="1" applyFont="1" applyBorder="1" applyAlignment="1">
      <alignment horizontal="center" vertical="center"/>
    </xf>
    <xf numFmtId="3" fontId="20" fillId="30" borderId="14" xfId="0" applyNumberFormat="1" applyFont="1" applyFill="1" applyBorder="1" applyAlignment="1">
      <alignment horizontal="left" vertical="center"/>
    </xf>
    <xf numFmtId="3" fontId="20" fillId="0" borderId="4" xfId="0" applyNumberFormat="1" applyFont="1" applyBorder="1" applyAlignment="1">
      <alignment horizontal="center" vertical="center"/>
    </xf>
    <xf numFmtId="3" fontId="20" fillId="0" borderId="4" xfId="0" applyNumberFormat="1" applyFont="1" applyBorder="1" applyAlignment="1">
      <alignment horizontal="center" vertical="center" wrapText="1"/>
    </xf>
    <xf numFmtId="3" fontId="20" fillId="31" borderId="4" xfId="0" applyNumberFormat="1" applyFont="1" applyFill="1" applyBorder="1" applyAlignment="1">
      <alignment horizontal="center" vertical="center" wrapText="1"/>
    </xf>
    <xf numFmtId="0" fontId="20" fillId="0" borderId="0" xfId="0" applyFont="1" applyAlignment="1">
      <alignment horizontal="left" vertical="center"/>
    </xf>
    <xf numFmtId="0" fontId="2" fillId="0" borderId="0" xfId="0" applyFont="1" applyAlignment="1">
      <alignment horizontal="left" vertical="center"/>
    </xf>
    <xf numFmtId="178" fontId="20" fillId="0" borderId="16" xfId="0" applyNumberFormat="1" applyFont="1" applyBorder="1" applyAlignment="1">
      <alignment horizontal="center" vertical="center"/>
    </xf>
    <xf numFmtId="0" fontId="20" fillId="0" borderId="7" xfId="0" applyFont="1" applyBorder="1" applyAlignment="1">
      <alignment horizontal="left"/>
    </xf>
    <xf numFmtId="0" fontId="3" fillId="0" borderId="14" xfId="0" applyFont="1" applyBorder="1" applyAlignment="1">
      <alignment horizontal="left"/>
    </xf>
    <xf numFmtId="0" fontId="2" fillId="0" borderId="7" xfId="0" applyFont="1" applyBorder="1" applyAlignment="1">
      <alignment horizontal="left"/>
    </xf>
    <xf numFmtId="0" fontId="2" fillId="0" borderId="14" xfId="0" applyFont="1" applyBorder="1" applyAlignment="1">
      <alignment horizontal="left"/>
    </xf>
    <xf numFmtId="0" fontId="2" fillId="0" borderId="0" xfId="0" applyFont="1" applyAlignment="1">
      <alignment horizontal="left" wrapText="1"/>
    </xf>
    <xf numFmtId="0" fontId="3" fillId="0" borderId="0" xfId="0" applyFont="1" applyAlignment="1">
      <alignment horizontal="left" wrapText="1"/>
    </xf>
    <xf numFmtId="0" fontId="2" fillId="0" borderId="5" xfId="0" applyFont="1" applyBorder="1" applyAlignment="1">
      <alignment horizontal="left" wrapText="1"/>
    </xf>
    <xf numFmtId="0" fontId="20" fillId="30" borderId="7" xfId="0" applyFont="1" applyFill="1" applyBorder="1" applyAlignment="1">
      <alignment horizontal="left"/>
    </xf>
    <xf numFmtId="0" fontId="2" fillId="0" borderId="7" xfId="0" applyFont="1" applyBorder="1" applyAlignment="1">
      <alignment horizontal="left" wrapText="1"/>
    </xf>
    <xf numFmtId="0" fontId="3" fillId="0" borderId="14" xfId="0" applyFont="1" applyBorder="1" applyAlignment="1">
      <alignment horizontal="left" wrapText="1"/>
    </xf>
    <xf numFmtId="0" fontId="2" fillId="0" borderId="0" xfId="0" applyFont="1" applyAlignment="1">
      <alignment horizontal="left"/>
    </xf>
    <xf numFmtId="0" fontId="20" fillId="0" borderId="0" xfId="0" applyFont="1" applyAlignment="1">
      <alignment horizontal="left"/>
    </xf>
    <xf numFmtId="49" fontId="20" fillId="0" borderId="0" xfId="0" applyNumberFormat="1" applyFont="1" applyAlignment="1">
      <alignment horizontal="center" vertical="center"/>
    </xf>
    <xf numFmtId="0" fontId="20" fillId="0" borderId="0" xfId="0" applyFont="1" applyAlignment="1">
      <alignment horizontal="center" vertical="center" wrapText="1"/>
    </xf>
    <xf numFmtId="49" fontId="20" fillId="0" borderId="0" xfId="0" applyNumberFormat="1" applyFont="1" applyAlignment="1">
      <alignment horizontal="center" vertical="center" wrapText="1"/>
    </xf>
    <xf numFmtId="0" fontId="20" fillId="0" borderId="14" xfId="0" applyFont="1" applyBorder="1" applyAlignment="1">
      <alignment horizontal="left"/>
    </xf>
    <xf numFmtId="0" fontId="32" fillId="38" borderId="4" xfId="63" applyFont="1" applyFill="1" applyBorder="1" applyAlignment="1">
      <alignment horizontal="center" vertical="center"/>
    </xf>
    <xf numFmtId="0" fontId="26" fillId="35" borderId="4" xfId="63" applyFont="1" applyFill="1" applyBorder="1" applyAlignment="1">
      <alignment horizontal="center" vertical="center"/>
    </xf>
    <xf numFmtId="0" fontId="26" fillId="35" borderId="7" xfId="63" applyFont="1" applyFill="1" applyBorder="1" applyAlignment="1">
      <alignment horizontal="center" vertical="center"/>
    </xf>
    <xf numFmtId="0" fontId="27" fillId="0" borderId="17" xfId="63" applyFont="1" applyBorder="1" applyAlignment="1">
      <alignment horizontal="center" vertical="center"/>
    </xf>
    <xf numFmtId="0" fontId="27" fillId="0" borderId="19" xfId="63" applyFont="1" applyBorder="1" applyAlignment="1">
      <alignment horizontal="center" vertical="center"/>
    </xf>
    <xf numFmtId="0" fontId="27" fillId="0" borderId="15" xfId="63" applyFont="1" applyBorder="1" applyAlignment="1">
      <alignment horizontal="center" vertical="center"/>
    </xf>
    <xf numFmtId="0" fontId="27" fillId="0" borderId="21" xfId="63" applyFont="1" applyBorder="1" applyAlignment="1">
      <alignment horizontal="center" vertical="center"/>
    </xf>
    <xf numFmtId="0" fontId="28" fillId="36" borderId="4" xfId="63" applyFont="1" applyFill="1" applyBorder="1" applyAlignment="1">
      <alignment horizontal="center" vertical="center" wrapText="1"/>
    </xf>
    <xf numFmtId="0" fontId="28" fillId="36" borderId="7" xfId="63" applyFont="1" applyFill="1" applyBorder="1" applyAlignment="1">
      <alignment horizontal="center" vertical="center" wrapText="1"/>
    </xf>
    <xf numFmtId="0" fontId="29" fillId="37" borderId="4" xfId="63" applyFont="1" applyFill="1" applyBorder="1" applyAlignment="1">
      <alignment horizontal="center" vertical="center" wrapText="1"/>
    </xf>
    <xf numFmtId="0" fontId="29" fillId="37" borderId="7" xfId="63" applyFont="1" applyFill="1" applyBorder="1" applyAlignment="1">
      <alignment horizontal="center" vertical="center" wrapText="1"/>
    </xf>
    <xf numFmtId="0" fontId="30" fillId="0" borderId="4" xfId="63" applyFont="1" applyBorder="1" applyAlignment="1">
      <alignment horizontal="center" vertical="center"/>
    </xf>
    <xf numFmtId="180" fontId="31" fillId="0" borderId="7" xfId="63" applyNumberFormat="1" applyFont="1" applyBorder="1" applyAlignment="1">
      <alignment horizontal="center" vertical="center" wrapText="1"/>
    </xf>
    <xf numFmtId="180" fontId="31" fillId="0" borderId="14" xfId="63" applyNumberFormat="1" applyFont="1" applyBorder="1" applyAlignment="1">
      <alignment horizontal="center" vertical="center" wrapText="1"/>
    </xf>
    <xf numFmtId="182" fontId="33" fillId="0" borderId="4" xfId="56" applyNumberFormat="1" applyFont="1" applyBorder="1" applyAlignment="1">
      <alignment horizontal="center" vertical="center"/>
    </xf>
    <xf numFmtId="176" fontId="31" fillId="0" borderId="4" xfId="63" applyNumberFormat="1" applyFont="1" applyBorder="1" applyAlignment="1">
      <alignment horizontal="center" vertical="center" wrapText="1"/>
    </xf>
    <xf numFmtId="0" fontId="32" fillId="40" borderId="4" xfId="63" applyFont="1" applyFill="1" applyBorder="1" applyAlignment="1">
      <alignment horizontal="center" vertical="center" wrapText="1"/>
    </xf>
    <xf numFmtId="0" fontId="32" fillId="0" borderId="4" xfId="63" applyFont="1" applyBorder="1" applyAlignment="1">
      <alignment horizontal="right" vertical="center" wrapText="1"/>
    </xf>
    <xf numFmtId="176" fontId="32" fillId="40" borderId="4" xfId="63" applyNumberFormat="1" applyFont="1" applyFill="1" applyBorder="1" applyAlignment="1">
      <alignment horizontal="center" vertical="center"/>
    </xf>
    <xf numFmtId="0" fontId="32" fillId="30" borderId="7" xfId="63" applyFont="1" applyFill="1" applyBorder="1" applyAlignment="1">
      <alignment horizontal="center" vertical="center" wrapText="1"/>
    </xf>
    <xf numFmtId="0" fontId="32" fillId="30" borderId="14" xfId="63" applyFont="1" applyFill="1" applyBorder="1" applyAlignment="1">
      <alignment horizontal="center" vertical="center" wrapText="1"/>
    </xf>
    <xf numFmtId="176" fontId="31" fillId="0" borderId="7" xfId="63" applyNumberFormat="1" applyFont="1" applyBorder="1" applyAlignment="1">
      <alignment horizontal="center" vertical="center" wrapText="1"/>
    </xf>
    <xf numFmtId="176" fontId="31" fillId="0" borderId="14" xfId="63" applyNumberFormat="1" applyFont="1" applyBorder="1" applyAlignment="1">
      <alignment horizontal="center" vertical="center" wrapText="1"/>
    </xf>
    <xf numFmtId="0" fontId="32" fillId="40" borderId="4" xfId="63" applyFont="1" applyFill="1" applyBorder="1" applyAlignment="1">
      <alignment horizontal="center" vertical="center"/>
    </xf>
    <xf numFmtId="44" fontId="20" fillId="34" borderId="7" xfId="62" applyFont="1" applyFill="1" applyBorder="1" applyAlignment="1">
      <alignment horizontal="center" vertical="center" wrapText="1"/>
    </xf>
    <xf numFmtId="44" fontId="20" fillId="34" borderId="9" xfId="62" applyFont="1" applyFill="1" applyBorder="1" applyAlignment="1">
      <alignment horizontal="center" vertical="center" wrapText="1"/>
    </xf>
    <xf numFmtId="176" fontId="20" fillId="33" borderId="4" xfId="0" applyNumberFormat="1" applyFont="1" applyFill="1" applyBorder="1" applyAlignment="1">
      <alignment horizontal="center" vertical="center" wrapText="1"/>
    </xf>
    <xf numFmtId="0" fontId="18" fillId="0" borderId="0" xfId="0" applyFont="1" applyAlignment="1">
      <alignment horizontal="left"/>
    </xf>
    <xf numFmtId="0" fontId="19" fillId="0" borderId="0" xfId="0" applyFont="1" applyAlignment="1">
      <alignment horizontal="left"/>
    </xf>
    <xf numFmtId="0" fontId="20" fillId="0" borderId="4" xfId="0" applyFont="1" applyBorder="1" applyAlignment="1">
      <alignment horizontal="center" vertical="center" wrapText="1"/>
    </xf>
    <xf numFmtId="0" fontId="20" fillId="12" borderId="4" xfId="0" applyFont="1" applyFill="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6" xfId="0" applyFont="1" applyBorder="1" applyAlignment="1">
      <alignment horizontal="center" vertical="center" wrapText="1"/>
    </xf>
    <xf numFmtId="44" fontId="20" fillId="30" borderId="4" xfId="62" applyFont="1" applyFill="1" applyBorder="1" applyAlignment="1">
      <alignment horizontal="center" vertical="center" wrapText="1"/>
    </xf>
    <xf numFmtId="0" fontId="20" fillId="0" borderId="12" xfId="0" applyFont="1" applyBorder="1" applyAlignment="1">
      <alignment horizontal="center" vertical="center"/>
    </xf>
    <xf numFmtId="0" fontId="20" fillId="0" borderId="16" xfId="0" applyFont="1" applyBorder="1" applyAlignment="1">
      <alignment horizontal="center" vertical="center"/>
    </xf>
  </cellXfs>
  <cellStyles count="64">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DATE" xfId="28" xr:uid="{00000000-0005-0000-0000-00001B000000}"/>
    <cellStyle name="Encabezado 1" xfId="29" builtinId="16" customBuiltin="1"/>
    <cellStyle name="Encabezado 4" xfId="30" builtinId="19" customBuiltin="1"/>
    <cellStyle name="Euro" xfId="31" xr:uid="{00000000-0005-0000-0000-00001E000000}"/>
    <cellStyle name="Explanatory Text" xfId="32" xr:uid="{00000000-0005-0000-0000-00001F000000}"/>
    <cellStyle name="FIXED" xfId="33" xr:uid="{00000000-0005-0000-0000-000020000000}"/>
    <cellStyle name="Good" xfId="34" xr:uid="{00000000-0005-0000-0000-000021000000}"/>
    <cellStyle name="Heading 2" xfId="35" xr:uid="{00000000-0005-0000-0000-000022000000}"/>
    <cellStyle name="Heading 3" xfId="36" xr:uid="{00000000-0005-0000-0000-000023000000}"/>
    <cellStyle name="HEADING1" xfId="37" xr:uid="{00000000-0005-0000-0000-000024000000}"/>
    <cellStyle name="HEADING2" xfId="38" xr:uid="{00000000-0005-0000-0000-000025000000}"/>
    <cellStyle name="Input" xfId="39" xr:uid="{00000000-0005-0000-0000-000026000000}"/>
    <cellStyle name="Linked Cell" xfId="40" xr:uid="{00000000-0005-0000-0000-000027000000}"/>
    <cellStyle name="Millares 2" xfId="41" xr:uid="{00000000-0005-0000-0000-000028000000}"/>
    <cellStyle name="Millares 2 11" xfId="42" xr:uid="{00000000-0005-0000-0000-000029000000}"/>
    <cellStyle name="Millares 2 2 3 2" xfId="43" xr:uid="{00000000-0005-0000-0000-00002A000000}"/>
    <cellStyle name="Moneda" xfId="62" builtinId="4"/>
    <cellStyle name="Moneda [0] 3" xfId="44" xr:uid="{00000000-0005-0000-0000-00002B000000}"/>
    <cellStyle name="Moneda 12" xfId="45" xr:uid="{00000000-0005-0000-0000-00002C000000}"/>
    <cellStyle name="Moneda 6 2" xfId="46" xr:uid="{00000000-0005-0000-0000-00002D000000}"/>
    <cellStyle name="Neutral" xfId="47" builtinId="28" customBuiltin="1"/>
    <cellStyle name="Normal" xfId="0" builtinId="0"/>
    <cellStyle name="Normal 10 4" xfId="48" xr:uid="{00000000-0005-0000-0000-000030000000}"/>
    <cellStyle name="Normal 2 2 2 2 2" xfId="49" xr:uid="{00000000-0005-0000-0000-000031000000}"/>
    <cellStyle name="Normal 2 3 2 3" xfId="50" xr:uid="{00000000-0005-0000-0000-000032000000}"/>
    <cellStyle name="Normal 3 2 2 2" xfId="51" xr:uid="{00000000-0005-0000-0000-000033000000}"/>
    <cellStyle name="Normal 6 2" xfId="63" xr:uid="{BEA6712C-581C-4264-AA9C-CCAF2240A580}"/>
    <cellStyle name="Normal 9" xfId="52" xr:uid="{00000000-0005-0000-0000-000034000000}"/>
    <cellStyle name="Note" xfId="53" xr:uid="{00000000-0005-0000-0000-000035000000}"/>
    <cellStyle name="Output" xfId="54" xr:uid="{00000000-0005-0000-0000-000036000000}"/>
    <cellStyle name="Percent_FORM22" xfId="55" xr:uid="{00000000-0005-0000-0000-000037000000}"/>
    <cellStyle name="Porcentaje" xfId="56" builtinId="5"/>
    <cellStyle name="Porcentaje 3 2 2" xfId="57" xr:uid="{00000000-0005-0000-0000-000039000000}"/>
    <cellStyle name="Porcentaje 3 3" xfId="58" xr:uid="{00000000-0005-0000-0000-00003A000000}"/>
    <cellStyle name="Title" xfId="59" xr:uid="{00000000-0005-0000-0000-00003B000000}"/>
    <cellStyle name="Total" xfId="60" builtinId="25" customBuiltin="1"/>
    <cellStyle name="Warning Text" xfId="61" xr:uid="{00000000-0005-0000-0000-00003D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A6BFDD"/>
      <rgbColor rgb="000000FF"/>
      <rgbColor rgb="00FEFECC"/>
      <rgbColor rgb="00B2B2B2"/>
      <rgbColor rgb="00FFEA9C"/>
      <rgbColor rgb="00FFC6CD"/>
      <rgbColor rgb="00008000"/>
      <rgbColor rgb="00F79645"/>
      <rgbColor rgb="004BACC5"/>
      <rgbColor rgb="00800080"/>
      <rgbColor rgb="007F63A2"/>
      <rgbColor rgb="00C0C0C0"/>
      <rgbColor rgb="00808080"/>
      <rgbColor rgb="009999FF"/>
      <rgbColor rgb="009ABB59"/>
      <rgbColor rgb="00C0504D"/>
      <rgbColor rgb="004F81BD"/>
      <rgbColor rgb="00FF7F00"/>
      <rgbColor rgb="00A5A5A5"/>
      <rgbColor rgb="00F2F2F2"/>
      <rgbColor rgb="00C6EFCE"/>
      <rgbColor rgb="00FABF8F"/>
      <rgbColor rgb="0092CDDC"/>
      <rgbColor rgb="00B2A1C7"/>
      <rgbColor rgb="00C2D69B"/>
      <rgbColor rgb="00D99594"/>
      <rgbColor rgb="0095B3D7"/>
      <rgbColor rgb="00FBD4B4"/>
      <rgbColor rgb="00B6DDE8"/>
      <rgbColor rgb="00CCC0D9"/>
      <rgbColor rgb="00D6E3BC"/>
      <rgbColor rgb="00E5B8B7"/>
      <rgbColor rgb="00B8CCE4"/>
      <rgbColor rgb="00FDE9D9"/>
      <rgbColor rgb="00DAEEF3"/>
      <rgbColor rgb="00E5DFEC"/>
      <rgbColor rgb="00FFCC99"/>
      <rgbColor rgb="00EAF1DD"/>
      <rgbColor rgb="00F2DBDB"/>
      <rgbColor rgb="00DBE5F1"/>
      <rgbColor rgb="007F7F7F"/>
      <rgbColor rgb="00FF9900"/>
      <rgbColor rgb="003F3F3F"/>
      <rgbColor rgb="009C6500"/>
      <rgbColor rgb="009C0006"/>
      <rgbColor rgb="00003366"/>
      <rgbColor rgb="003F3F76"/>
      <rgbColor rgb="001E497D"/>
      <rgbColor rgb="00FA7D00"/>
      <rgbColor rgb="00993300"/>
      <rgbColor rgb="000061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861060</xdr:colOff>
      <xdr:row>24</xdr:row>
      <xdr:rowOff>152400</xdr:rowOff>
    </xdr:from>
    <xdr:to>
      <xdr:col>4</xdr:col>
      <xdr:colOff>2402205</xdr:colOff>
      <xdr:row>31</xdr:row>
      <xdr:rowOff>148590</xdr:rowOff>
    </xdr:to>
    <xdr:pic>
      <xdr:nvPicPr>
        <xdr:cNvPr id="2" name="Imagen 1">
          <a:extLst>
            <a:ext uri="{FF2B5EF4-FFF2-40B4-BE49-F238E27FC236}">
              <a16:creationId xmlns:a16="http://schemas.microsoft.com/office/drawing/2014/main" id="{3780976D-074D-C1E1-6EB2-C940952F96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48940" y="13975080"/>
          <a:ext cx="2409825" cy="1619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USUARIO/Documents/ING%20MARLON%20PEREZ/01%20PRIMERO%20DABEIBA/02%20PROYECTOS/12%20MURO%20DE%20CONTENCI&#211;N%20COCOS%20DE%20URAMA/03%20CONSULTORIA%20MURO%20DE%20CONTENCION%20VIA%20URAMA/PRESUPUESTO%20ENERO%202025/23%20Ppto%20muro%20de%20contencion%20Dabeiba_V3%20-%2013-05-2025.xlsm?79424F15" TargetMode="External"/><Relationship Id="rId1" Type="http://schemas.openxmlformats.org/officeDocument/2006/relationships/externalLinkPath" Target="file:///\\79424F15\23%20Ppto%20muro%20de%20contencion%20Dabeiba_V3%20-%2013-05-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CLARACIONES"/>
      <sheetName val="ENTIDADES"/>
      <sheetName val="DATOS INICIALES"/>
      <sheetName val="PRESUPUESTO"/>
      <sheetName val="MEMORIAS"/>
      <sheetName val="APU"/>
      <sheetName val="CRONOGRAMA"/>
      <sheetName val="AIU"/>
      <sheetName val="PMA"/>
      <sheetName val="PMT"/>
      <sheetName val="PÓLIZAS OBRA"/>
      <sheetName val="IMPUESTO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2024"/>
      <sheetName val="FACTOR PRESTACIONAL"/>
      <sheetName val="INTERVENTORÍA"/>
      <sheetName val="FM INTERVENTORÍA"/>
      <sheetName val="TASAS_INTERVENTORIA"/>
      <sheetName val="PÓLIZAS INTERVENTORÍA"/>
    </sheetNames>
    <sheetDataSet>
      <sheetData sheetId="0" refreshError="1"/>
      <sheetData sheetId="1" refreshError="1"/>
      <sheetData sheetId="2" refreshError="1"/>
      <sheetData sheetId="3">
        <row r="14">
          <cell r="B14">
            <v>1423500</v>
          </cell>
        </row>
        <row r="21">
          <cell r="B21">
            <v>4</v>
          </cell>
        </row>
        <row r="29">
          <cell r="B29" t="str">
            <v>SI</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EBFDA-2132-49AC-977C-18ECD30FC191}">
  <sheetPr>
    <pageSetUpPr fitToPage="1"/>
  </sheetPr>
  <dimension ref="A1:H37"/>
  <sheetViews>
    <sheetView tabSelected="1" view="pageBreakPreview" topLeftCell="B12" zoomScaleNormal="100" zoomScaleSheetLayoutView="100" workbookViewId="0">
      <selection activeCell="D30" sqref="D30"/>
    </sheetView>
  </sheetViews>
  <sheetFormatPr baseColWidth="10" defaultColWidth="11.42578125" defaultRowHeight="15" x14ac:dyDescent="0.2"/>
  <cols>
    <col min="1" max="1" width="7.7109375" style="5" hidden="1" customWidth="1"/>
    <col min="2" max="2" width="20.28515625" style="5" customWidth="1"/>
    <col min="3" max="3" width="10.140625" style="5" customWidth="1"/>
    <col min="4" max="4" width="12.7109375" style="5" customWidth="1"/>
    <col min="5" max="5" width="41.5703125" style="5" customWidth="1"/>
    <col min="6" max="6" width="18.5703125" style="17" customWidth="1"/>
    <col min="7" max="7" width="21.7109375" style="17" customWidth="1"/>
    <col min="8" max="8" width="20.140625" style="5" customWidth="1"/>
    <col min="9" max="101" width="11.42578125" style="5" customWidth="1"/>
    <col min="102" max="102" width="7.85546875" style="5" customWidth="1"/>
    <col min="103" max="103" width="51.85546875" style="5" customWidth="1"/>
    <col min="104" max="104" width="8.5703125" style="5" customWidth="1"/>
    <col min="105" max="105" width="11.85546875" style="5" customWidth="1"/>
    <col min="106" max="106" width="14.42578125" style="5" customWidth="1"/>
    <col min="107" max="107" width="21.7109375" style="5" customWidth="1"/>
    <col min="108" max="108" width="14.28515625" style="5" customWidth="1"/>
    <col min="109" max="109" width="20.140625" style="5" customWidth="1"/>
    <col min="110" max="110" width="11.7109375" style="5" customWidth="1"/>
    <col min="111" max="16384" width="11.42578125" style="5"/>
  </cols>
  <sheetData>
    <row r="1" spans="1:8" ht="12.75" customHeight="1" x14ac:dyDescent="0.2">
      <c r="B1" s="158" t="s">
        <v>56</v>
      </c>
      <c r="C1" s="159"/>
      <c r="D1" s="159"/>
      <c r="E1" s="159"/>
      <c r="F1" s="159"/>
      <c r="G1" s="159"/>
      <c r="H1" s="160"/>
    </row>
    <row r="2" spans="1:8" ht="90.6" customHeight="1" x14ac:dyDescent="0.2">
      <c r="A2" s="6"/>
      <c r="B2" s="161"/>
      <c r="C2" s="162"/>
      <c r="D2" s="162"/>
      <c r="E2" s="162"/>
      <c r="F2" s="162"/>
      <c r="G2" s="162"/>
      <c r="H2" s="163"/>
    </row>
    <row r="3" spans="1:8" ht="42" customHeight="1" x14ac:dyDescent="0.2">
      <c r="A3" s="28"/>
      <c r="B3" s="27" t="s">
        <v>0</v>
      </c>
      <c r="C3" s="111" t="s">
        <v>1</v>
      </c>
      <c r="D3" s="167" t="s">
        <v>117</v>
      </c>
      <c r="E3" s="168"/>
      <c r="F3" s="168"/>
      <c r="G3" s="168"/>
      <c r="H3" s="169"/>
    </row>
    <row r="4" spans="1:8" ht="24" customHeight="1" thickBot="1" x14ac:dyDescent="0.25">
      <c r="A4" s="7"/>
      <c r="B4" s="170"/>
      <c r="C4" s="171"/>
      <c r="D4" s="171"/>
      <c r="E4" s="171"/>
      <c r="F4" s="171"/>
      <c r="G4" s="171"/>
      <c r="H4" s="172"/>
    </row>
    <row r="5" spans="1:8" ht="16.5" thickTop="1" x14ac:dyDescent="0.2">
      <c r="A5" s="9" t="s">
        <v>1</v>
      </c>
      <c r="B5" s="10" t="s">
        <v>2</v>
      </c>
      <c r="C5" s="8"/>
      <c r="D5" s="173" t="s">
        <v>3</v>
      </c>
      <c r="E5" s="174"/>
      <c r="F5" s="73" t="s">
        <v>123</v>
      </c>
      <c r="G5" s="73" t="s">
        <v>89</v>
      </c>
      <c r="H5" s="10" t="s">
        <v>88</v>
      </c>
    </row>
    <row r="6" spans="1:8" ht="155.44999999999999" customHeight="1" x14ac:dyDescent="0.2">
      <c r="A6" s="12" t="e">
        <f>+#REF!</f>
        <v>#REF!</v>
      </c>
      <c r="B6" s="177" t="str">
        <f>+D3</f>
        <v>Elaboración de estudios y diseños para el Mejoramiento de la Red Vial Terciaria en el Municipio de Dabeiba, Departamento de Antioquia.</v>
      </c>
      <c r="C6" s="10">
        <v>1</v>
      </c>
      <c r="D6" s="164" t="s">
        <v>131</v>
      </c>
      <c r="E6" s="176"/>
      <c r="F6" s="89">
        <v>9</v>
      </c>
      <c r="G6" s="90"/>
      <c r="H6" s="13"/>
    </row>
    <row r="7" spans="1:8" ht="99" customHeight="1" x14ac:dyDescent="0.2">
      <c r="A7" s="12"/>
      <c r="B7" s="177"/>
      <c r="C7" s="10">
        <v>2</v>
      </c>
      <c r="D7" s="164" t="s">
        <v>125</v>
      </c>
      <c r="E7" s="165"/>
      <c r="F7" s="89">
        <v>9</v>
      </c>
      <c r="G7" s="90"/>
      <c r="H7" s="13"/>
    </row>
    <row r="8" spans="1:8" ht="66.75" customHeight="1" x14ac:dyDescent="0.2">
      <c r="A8" s="14">
        <v>2</v>
      </c>
      <c r="B8" s="177"/>
      <c r="C8" s="10">
        <v>3</v>
      </c>
      <c r="D8" s="164" t="s">
        <v>128</v>
      </c>
      <c r="E8" s="165"/>
      <c r="F8" s="89">
        <v>9</v>
      </c>
      <c r="G8" s="90"/>
      <c r="H8" s="13"/>
    </row>
    <row r="9" spans="1:8" ht="98.45" customHeight="1" x14ac:dyDescent="0.2">
      <c r="A9" s="14"/>
      <c r="B9" s="177"/>
      <c r="C9" s="10">
        <v>4</v>
      </c>
      <c r="D9" s="164" t="s">
        <v>132</v>
      </c>
      <c r="E9" s="165"/>
      <c r="F9" s="89">
        <v>9</v>
      </c>
      <c r="G9" s="90"/>
      <c r="H9" s="13"/>
    </row>
    <row r="10" spans="1:8" ht="105" customHeight="1" x14ac:dyDescent="0.2">
      <c r="A10" s="14">
        <v>3</v>
      </c>
      <c r="B10" s="177"/>
      <c r="C10" s="10">
        <v>5</v>
      </c>
      <c r="D10" s="164" t="s">
        <v>126</v>
      </c>
      <c r="E10" s="165"/>
      <c r="F10" s="89">
        <v>9</v>
      </c>
      <c r="G10" s="90"/>
      <c r="H10" s="13"/>
    </row>
    <row r="11" spans="1:8" ht="72" customHeight="1" x14ac:dyDescent="0.2">
      <c r="A11" s="14"/>
      <c r="B11" s="177"/>
      <c r="C11" s="10">
        <v>6</v>
      </c>
      <c r="D11" s="164" t="s">
        <v>129</v>
      </c>
      <c r="E11" s="165"/>
      <c r="F11" s="89">
        <v>9</v>
      </c>
      <c r="G11" s="90"/>
      <c r="H11" s="13"/>
    </row>
    <row r="12" spans="1:8" ht="92.45" customHeight="1" x14ac:dyDescent="0.2">
      <c r="A12" s="15"/>
      <c r="B12" s="177"/>
      <c r="C12" s="10">
        <v>7</v>
      </c>
      <c r="D12" s="164" t="s">
        <v>127</v>
      </c>
      <c r="E12" s="165"/>
      <c r="F12" s="89">
        <v>9</v>
      </c>
      <c r="G12" s="90"/>
      <c r="H12" s="13"/>
    </row>
    <row r="13" spans="1:8" ht="37.9" customHeight="1" x14ac:dyDescent="0.2">
      <c r="A13" s="11"/>
      <c r="B13" s="177"/>
      <c r="C13" s="10">
        <v>8</v>
      </c>
      <c r="D13" s="164" t="str">
        <f>+VLOOKUP(C13,APU!$A$3:$J$341,2,FALSE)</f>
        <v xml:space="preserve">Plan de manejo ambiental. Incluye: análisis de riesgo e informe </v>
      </c>
      <c r="E13" s="165"/>
      <c r="F13" s="89">
        <v>9</v>
      </c>
      <c r="G13" s="90"/>
      <c r="H13" s="13"/>
    </row>
    <row r="14" spans="1:8" ht="15.75" x14ac:dyDescent="0.2">
      <c r="A14" s="16"/>
      <c r="B14" s="16"/>
      <c r="C14" s="175" t="s">
        <v>133</v>
      </c>
      <c r="D14" s="175"/>
      <c r="E14" s="175"/>
      <c r="F14" s="175"/>
      <c r="G14" s="175"/>
      <c r="H14" s="116"/>
    </row>
    <row r="15" spans="1:8" ht="15.75" x14ac:dyDescent="0.2">
      <c r="A15" s="16"/>
      <c r="B15" s="16"/>
      <c r="C15" s="175" t="s">
        <v>134</v>
      </c>
      <c r="D15" s="175"/>
      <c r="E15" s="175"/>
      <c r="F15" s="175"/>
      <c r="G15" s="175"/>
      <c r="H15" s="116"/>
    </row>
    <row r="16" spans="1:8" ht="15.75" x14ac:dyDescent="0.2">
      <c r="A16" s="16"/>
      <c r="B16" s="16"/>
      <c r="C16" s="175" t="s">
        <v>163</v>
      </c>
      <c r="D16" s="175"/>
      <c r="E16" s="175"/>
      <c r="F16" s="175"/>
      <c r="G16" s="175"/>
      <c r="H16" s="116"/>
    </row>
    <row r="17" spans="1:8" ht="15.75" x14ac:dyDescent="0.2">
      <c r="A17" s="16"/>
      <c r="B17" s="16"/>
      <c r="C17" s="175" t="s">
        <v>11</v>
      </c>
      <c r="D17" s="175"/>
      <c r="E17" s="175"/>
      <c r="F17" s="175"/>
      <c r="G17" s="175"/>
      <c r="H17" s="116"/>
    </row>
    <row r="18" spans="1:8" ht="15.75" x14ac:dyDescent="0.2">
      <c r="A18" s="16"/>
      <c r="B18" s="16"/>
      <c r="C18" s="16"/>
      <c r="D18" s="16"/>
      <c r="E18" s="16"/>
      <c r="G18" s="112"/>
      <c r="H18" s="122"/>
    </row>
    <row r="19" spans="1:8" x14ac:dyDescent="0.2">
      <c r="B19" s="166" t="s">
        <v>47</v>
      </c>
      <c r="C19" s="166"/>
      <c r="D19" s="166"/>
      <c r="E19" s="166"/>
      <c r="F19" s="166"/>
      <c r="G19" s="166"/>
      <c r="H19" s="166"/>
    </row>
    <row r="20" spans="1:8" ht="15.75" x14ac:dyDescent="0.2">
      <c r="E20" s="17"/>
      <c r="H20" s="19"/>
    </row>
    <row r="21" spans="1:8" ht="15.75" x14ac:dyDescent="0.2">
      <c r="E21" s="17"/>
      <c r="H21" s="19"/>
    </row>
    <row r="22" spans="1:8" ht="15" customHeight="1" x14ac:dyDescent="0.2">
      <c r="B22" s="178" t="s">
        <v>124</v>
      </c>
      <c r="C22" s="178"/>
      <c r="D22" s="178"/>
      <c r="E22" s="178"/>
      <c r="F22" s="178"/>
      <c r="G22" s="178"/>
      <c r="H22" s="178"/>
    </row>
    <row r="23" spans="1:8" x14ac:dyDescent="0.2">
      <c r="B23" s="178"/>
      <c r="C23" s="178"/>
      <c r="D23" s="178"/>
      <c r="E23" s="178"/>
      <c r="F23" s="178"/>
      <c r="G23" s="178"/>
      <c r="H23" s="178"/>
    </row>
    <row r="24" spans="1:8" ht="22.9" customHeight="1" x14ac:dyDescent="0.2">
      <c r="B24" s="178"/>
      <c r="C24" s="178"/>
      <c r="D24" s="178"/>
      <c r="E24" s="178"/>
      <c r="F24" s="178"/>
      <c r="G24" s="178"/>
      <c r="H24" s="178"/>
    </row>
    <row r="25" spans="1:8" ht="37.15" customHeight="1" x14ac:dyDescent="0.2">
      <c r="B25" s="178" t="s">
        <v>164</v>
      </c>
      <c r="C25" s="178"/>
      <c r="D25" s="178"/>
      <c r="E25" s="178"/>
      <c r="F25" s="178"/>
      <c r="G25" s="178"/>
      <c r="H25" s="178"/>
    </row>
    <row r="26" spans="1:8" x14ac:dyDescent="0.2">
      <c r="B26" s="18"/>
      <c r="C26" s="18"/>
      <c r="D26" s="18"/>
      <c r="E26" s="18"/>
      <c r="H26" s="18"/>
    </row>
    <row r="27" spans="1:8" x14ac:dyDescent="0.2">
      <c r="A27" s="21"/>
      <c r="B27" s="22"/>
      <c r="C27" s="22"/>
      <c r="D27" s="21"/>
      <c r="E27" s="23"/>
    </row>
    <row r="28" spans="1:8" x14ac:dyDescent="0.2">
      <c r="A28" s="21"/>
      <c r="B28" s="22"/>
      <c r="C28" s="22"/>
      <c r="D28" s="21"/>
      <c r="E28" s="23"/>
    </row>
    <row r="29" spans="1:8" x14ac:dyDescent="0.2">
      <c r="A29" s="21"/>
      <c r="B29" s="22"/>
      <c r="C29" s="22"/>
      <c r="D29" s="21"/>
      <c r="E29" s="23"/>
    </row>
    <row r="30" spans="1:8" ht="15.75" x14ac:dyDescent="0.25">
      <c r="A30" s="24"/>
      <c r="B30" s="22"/>
      <c r="C30" s="22"/>
      <c r="D30" s="21"/>
      <c r="E30" s="157"/>
    </row>
    <row r="31" spans="1:8" x14ac:dyDescent="0.2">
      <c r="A31" s="25"/>
      <c r="B31" s="22"/>
      <c r="C31" s="22"/>
      <c r="D31" s="21"/>
      <c r="E31" s="23"/>
    </row>
    <row r="32" spans="1:8" x14ac:dyDescent="0.2">
      <c r="A32" s="26"/>
      <c r="E32" s="17"/>
    </row>
    <row r="33" spans="1:1" ht="15.75" x14ac:dyDescent="0.25">
      <c r="A33" s="24"/>
    </row>
    <row r="34" spans="1:1" ht="15.75" x14ac:dyDescent="0.25">
      <c r="A34" s="24"/>
    </row>
    <row r="35" spans="1:1" ht="15.75" x14ac:dyDescent="0.25">
      <c r="A35" s="24"/>
    </row>
    <row r="36" spans="1:1" x14ac:dyDescent="0.2">
      <c r="A36" s="26"/>
    </row>
    <row r="37" spans="1:1" ht="15.75" x14ac:dyDescent="0.25">
      <c r="A37" s="24"/>
    </row>
  </sheetData>
  <dataConsolidate/>
  <mergeCells count="20">
    <mergeCell ref="C17:G17"/>
    <mergeCell ref="B19:H19"/>
    <mergeCell ref="B22:H24"/>
    <mergeCell ref="B25:H25"/>
    <mergeCell ref="D11:E11"/>
    <mergeCell ref="D12:E12"/>
    <mergeCell ref="D13:E13"/>
    <mergeCell ref="C14:G14"/>
    <mergeCell ref="C15:G15"/>
    <mergeCell ref="C16:G16"/>
    <mergeCell ref="B1:H2"/>
    <mergeCell ref="D3:H3"/>
    <mergeCell ref="B4:H4"/>
    <mergeCell ref="D5:E5"/>
    <mergeCell ref="B6:B13"/>
    <mergeCell ref="D6:E6"/>
    <mergeCell ref="D7:E7"/>
    <mergeCell ref="D8:E8"/>
    <mergeCell ref="D9:E9"/>
    <mergeCell ref="D10:E10"/>
  </mergeCells>
  <printOptions horizontalCentered="1"/>
  <pageMargins left="0.70833333333333337" right="0.70833333333333337" top="0.74791666666666667" bottom="0.74791666666666667" header="0.31458333333333333" footer="0.31458333333333333"/>
  <pageSetup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7"/>
  <sheetViews>
    <sheetView view="pageBreakPreview" topLeftCell="B1" zoomScaleNormal="100" zoomScaleSheetLayoutView="100" workbookViewId="0">
      <selection activeCell="F6" sqref="F6"/>
    </sheetView>
  </sheetViews>
  <sheetFormatPr baseColWidth="10" defaultColWidth="11.42578125" defaultRowHeight="15" x14ac:dyDescent="0.2"/>
  <cols>
    <col min="1" max="1" width="7.7109375" style="5" hidden="1" customWidth="1"/>
    <col min="2" max="2" width="20.28515625" style="5" customWidth="1"/>
    <col min="3" max="3" width="10.140625" style="5" customWidth="1"/>
    <col min="4" max="4" width="12.7109375" style="5" customWidth="1"/>
    <col min="5" max="5" width="41.5703125" style="5" customWidth="1"/>
    <col min="6" max="6" width="18.5703125" style="17" customWidth="1"/>
    <col min="7" max="7" width="21.7109375" style="17" customWidth="1"/>
    <col min="8" max="8" width="20.140625" style="5" customWidth="1"/>
    <col min="9" max="101" width="11.42578125" style="5" customWidth="1"/>
    <col min="102" max="102" width="7.85546875" style="5" customWidth="1"/>
    <col min="103" max="103" width="51.85546875" style="5" customWidth="1"/>
    <col min="104" max="104" width="8.5703125" style="5" customWidth="1"/>
    <col min="105" max="105" width="11.85546875" style="5" customWidth="1"/>
    <col min="106" max="106" width="14.42578125" style="5" customWidth="1"/>
    <col min="107" max="107" width="21.7109375" style="5" customWidth="1"/>
    <col min="108" max="108" width="14.28515625" style="5" customWidth="1"/>
    <col min="109" max="109" width="20.140625" style="5" customWidth="1"/>
    <col min="110" max="110" width="11.7109375" style="5" customWidth="1"/>
    <col min="111" max="16384" width="11.42578125" style="5"/>
  </cols>
  <sheetData>
    <row r="1" spans="1:8" ht="12.75" customHeight="1" x14ac:dyDescent="0.2">
      <c r="B1" s="158" t="s">
        <v>56</v>
      </c>
      <c r="C1" s="159"/>
      <c r="D1" s="159"/>
      <c r="E1" s="159"/>
      <c r="F1" s="159"/>
      <c r="G1" s="159"/>
      <c r="H1" s="160"/>
    </row>
    <row r="2" spans="1:8" ht="90.6" customHeight="1" x14ac:dyDescent="0.2">
      <c r="A2" s="6"/>
      <c r="B2" s="161"/>
      <c r="C2" s="162"/>
      <c r="D2" s="162"/>
      <c r="E2" s="162"/>
      <c r="F2" s="162"/>
      <c r="G2" s="162"/>
      <c r="H2" s="163"/>
    </row>
    <row r="3" spans="1:8" ht="42" customHeight="1" x14ac:dyDescent="0.2">
      <c r="A3" s="28"/>
      <c r="B3" s="27" t="s">
        <v>0</v>
      </c>
      <c r="C3" s="111" t="s">
        <v>1</v>
      </c>
      <c r="D3" s="167" t="s">
        <v>117</v>
      </c>
      <c r="E3" s="168"/>
      <c r="F3" s="168"/>
      <c r="G3" s="168"/>
      <c r="H3" s="169"/>
    </row>
    <row r="4" spans="1:8" ht="24" customHeight="1" x14ac:dyDescent="0.2">
      <c r="A4" s="7"/>
      <c r="B4" s="170"/>
      <c r="C4" s="171"/>
      <c r="D4" s="171"/>
      <c r="E4" s="171"/>
      <c r="F4" s="171"/>
      <c r="G4" s="171"/>
      <c r="H4" s="172"/>
    </row>
    <row r="5" spans="1:8" ht="15.75" x14ac:dyDescent="0.2">
      <c r="A5" s="9" t="s">
        <v>1</v>
      </c>
      <c r="B5" s="10" t="s">
        <v>2</v>
      </c>
      <c r="C5" s="8"/>
      <c r="D5" s="173" t="s">
        <v>3</v>
      </c>
      <c r="E5" s="174"/>
      <c r="F5" s="73" t="s">
        <v>123</v>
      </c>
      <c r="G5" s="73" t="s">
        <v>89</v>
      </c>
      <c r="H5" s="10" t="s">
        <v>88</v>
      </c>
    </row>
    <row r="6" spans="1:8" ht="155.44999999999999" customHeight="1" x14ac:dyDescent="0.2">
      <c r="A6" s="12" t="e">
        <f>+#REF!</f>
        <v>#REF!</v>
      </c>
      <c r="B6" s="177" t="str">
        <f>+D3</f>
        <v>Elaboración de estudios y diseños para el Mejoramiento de la Red Vial Terciaria en el Municipio de Dabeiba, Departamento de Antioquia.</v>
      </c>
      <c r="C6" s="10">
        <v>1</v>
      </c>
      <c r="D6" s="164" t="s">
        <v>131</v>
      </c>
      <c r="E6" s="176"/>
      <c r="F6" s="89">
        <v>9</v>
      </c>
      <c r="G6" s="90">
        <f>APU!J6</f>
        <v>3972285</v>
      </c>
      <c r="H6" s="13">
        <f>+F6*G6</f>
        <v>35750565</v>
      </c>
    </row>
    <row r="7" spans="1:8" ht="99" customHeight="1" x14ac:dyDescent="0.2">
      <c r="A7" s="12"/>
      <c r="B7" s="177"/>
      <c r="C7" s="10">
        <v>2</v>
      </c>
      <c r="D7" s="164" t="s">
        <v>125</v>
      </c>
      <c r="E7" s="165"/>
      <c r="F7" s="89">
        <v>9</v>
      </c>
      <c r="G7" s="90">
        <f>APU!J26</f>
        <v>5274868</v>
      </c>
      <c r="H7" s="13">
        <f t="shared" ref="H7:H12" si="0">+F7*G7</f>
        <v>47473812</v>
      </c>
    </row>
    <row r="8" spans="1:8" ht="66.75" customHeight="1" x14ac:dyDescent="0.2">
      <c r="A8" s="14">
        <v>2</v>
      </c>
      <c r="B8" s="177"/>
      <c r="C8" s="10">
        <v>3</v>
      </c>
      <c r="D8" s="164" t="s">
        <v>128</v>
      </c>
      <c r="E8" s="165"/>
      <c r="F8" s="89">
        <v>9</v>
      </c>
      <c r="G8" s="90">
        <f>+VLOOKUP(C8,APU!$A$3:$J$341,10,FALSE)</f>
        <v>4535340</v>
      </c>
      <c r="H8" s="13">
        <f t="shared" si="0"/>
        <v>40818060</v>
      </c>
    </row>
    <row r="9" spans="1:8" ht="98.45" customHeight="1" x14ac:dyDescent="0.2">
      <c r="A9" s="14"/>
      <c r="B9" s="177"/>
      <c r="C9" s="10">
        <v>4</v>
      </c>
      <c r="D9" s="164" t="s">
        <v>132</v>
      </c>
      <c r="E9" s="165"/>
      <c r="F9" s="89">
        <v>9</v>
      </c>
      <c r="G9" s="90">
        <f>APU!J67</f>
        <v>4648508</v>
      </c>
      <c r="H9" s="13">
        <f t="shared" si="0"/>
        <v>41836572</v>
      </c>
    </row>
    <row r="10" spans="1:8" ht="105" customHeight="1" x14ac:dyDescent="0.2">
      <c r="A10" s="14">
        <v>3</v>
      </c>
      <c r="B10" s="177"/>
      <c r="C10" s="10">
        <v>5</v>
      </c>
      <c r="D10" s="164" t="s">
        <v>126</v>
      </c>
      <c r="E10" s="165"/>
      <c r="F10" s="89">
        <v>9</v>
      </c>
      <c r="G10" s="90">
        <f>APU!J85</f>
        <v>3061210</v>
      </c>
      <c r="H10" s="13">
        <f t="shared" si="0"/>
        <v>27550890</v>
      </c>
    </row>
    <row r="11" spans="1:8" ht="72" customHeight="1" x14ac:dyDescent="0.2">
      <c r="A11" s="14"/>
      <c r="B11" s="177"/>
      <c r="C11" s="10">
        <v>6</v>
      </c>
      <c r="D11" s="164" t="s">
        <v>129</v>
      </c>
      <c r="E11" s="165"/>
      <c r="F11" s="89">
        <v>9</v>
      </c>
      <c r="G11" s="90">
        <f>APU!J102</f>
        <v>1903728</v>
      </c>
      <c r="H11" s="13">
        <f t="shared" si="0"/>
        <v>17133552</v>
      </c>
    </row>
    <row r="12" spans="1:8" ht="92.45" customHeight="1" x14ac:dyDescent="0.2">
      <c r="A12" s="15"/>
      <c r="B12" s="177"/>
      <c r="C12" s="10">
        <v>7</v>
      </c>
      <c r="D12" s="164" t="s">
        <v>127</v>
      </c>
      <c r="E12" s="165"/>
      <c r="F12" s="89">
        <v>9</v>
      </c>
      <c r="G12" s="90">
        <f>APU!J120</f>
        <v>3209215</v>
      </c>
      <c r="H12" s="13">
        <f t="shared" si="0"/>
        <v>28882935</v>
      </c>
    </row>
    <row r="13" spans="1:8" ht="37.9" customHeight="1" x14ac:dyDescent="0.2">
      <c r="A13" s="11"/>
      <c r="B13" s="177"/>
      <c r="C13" s="10">
        <v>8</v>
      </c>
      <c r="D13" s="164" t="str">
        <f>+VLOOKUP(C13,APU!$A$3:$J$341,2,FALSE)</f>
        <v xml:space="preserve">Plan de manejo ambiental. Incluye: análisis de riesgo e informe </v>
      </c>
      <c r="E13" s="165"/>
      <c r="F13" s="89">
        <v>9</v>
      </c>
      <c r="G13" s="90">
        <f>+VLOOKUP(C13,APU!$A$3:$J$341,10,FALSE)</f>
        <v>2877365</v>
      </c>
      <c r="H13" s="13">
        <f>+F13*G13</f>
        <v>25896285</v>
      </c>
    </row>
    <row r="14" spans="1:8" ht="15.75" x14ac:dyDescent="0.2">
      <c r="A14" s="16"/>
      <c r="B14" s="16"/>
      <c r="C14" s="175" t="s">
        <v>133</v>
      </c>
      <c r="D14" s="175"/>
      <c r="E14" s="175"/>
      <c r="F14" s="175"/>
      <c r="G14" s="175"/>
      <c r="H14" s="116">
        <f>+SUM(H6:H13)</f>
        <v>265342671</v>
      </c>
    </row>
    <row r="15" spans="1:8" ht="15.75" x14ac:dyDescent="0.2">
      <c r="A15" s="16"/>
      <c r="B15" s="16"/>
      <c r="C15" s="175" t="s">
        <v>134</v>
      </c>
      <c r="D15" s="175"/>
      <c r="E15" s="175"/>
      <c r="F15" s="175"/>
      <c r="G15" s="175"/>
      <c r="H15" s="116">
        <f>H14*0.19</f>
        <v>50415107.490000002</v>
      </c>
    </row>
    <row r="16" spans="1:8" ht="15.75" x14ac:dyDescent="0.2">
      <c r="A16" s="16"/>
      <c r="B16" s="16"/>
      <c r="C16" s="175" t="s">
        <v>163</v>
      </c>
      <c r="D16" s="175"/>
      <c r="E16" s="175"/>
      <c r="F16" s="175"/>
      <c r="G16" s="175"/>
      <c r="H16" s="116">
        <v>2318230.3275465486</v>
      </c>
    </row>
    <row r="17" spans="1:8" ht="15.75" x14ac:dyDescent="0.2">
      <c r="A17" s="16"/>
      <c r="B17" s="16"/>
      <c r="C17" s="175" t="s">
        <v>11</v>
      </c>
      <c r="D17" s="175"/>
      <c r="E17" s="175"/>
      <c r="F17" s="175"/>
      <c r="G17" s="175"/>
      <c r="H17" s="116">
        <v>318076008.81754655</v>
      </c>
    </row>
    <row r="18" spans="1:8" ht="15.75" x14ac:dyDescent="0.2">
      <c r="A18" s="16"/>
      <c r="B18" s="16"/>
      <c r="C18" s="16"/>
      <c r="D18" s="16"/>
      <c r="E18" s="16"/>
      <c r="G18" s="112"/>
      <c r="H18" s="122"/>
    </row>
    <row r="19" spans="1:8" x14ac:dyDescent="0.2">
      <c r="B19" s="166" t="s">
        <v>47</v>
      </c>
      <c r="C19" s="166"/>
      <c r="D19" s="166"/>
      <c r="E19" s="166"/>
      <c r="F19" s="166"/>
      <c r="G19" s="166"/>
      <c r="H19" s="166"/>
    </row>
    <row r="20" spans="1:8" ht="15.75" x14ac:dyDescent="0.2">
      <c r="E20" s="17"/>
      <c r="H20" s="19"/>
    </row>
    <row r="21" spans="1:8" ht="15.75" x14ac:dyDescent="0.2">
      <c r="E21" s="17"/>
      <c r="H21" s="19"/>
    </row>
    <row r="22" spans="1:8" ht="15" customHeight="1" x14ac:dyDescent="0.2">
      <c r="B22" s="178" t="s">
        <v>124</v>
      </c>
      <c r="C22" s="178"/>
      <c r="D22" s="178"/>
      <c r="E22" s="178"/>
      <c r="F22" s="178"/>
      <c r="G22" s="178"/>
      <c r="H22" s="178"/>
    </row>
    <row r="23" spans="1:8" x14ac:dyDescent="0.2">
      <c r="B23" s="178"/>
      <c r="C23" s="178"/>
      <c r="D23" s="178"/>
      <c r="E23" s="178"/>
      <c r="F23" s="178"/>
      <c r="G23" s="178"/>
      <c r="H23" s="178"/>
    </row>
    <row r="24" spans="1:8" ht="22.9" customHeight="1" x14ac:dyDescent="0.2">
      <c r="B24" s="178"/>
      <c r="C24" s="178"/>
      <c r="D24" s="178"/>
      <c r="E24" s="178"/>
      <c r="F24" s="178"/>
      <c r="G24" s="178"/>
      <c r="H24" s="178"/>
    </row>
    <row r="25" spans="1:8" ht="37.15" customHeight="1" x14ac:dyDescent="0.2">
      <c r="B25" s="178" t="s">
        <v>164</v>
      </c>
      <c r="C25" s="178"/>
      <c r="D25" s="178"/>
      <c r="E25" s="178"/>
      <c r="F25" s="178"/>
      <c r="G25" s="178"/>
      <c r="H25" s="178"/>
    </row>
    <row r="26" spans="1:8" x14ac:dyDescent="0.2">
      <c r="B26" s="18"/>
      <c r="C26" s="18"/>
      <c r="D26" s="18"/>
      <c r="E26" s="18"/>
      <c r="H26" s="18"/>
    </row>
    <row r="27" spans="1:8" x14ac:dyDescent="0.2">
      <c r="A27" s="21"/>
      <c r="B27" s="22"/>
      <c r="C27" s="22"/>
      <c r="D27" s="21"/>
      <c r="E27" s="23"/>
    </row>
    <row r="28" spans="1:8" x14ac:dyDescent="0.2">
      <c r="A28" s="21"/>
      <c r="B28" s="22"/>
      <c r="C28" s="22"/>
      <c r="D28" s="21"/>
      <c r="E28" s="23"/>
    </row>
    <row r="29" spans="1:8" x14ac:dyDescent="0.2">
      <c r="A29" s="21"/>
      <c r="B29" s="22"/>
      <c r="C29" s="22"/>
      <c r="D29" s="21"/>
      <c r="E29" s="23"/>
    </row>
    <row r="30" spans="1:8" ht="15.75" x14ac:dyDescent="0.25">
      <c r="A30" s="24"/>
      <c r="B30" s="22"/>
      <c r="C30" s="22"/>
      <c r="D30" s="21"/>
      <c r="E30" s="157" t="s">
        <v>182</v>
      </c>
    </row>
    <row r="31" spans="1:8" x14ac:dyDescent="0.2">
      <c r="A31" s="25"/>
      <c r="B31" s="22"/>
      <c r="C31" s="22"/>
      <c r="D31" s="21"/>
      <c r="E31" s="23" t="s">
        <v>183</v>
      </c>
    </row>
    <row r="32" spans="1:8" x14ac:dyDescent="0.2">
      <c r="A32" s="26"/>
      <c r="E32" s="17" t="s">
        <v>184</v>
      </c>
    </row>
    <row r="33" spans="1:1" ht="15.75" x14ac:dyDescent="0.25">
      <c r="A33" s="24"/>
    </row>
    <row r="34" spans="1:1" ht="15.75" x14ac:dyDescent="0.25">
      <c r="A34" s="24"/>
    </row>
    <row r="35" spans="1:1" ht="15.75" x14ac:dyDescent="0.25">
      <c r="A35" s="24"/>
    </row>
    <row r="36" spans="1:1" x14ac:dyDescent="0.2">
      <c r="A36" s="26"/>
    </row>
    <row r="37" spans="1:1" ht="15.75" x14ac:dyDescent="0.25">
      <c r="A37" s="24"/>
    </row>
  </sheetData>
  <dataConsolidate/>
  <mergeCells count="20">
    <mergeCell ref="B25:H25"/>
    <mergeCell ref="B22:H24"/>
    <mergeCell ref="D8:E8"/>
    <mergeCell ref="D9:E9"/>
    <mergeCell ref="D13:E13"/>
    <mergeCell ref="C17:G17"/>
    <mergeCell ref="B1:H2"/>
    <mergeCell ref="D10:E10"/>
    <mergeCell ref="D11:E11"/>
    <mergeCell ref="D12:E12"/>
    <mergeCell ref="B19:H19"/>
    <mergeCell ref="D3:H3"/>
    <mergeCell ref="D7:E7"/>
    <mergeCell ref="B4:H4"/>
    <mergeCell ref="D5:E5"/>
    <mergeCell ref="C14:G14"/>
    <mergeCell ref="C15:G15"/>
    <mergeCell ref="C16:G16"/>
    <mergeCell ref="D6:E6"/>
    <mergeCell ref="B6:B13"/>
  </mergeCells>
  <printOptions horizontalCentered="1"/>
  <pageMargins left="0.70833333333333337" right="0.70833333333333337" top="0.74791666666666667" bottom="0.74791666666666667" header="0.31458333333333333" footer="0.31458333333333333"/>
  <pageSetup scale="5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8"/>
  <sheetViews>
    <sheetView view="pageBreakPreview" zoomScaleNormal="100" zoomScaleSheetLayoutView="100" workbookViewId="0">
      <selection activeCell="D26" sqref="D26"/>
    </sheetView>
  </sheetViews>
  <sheetFormatPr baseColWidth="10" defaultColWidth="11.42578125" defaultRowHeight="15.75" x14ac:dyDescent="0.2"/>
  <cols>
    <col min="1" max="1" width="43" style="88" customWidth="1"/>
    <col min="2" max="2" width="15.7109375" style="88" customWidth="1"/>
    <col min="3" max="3" width="8" style="88" bestFit="1" customWidth="1"/>
    <col min="4" max="4" width="15.28515625" style="79" customWidth="1"/>
    <col min="5" max="5" width="18.85546875" style="79" customWidth="1"/>
    <col min="6" max="7" width="11.42578125" style="79" customWidth="1"/>
    <col min="8" max="8" width="11.7109375" style="79" hidden="1" customWidth="1"/>
    <col min="9" max="11" width="0" style="79" hidden="1" customWidth="1"/>
    <col min="12" max="16384" width="11.42578125" style="79"/>
  </cols>
  <sheetData>
    <row r="1" spans="1:11" x14ac:dyDescent="0.2">
      <c r="A1" s="185"/>
      <c r="B1" s="185"/>
      <c r="C1" s="185"/>
      <c r="D1" s="185"/>
      <c r="E1" s="185"/>
      <c r="F1" s="2"/>
      <c r="G1" s="2"/>
    </row>
    <row r="2" spans="1:11" ht="34.9" customHeight="1" x14ac:dyDescent="0.2">
      <c r="A2" s="186" t="str">
        <f>+PRESUPUESTO!D3</f>
        <v>Elaboración de estudios y diseños para el Mejoramiento de la Red Vial Terciaria en el Municipio de Dabeiba, Departamento de Antioquia.</v>
      </c>
      <c r="B2" s="186"/>
      <c r="C2" s="186"/>
      <c r="D2" s="186"/>
      <c r="E2" s="186"/>
      <c r="F2" s="3"/>
      <c r="G2" s="3"/>
    </row>
    <row r="3" spans="1:11" x14ac:dyDescent="0.2">
      <c r="A3" s="186"/>
      <c r="B3" s="186"/>
      <c r="C3" s="186"/>
      <c r="D3" s="186"/>
      <c r="E3" s="186"/>
      <c r="F3" s="3"/>
      <c r="G3" s="3"/>
    </row>
    <row r="4" spans="1:11" x14ac:dyDescent="0.2">
      <c r="A4" s="187" t="s">
        <v>25</v>
      </c>
      <c r="B4" s="187"/>
      <c r="C4" s="187"/>
      <c r="D4" s="187"/>
      <c r="E4" s="187"/>
      <c r="F4" s="4"/>
      <c r="G4" s="4"/>
    </row>
    <row r="6" spans="1:11" x14ac:dyDescent="0.2">
      <c r="A6" s="179" t="s">
        <v>118</v>
      </c>
      <c r="B6" s="180"/>
      <c r="C6" s="181"/>
      <c r="D6" s="184">
        <v>1423500</v>
      </c>
      <c r="E6" s="184"/>
      <c r="F6" s="184"/>
    </row>
    <row r="8" spans="1:11" x14ac:dyDescent="0.2">
      <c r="A8" s="80" t="s">
        <v>26</v>
      </c>
      <c r="B8" s="80" t="s">
        <v>59</v>
      </c>
      <c r="C8" s="80" t="s">
        <v>30</v>
      </c>
      <c r="D8" s="80" t="s">
        <v>86</v>
      </c>
      <c r="E8" s="80" t="s">
        <v>85</v>
      </c>
      <c r="F8" s="80" t="s">
        <v>27</v>
      </c>
      <c r="G8" s="81"/>
      <c r="I8" s="82" t="e">
        <f>+APU!J8+#REF!+#REF!+#REF!+#REF!+#REF!+#REF!</f>
        <v>#REF!</v>
      </c>
    </row>
    <row r="9" spans="1:11" x14ac:dyDescent="0.2">
      <c r="A9" s="1" t="s">
        <v>41</v>
      </c>
      <c r="B9" s="74" t="s">
        <v>35</v>
      </c>
      <c r="C9" s="74" t="s">
        <v>60</v>
      </c>
      <c r="D9" s="82">
        <v>9000000</v>
      </c>
      <c r="E9" s="82">
        <f>+D9*FM!$D$8</f>
        <v>18141750</v>
      </c>
      <c r="F9" s="83">
        <f>+D9/$D$6</f>
        <v>6.3224446786090622</v>
      </c>
      <c r="G9" s="81"/>
      <c r="H9" s="82">
        <f>+E9*3</f>
        <v>54425250</v>
      </c>
      <c r="I9" s="82">
        <f>+H9*0.2</f>
        <v>10885050</v>
      </c>
      <c r="K9" s="82" t="e">
        <f>+I9-I8</f>
        <v>#REF!</v>
      </c>
    </row>
    <row r="10" spans="1:11" x14ac:dyDescent="0.2">
      <c r="A10" s="1" t="s">
        <v>121</v>
      </c>
      <c r="B10" s="74" t="s">
        <v>35</v>
      </c>
      <c r="C10" s="74" t="s">
        <v>60</v>
      </c>
      <c r="D10" s="82">
        <v>6000000</v>
      </c>
      <c r="E10" s="82">
        <f>+D10*FM!$D$8</f>
        <v>12094500</v>
      </c>
      <c r="F10" s="83">
        <f t="shared" ref="F10:F24" si="0">+D10/$D$6</f>
        <v>4.2149631190727082</v>
      </c>
      <c r="G10" s="81"/>
    </row>
    <row r="11" spans="1:11" x14ac:dyDescent="0.2">
      <c r="A11" s="1" t="s">
        <v>7</v>
      </c>
      <c r="B11" s="74" t="s">
        <v>62</v>
      </c>
      <c r="C11" s="74" t="s">
        <v>60</v>
      </c>
      <c r="D11" s="82">
        <v>1500000</v>
      </c>
      <c r="E11" s="82">
        <f>+D11*FM!$D$8</f>
        <v>3023625</v>
      </c>
      <c r="F11" s="83">
        <f t="shared" si="0"/>
        <v>1.053740779768177</v>
      </c>
      <c r="G11" s="84"/>
    </row>
    <row r="12" spans="1:11" x14ac:dyDescent="0.2">
      <c r="A12" s="1" t="s">
        <v>8</v>
      </c>
      <c r="B12" s="74" t="s">
        <v>62</v>
      </c>
      <c r="C12" s="74" t="s">
        <v>60</v>
      </c>
      <c r="D12" s="82">
        <v>1500000</v>
      </c>
      <c r="E12" s="82">
        <f>+D12*FM!$D$8</f>
        <v>3023625</v>
      </c>
      <c r="F12" s="83">
        <f t="shared" si="0"/>
        <v>1.053740779768177</v>
      </c>
      <c r="G12" s="84"/>
    </row>
    <row r="13" spans="1:11" x14ac:dyDescent="0.2">
      <c r="A13" s="85" t="s">
        <v>63</v>
      </c>
      <c r="B13" s="74" t="s">
        <v>35</v>
      </c>
      <c r="C13" s="74" t="s">
        <v>60</v>
      </c>
      <c r="D13" s="82">
        <v>6000000</v>
      </c>
      <c r="E13" s="82">
        <f>+D13*FM!$D$8</f>
        <v>12094500</v>
      </c>
      <c r="F13" s="83">
        <f t="shared" si="0"/>
        <v>4.2149631190727082</v>
      </c>
      <c r="G13" s="81"/>
    </row>
    <row r="14" spans="1:11" x14ac:dyDescent="0.2">
      <c r="A14" s="85" t="s">
        <v>9</v>
      </c>
      <c r="B14" s="86" t="s">
        <v>58</v>
      </c>
      <c r="C14" s="74" t="s">
        <v>60</v>
      </c>
      <c r="D14" s="82">
        <v>3500000</v>
      </c>
      <c r="E14" s="82">
        <f>+D14*FM!$D$8</f>
        <v>7055125.0000000009</v>
      </c>
      <c r="F14" s="83">
        <f t="shared" si="0"/>
        <v>2.4587284861257466</v>
      </c>
      <c r="G14" s="84"/>
    </row>
    <row r="15" spans="1:11" x14ac:dyDescent="0.2">
      <c r="A15" s="85" t="s">
        <v>64</v>
      </c>
      <c r="B15" s="74" t="s">
        <v>35</v>
      </c>
      <c r="C15" s="74" t="s">
        <v>60</v>
      </c>
      <c r="D15" s="82">
        <f>+D13</f>
        <v>6000000</v>
      </c>
      <c r="E15" s="82">
        <f>+D15*FM!$D$8</f>
        <v>12094500</v>
      </c>
      <c r="F15" s="83">
        <f t="shared" si="0"/>
        <v>4.2149631190727082</v>
      </c>
      <c r="G15" s="84"/>
    </row>
    <row r="16" spans="1:11" x14ac:dyDescent="0.2">
      <c r="A16" s="85" t="s">
        <v>10</v>
      </c>
      <c r="B16" s="74" t="s">
        <v>35</v>
      </c>
      <c r="C16" s="74" t="s">
        <v>60</v>
      </c>
      <c r="D16" s="82">
        <f>+D15</f>
        <v>6000000</v>
      </c>
      <c r="E16" s="82">
        <f>+D16*FM!$D$8</f>
        <v>12094500</v>
      </c>
      <c r="F16" s="83">
        <f t="shared" si="0"/>
        <v>4.2149631190727082</v>
      </c>
      <c r="G16" s="81"/>
      <c r="J16" s="82">
        <v>6267687.0666666664</v>
      </c>
    </row>
    <row r="17" spans="1:7" x14ac:dyDescent="0.2">
      <c r="A17" s="85" t="s">
        <v>65</v>
      </c>
      <c r="B17" s="74" t="s">
        <v>35</v>
      </c>
      <c r="C17" s="74" t="s">
        <v>60</v>
      </c>
      <c r="D17" s="82">
        <f>+D16</f>
        <v>6000000</v>
      </c>
      <c r="E17" s="82">
        <f>+D17*FM!$D$8</f>
        <v>12094500</v>
      </c>
      <c r="F17" s="83">
        <f t="shared" si="0"/>
        <v>4.2149631190727082</v>
      </c>
      <c r="G17" s="84"/>
    </row>
    <row r="18" spans="1:7" x14ac:dyDescent="0.2">
      <c r="A18" s="87" t="s">
        <v>95</v>
      </c>
      <c r="B18" s="74" t="s">
        <v>35</v>
      </c>
      <c r="C18" s="74" t="s">
        <v>60</v>
      </c>
      <c r="D18" s="82">
        <f>+D9</f>
        <v>9000000</v>
      </c>
      <c r="E18" s="82">
        <f>+D18*FM!$D$8</f>
        <v>18141750</v>
      </c>
      <c r="F18" s="83">
        <f t="shared" si="0"/>
        <v>6.3224446786090622</v>
      </c>
      <c r="G18" s="84"/>
    </row>
    <row r="19" spans="1:7" x14ac:dyDescent="0.2">
      <c r="A19" s="87" t="s">
        <v>119</v>
      </c>
      <c r="B19" s="74" t="s">
        <v>35</v>
      </c>
      <c r="C19" s="74" t="s">
        <v>60</v>
      </c>
      <c r="D19" s="82">
        <f>9000000</f>
        <v>9000000</v>
      </c>
      <c r="E19" s="82">
        <f>+D19*FM!$D$8</f>
        <v>18141750</v>
      </c>
      <c r="F19" s="83">
        <f t="shared" si="0"/>
        <v>6.3224446786090622</v>
      </c>
      <c r="G19" s="84"/>
    </row>
    <row r="20" spans="1:7" x14ac:dyDescent="0.2">
      <c r="A20" s="87" t="s">
        <v>96</v>
      </c>
      <c r="B20" s="74" t="s">
        <v>35</v>
      </c>
      <c r="C20" s="74" t="s">
        <v>60</v>
      </c>
      <c r="D20" s="82">
        <f>+D18</f>
        <v>9000000</v>
      </c>
      <c r="E20" s="82">
        <f>+D20*FM!$D$8</f>
        <v>18141750</v>
      </c>
      <c r="F20" s="83">
        <f t="shared" si="0"/>
        <v>6.3224446786090622</v>
      </c>
      <c r="G20" s="81"/>
    </row>
    <row r="21" spans="1:7" x14ac:dyDescent="0.2">
      <c r="A21" s="87" t="s">
        <v>97</v>
      </c>
      <c r="B21" s="74" t="s">
        <v>35</v>
      </c>
      <c r="C21" s="74" t="s">
        <v>60</v>
      </c>
      <c r="D21" s="82">
        <f>+D20</f>
        <v>9000000</v>
      </c>
      <c r="E21" s="82">
        <f>+D21*FM!$D$8</f>
        <v>18141750</v>
      </c>
      <c r="F21" s="83">
        <f>+D21/$D$6</f>
        <v>6.3224446786090622</v>
      </c>
      <c r="G21" s="81"/>
    </row>
    <row r="22" spans="1:7" x14ac:dyDescent="0.2">
      <c r="A22" s="87" t="s">
        <v>50</v>
      </c>
      <c r="B22" s="74" t="s">
        <v>35</v>
      </c>
      <c r="C22" s="74" t="s">
        <v>60</v>
      </c>
      <c r="D22" s="82">
        <f>+D21</f>
        <v>9000000</v>
      </c>
      <c r="E22" s="82">
        <f>+D22*FM!$D$8</f>
        <v>18141750</v>
      </c>
      <c r="F22" s="83">
        <f t="shared" si="0"/>
        <v>6.3224446786090622</v>
      </c>
    </row>
    <row r="23" spans="1:7" x14ac:dyDescent="0.2">
      <c r="A23" s="87" t="s">
        <v>55</v>
      </c>
      <c r="B23" s="74" t="s">
        <v>35</v>
      </c>
      <c r="C23" s="74" t="s">
        <v>60</v>
      </c>
      <c r="D23" s="82">
        <v>4500000</v>
      </c>
      <c r="E23" s="82">
        <f>+D23*FM!$D$8</f>
        <v>9070875</v>
      </c>
      <c r="F23" s="83">
        <f t="shared" si="0"/>
        <v>3.1612223393045311</v>
      </c>
    </row>
    <row r="24" spans="1:7" x14ac:dyDescent="0.2">
      <c r="A24" s="87" t="s">
        <v>61</v>
      </c>
      <c r="B24" s="74" t="s">
        <v>62</v>
      </c>
      <c r="C24" s="74" t="s">
        <v>60</v>
      </c>
      <c r="D24" s="82">
        <v>1500000</v>
      </c>
      <c r="E24" s="82">
        <f>+D24*FM!$D$8</f>
        <v>3023625</v>
      </c>
      <c r="F24" s="83">
        <f t="shared" si="0"/>
        <v>1.053740779768177</v>
      </c>
    </row>
    <row r="25" spans="1:7" x14ac:dyDescent="0.2">
      <c r="A25" s="87" t="s">
        <v>130</v>
      </c>
      <c r="B25" s="74" t="s">
        <v>62</v>
      </c>
      <c r="C25" s="74" t="s">
        <v>60</v>
      </c>
      <c r="D25" s="82">
        <v>1500000</v>
      </c>
      <c r="E25" s="82">
        <f>+D25*FM!$D$8</f>
        <v>3023625</v>
      </c>
      <c r="F25" s="83">
        <f t="shared" ref="F25" si="1">+D25/$D$6</f>
        <v>1.053740779768177</v>
      </c>
    </row>
    <row r="27" spans="1:7" x14ac:dyDescent="0.2">
      <c r="A27" s="79"/>
      <c r="B27" s="79"/>
      <c r="C27" s="79"/>
    </row>
    <row r="28" spans="1:7" x14ac:dyDescent="0.2">
      <c r="A28" s="79"/>
      <c r="B28" s="79"/>
      <c r="C28" s="79"/>
    </row>
    <row r="29" spans="1:7" x14ac:dyDescent="0.2">
      <c r="A29" s="79" t="s">
        <v>116</v>
      </c>
      <c r="B29" s="79"/>
      <c r="C29" s="79"/>
    </row>
    <row r="30" spans="1:7" x14ac:dyDescent="0.2">
      <c r="A30" s="79"/>
      <c r="B30" s="79"/>
      <c r="C30" s="79"/>
    </row>
    <row r="31" spans="1:7" x14ac:dyDescent="0.2">
      <c r="A31" s="79"/>
      <c r="B31" s="79"/>
      <c r="C31" s="79"/>
    </row>
    <row r="32" spans="1:7" x14ac:dyDescent="0.2">
      <c r="A32" s="79"/>
      <c r="B32" s="79"/>
      <c r="C32" s="79"/>
    </row>
    <row r="33" spans="1:6" x14ac:dyDescent="0.2">
      <c r="A33" s="79"/>
      <c r="B33" s="79"/>
      <c r="C33" s="79"/>
    </row>
    <row r="34" spans="1:6" x14ac:dyDescent="0.2">
      <c r="A34" s="79"/>
      <c r="B34" s="79"/>
      <c r="C34" s="79"/>
    </row>
    <row r="35" spans="1:6" x14ac:dyDescent="0.2">
      <c r="A35" s="183"/>
      <c r="B35" s="183"/>
      <c r="C35" s="183"/>
      <c r="D35" s="183"/>
      <c r="E35" s="183"/>
      <c r="F35" s="183"/>
    </row>
    <row r="36" spans="1:6" x14ac:dyDescent="0.2">
      <c r="A36" s="182"/>
      <c r="B36" s="182"/>
      <c r="C36" s="182"/>
      <c r="D36" s="182"/>
      <c r="E36" s="182"/>
      <c r="F36" s="182"/>
    </row>
    <row r="37" spans="1:6" x14ac:dyDescent="0.2">
      <c r="A37" s="182"/>
      <c r="B37" s="182"/>
      <c r="C37" s="182"/>
      <c r="D37" s="182"/>
      <c r="E37" s="182"/>
      <c r="F37" s="182"/>
    </row>
    <row r="38" spans="1:6" x14ac:dyDescent="0.2">
      <c r="A38" s="183"/>
      <c r="B38" s="183"/>
      <c r="C38" s="183"/>
      <c r="D38" s="183"/>
      <c r="E38" s="183"/>
      <c r="F38" s="183"/>
    </row>
  </sheetData>
  <dataConsolidate/>
  <mergeCells count="10">
    <mergeCell ref="A6:C6"/>
    <mergeCell ref="A36:F36"/>
    <mergeCell ref="A38:F38"/>
    <mergeCell ref="D6:F6"/>
    <mergeCell ref="A1:E1"/>
    <mergeCell ref="A2:E2"/>
    <mergeCell ref="A3:E3"/>
    <mergeCell ref="A4:E4"/>
    <mergeCell ref="A37:F37"/>
    <mergeCell ref="A35:F35"/>
  </mergeCells>
  <pageMargins left="0.78680555555555554" right="0.78680555555555554" top="1.3097222222222222" bottom="0.78680555555555554" header="0" footer="0"/>
  <pageSetup scale="80" orientation="portrait" r:id="rId1"/>
  <headerFooter alignWithMargins="0"/>
  <ignoredErrors>
    <ignoredError sqref="D18"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58"/>
  <sheetViews>
    <sheetView view="pageBreakPreview" topLeftCell="A19" zoomScale="80" zoomScaleNormal="72" zoomScaleSheetLayoutView="80" workbookViewId="0">
      <selection activeCell="A45" sqref="A45:I45"/>
    </sheetView>
  </sheetViews>
  <sheetFormatPr baseColWidth="10" defaultColWidth="11.42578125" defaultRowHeight="12.75" x14ac:dyDescent="0.2"/>
  <cols>
    <col min="1" max="1" width="5.85546875" style="93" customWidth="1"/>
    <col min="2" max="2" width="31.5703125" style="93" bestFit="1" customWidth="1"/>
    <col min="3" max="3" width="10" style="93" bestFit="1" customWidth="1"/>
    <col min="4" max="4" width="13.42578125" style="93" customWidth="1"/>
    <col min="5" max="5" width="8.28515625" style="93" bestFit="1" customWidth="1"/>
    <col min="6" max="6" width="12.7109375" style="93" customWidth="1"/>
    <col min="7" max="7" width="12.140625" style="93" customWidth="1"/>
    <col min="8" max="8" width="14.85546875" style="93" customWidth="1"/>
    <col min="9" max="9" width="17.42578125" style="93" customWidth="1"/>
    <col min="10" max="10" width="16.28515625" style="93" bestFit="1" customWidth="1"/>
    <col min="11" max="16384" width="11.42578125" style="93"/>
  </cols>
  <sheetData>
    <row r="1" spans="1:11" x14ac:dyDescent="0.2">
      <c r="A1" s="198" t="s">
        <v>28</v>
      </c>
      <c r="B1" s="198"/>
      <c r="C1" s="198"/>
      <c r="D1" s="198"/>
      <c r="E1" s="198"/>
      <c r="F1" s="198"/>
      <c r="G1" s="198"/>
      <c r="H1" s="198"/>
      <c r="I1" s="198"/>
      <c r="J1" s="198"/>
    </row>
    <row r="2" spans="1:11" x14ac:dyDescent="0.2">
      <c r="A2" s="199" t="str">
        <f>+PRESUPUESTO!D3</f>
        <v>Elaboración de estudios y diseños para el Mejoramiento de la Red Vial Terciaria en el Municipio de Dabeiba, Departamento de Antioquia.</v>
      </c>
      <c r="B2" s="199"/>
      <c r="C2" s="199"/>
      <c r="D2" s="199"/>
      <c r="E2" s="199"/>
      <c r="F2" s="199"/>
      <c r="G2" s="199"/>
      <c r="H2" s="199"/>
      <c r="I2" s="199"/>
      <c r="J2" s="199"/>
    </row>
    <row r="3" spans="1:11" ht="25.5" x14ac:dyDescent="0.2">
      <c r="A3" s="100" t="s">
        <v>1</v>
      </c>
      <c r="B3" s="200" t="s">
        <v>29</v>
      </c>
      <c r="C3" s="200"/>
      <c r="D3" s="200"/>
      <c r="E3" s="200"/>
      <c r="F3" s="200"/>
      <c r="G3" s="200"/>
      <c r="H3" s="200"/>
      <c r="I3" s="200"/>
      <c r="J3" s="101" t="s">
        <v>93</v>
      </c>
    </row>
    <row r="4" spans="1:11" ht="61.9" customHeight="1" x14ac:dyDescent="0.2">
      <c r="A4" s="92">
        <v>1</v>
      </c>
      <c r="B4" s="193" t="str">
        <f>PRESUPUESTO!D6</f>
        <v>Levantamiento topógrafico: Se utilizará personal experto con equipo de precisión. Incluye amarre geodesico dejando mojones materializados en campo para cada tramo para la georreferenciación de los proyectos, Informe, cartera topográfica, levantamiento topografico, planimetria con planta general, curvas y perfiles. Se debe garantizar que el levantamiento este ligado al sistema de coordenadas local.</v>
      </c>
      <c r="C4" s="194"/>
      <c r="D4" s="194"/>
      <c r="E4" s="194"/>
      <c r="F4" s="194"/>
      <c r="G4" s="194"/>
      <c r="H4" s="194"/>
      <c r="I4" s="194"/>
      <c r="J4" s="102">
        <f>+J22</f>
        <v>4965019</v>
      </c>
    </row>
    <row r="5" spans="1:11" ht="51" x14ac:dyDescent="0.2">
      <c r="A5" s="46" t="s">
        <v>1</v>
      </c>
      <c r="B5" s="47" t="s">
        <v>29</v>
      </c>
      <c r="C5" s="47" t="s">
        <v>30</v>
      </c>
      <c r="D5" s="47" t="s">
        <v>31</v>
      </c>
      <c r="E5" s="47" t="s">
        <v>6</v>
      </c>
      <c r="F5" s="47" t="s">
        <v>4</v>
      </c>
      <c r="G5" s="47" t="s">
        <v>5</v>
      </c>
      <c r="H5" s="47" t="s">
        <v>32</v>
      </c>
      <c r="I5" s="47" t="s">
        <v>37</v>
      </c>
      <c r="J5" s="47" t="s">
        <v>11</v>
      </c>
    </row>
    <row r="6" spans="1:11" x14ac:dyDescent="0.2">
      <c r="A6" s="99">
        <f>A4+0.01</f>
        <v>1.01</v>
      </c>
      <c r="B6" s="189" t="s">
        <v>33</v>
      </c>
      <c r="C6" s="190"/>
      <c r="D6" s="190"/>
      <c r="E6" s="190"/>
      <c r="F6" s="190"/>
      <c r="G6" s="190"/>
      <c r="H6" s="190"/>
      <c r="I6" s="190"/>
      <c r="J6" s="94">
        <f>+J7+J13</f>
        <v>3972285</v>
      </c>
    </row>
    <row r="7" spans="1:11" x14ac:dyDescent="0.2">
      <c r="A7" s="195"/>
      <c r="B7" s="189" t="s">
        <v>34</v>
      </c>
      <c r="C7" s="190"/>
      <c r="D7" s="190"/>
      <c r="E7" s="190"/>
      <c r="F7" s="190"/>
      <c r="G7" s="190"/>
      <c r="H7" s="190"/>
      <c r="I7" s="197"/>
      <c r="J7" s="95">
        <f>SUM(J8:J11)</f>
        <v>1572285</v>
      </c>
    </row>
    <row r="8" spans="1:11" x14ac:dyDescent="0.2">
      <c r="A8" s="196"/>
      <c r="B8" s="48" t="s">
        <v>41</v>
      </c>
      <c r="C8" s="49" t="str">
        <f>+VLOOKUP(B8,MO!$A$9:$F$24,2,FALSE)</f>
        <v>Profesional</v>
      </c>
      <c r="D8" s="49">
        <v>1</v>
      </c>
      <c r="E8" s="49">
        <v>2</v>
      </c>
      <c r="F8" s="49">
        <f>+VLOOKUP(B8,MO!$A$9:$F$24,4,FALSE)</f>
        <v>9000000</v>
      </c>
      <c r="G8" s="49">
        <f>+F8/30</f>
        <v>300000</v>
      </c>
      <c r="H8" s="50">
        <v>0.3</v>
      </c>
      <c r="I8" s="91">
        <f>+FM!$D$8</f>
        <v>2.0157500000000002</v>
      </c>
      <c r="J8" s="51">
        <f>+ROUND((D8*E8*G8*H8*I8),0)</f>
        <v>362835</v>
      </c>
      <c r="K8" s="96"/>
    </row>
    <row r="9" spans="1:11" x14ac:dyDescent="0.2">
      <c r="A9" s="196"/>
      <c r="B9" s="48" t="s">
        <v>121</v>
      </c>
      <c r="C9" s="49" t="str">
        <f>+VLOOKUP(B9,MO!$A$9:$F$24,2,FALSE)</f>
        <v>Profesional</v>
      </c>
      <c r="D9" s="49">
        <v>1</v>
      </c>
      <c r="E9" s="49">
        <v>2</v>
      </c>
      <c r="F9" s="49">
        <f>+VLOOKUP(B9,MO!$A$9:$F$24,4,FALSE)</f>
        <v>6000000</v>
      </c>
      <c r="G9" s="49">
        <f>+F9/30</f>
        <v>200000</v>
      </c>
      <c r="H9" s="50">
        <v>1</v>
      </c>
      <c r="I9" s="91">
        <f>+FM!$D$8</f>
        <v>2.0157500000000002</v>
      </c>
      <c r="J9" s="51">
        <f>+ROUND((D9*E9*G9*H9*I9),0)</f>
        <v>806300</v>
      </c>
    </row>
    <row r="10" spans="1:11" x14ac:dyDescent="0.2">
      <c r="A10" s="196"/>
      <c r="B10" s="48" t="s">
        <v>7</v>
      </c>
      <c r="C10" s="49" t="str">
        <f>+VLOOKUP(B10,MO!$A$9:$F$24,2,FALSE)</f>
        <v>Asistencial</v>
      </c>
      <c r="D10" s="49">
        <v>1</v>
      </c>
      <c r="E10" s="49">
        <v>2</v>
      </c>
      <c r="F10" s="49">
        <f>+VLOOKUP(B10,MO!$A$9:$F$24,4,FALSE)</f>
        <v>1500000</v>
      </c>
      <c r="G10" s="49">
        <f>+F10/30</f>
        <v>50000</v>
      </c>
      <c r="H10" s="50">
        <v>1</v>
      </c>
      <c r="I10" s="91">
        <f>+FM!$D$8</f>
        <v>2.0157500000000002</v>
      </c>
      <c r="J10" s="51">
        <f>+ROUND((D10*E10*G10*H10*I10),0)</f>
        <v>201575</v>
      </c>
    </row>
    <row r="11" spans="1:11" x14ac:dyDescent="0.2">
      <c r="A11" s="196"/>
      <c r="B11" s="48" t="s">
        <v>8</v>
      </c>
      <c r="C11" s="49" t="str">
        <f>+VLOOKUP(B11,MO!$A$9:$F$24,2,FALSE)</f>
        <v>Asistencial</v>
      </c>
      <c r="D11" s="49">
        <v>1</v>
      </c>
      <c r="E11" s="49">
        <v>2</v>
      </c>
      <c r="F11" s="49">
        <f>+VLOOKUP(B11,MO!$A$9:$F$24,4,FALSE)</f>
        <v>1500000</v>
      </c>
      <c r="G11" s="49">
        <f>+F11/30</f>
        <v>50000</v>
      </c>
      <c r="H11" s="50">
        <v>1</v>
      </c>
      <c r="I11" s="91">
        <f>+FM!$D$8</f>
        <v>2.0157500000000002</v>
      </c>
      <c r="J11" s="51">
        <f>+ROUND((D11*E11*G11*H11*I11),0)</f>
        <v>201575</v>
      </c>
    </row>
    <row r="12" spans="1:11" x14ac:dyDescent="0.2">
      <c r="A12" s="196"/>
      <c r="B12" s="70" t="str">
        <f>MO!A14</f>
        <v>Delineante de arquitectura</v>
      </c>
      <c r="C12" s="49" t="str">
        <f>+VLOOKUP(B12,MO!$A$9:$F$24,2,FALSE)</f>
        <v xml:space="preserve">Técnologo </v>
      </c>
      <c r="D12" s="49">
        <v>1</v>
      </c>
      <c r="E12" s="49">
        <v>2</v>
      </c>
      <c r="F12" s="49">
        <f>+VLOOKUP(B12,MO!$A$9:$F$24,4,FALSE)</f>
        <v>3500000</v>
      </c>
      <c r="G12" s="49">
        <f>+F12/30</f>
        <v>116666.66666666667</v>
      </c>
      <c r="H12" s="50">
        <v>1</v>
      </c>
      <c r="I12" s="91">
        <f>+FM!$D$8</f>
        <v>2.0157500000000002</v>
      </c>
      <c r="J12" s="51">
        <f>+ROUND((D12*E12*G12*H12*I12),0)</f>
        <v>470342</v>
      </c>
    </row>
    <row r="13" spans="1:11" x14ac:dyDescent="0.2">
      <c r="A13" s="196"/>
      <c r="B13" s="189" t="s">
        <v>48</v>
      </c>
      <c r="C13" s="190"/>
      <c r="D13" s="190"/>
      <c r="E13" s="190"/>
      <c r="F13" s="190"/>
      <c r="G13" s="190"/>
      <c r="H13" s="190"/>
      <c r="I13" s="190"/>
      <c r="J13" s="94">
        <f>SUM(J14:J17)</f>
        <v>2400000</v>
      </c>
    </row>
    <row r="14" spans="1:11" ht="25.5" x14ac:dyDescent="0.2">
      <c r="A14" s="196"/>
      <c r="B14" s="48" t="s">
        <v>66</v>
      </c>
      <c r="C14" s="49" t="s">
        <v>49</v>
      </c>
      <c r="D14" s="49"/>
      <c r="E14" s="49">
        <v>2</v>
      </c>
      <c r="F14" s="49"/>
      <c r="G14" s="49">
        <v>350000</v>
      </c>
      <c r="H14" s="50"/>
      <c r="I14" s="50"/>
      <c r="J14" s="51">
        <f>+ROUND((E14*G14),0)</f>
        <v>700000</v>
      </c>
    </row>
    <row r="15" spans="1:11" x14ac:dyDescent="0.2">
      <c r="A15" s="196"/>
      <c r="B15" s="48" t="s">
        <v>122</v>
      </c>
      <c r="C15" s="49" t="s">
        <v>87</v>
      </c>
      <c r="D15" s="49"/>
      <c r="E15" s="49">
        <v>2</v>
      </c>
      <c r="F15" s="49"/>
      <c r="G15" s="49">
        <v>100000</v>
      </c>
      <c r="H15" s="50"/>
      <c r="I15" s="50"/>
      <c r="J15" s="51">
        <f>+ROUND((E15*G15),0)</f>
        <v>200000</v>
      </c>
    </row>
    <row r="16" spans="1:11" x14ac:dyDescent="0.2">
      <c r="A16" s="196"/>
      <c r="B16" s="48" t="s">
        <v>91</v>
      </c>
      <c r="C16" s="49" t="s">
        <v>87</v>
      </c>
      <c r="D16" s="49">
        <v>2</v>
      </c>
      <c r="E16" s="49"/>
      <c r="F16" s="49"/>
      <c r="G16" s="49">
        <v>500000</v>
      </c>
      <c r="H16" s="50"/>
      <c r="I16" s="50"/>
      <c r="J16" s="51">
        <f>+D16*G16</f>
        <v>1000000</v>
      </c>
    </row>
    <row r="17" spans="1:11" x14ac:dyDescent="0.2">
      <c r="A17" s="203"/>
      <c r="B17" s="48" t="s">
        <v>92</v>
      </c>
      <c r="C17" s="49" t="s">
        <v>87</v>
      </c>
      <c r="D17" s="49"/>
      <c r="E17" s="49">
        <v>2</v>
      </c>
      <c r="F17" s="49"/>
      <c r="G17" s="49">
        <v>250000</v>
      </c>
      <c r="H17" s="50"/>
      <c r="I17" s="50"/>
      <c r="J17" s="51">
        <f>+ROUND((E17*G17),0)</f>
        <v>500000</v>
      </c>
    </row>
    <row r="18" spans="1:11" x14ac:dyDescent="0.2">
      <c r="A18" s="99">
        <f>+A6+0.01</f>
        <v>1.02</v>
      </c>
      <c r="B18" s="189" t="s">
        <v>36</v>
      </c>
      <c r="C18" s="190"/>
      <c r="D18" s="190"/>
      <c r="E18" s="190"/>
      <c r="F18" s="190"/>
      <c r="G18" s="190"/>
      <c r="H18" s="190"/>
      <c r="I18" s="190"/>
      <c r="J18" s="94">
        <f>SUM(J19:J20)</f>
        <v>200000</v>
      </c>
    </row>
    <row r="19" spans="1:11" ht="25.5" x14ac:dyDescent="0.2">
      <c r="A19" s="191"/>
      <c r="B19" s="56" t="s">
        <v>39</v>
      </c>
      <c r="C19" s="49" t="s">
        <v>87</v>
      </c>
      <c r="D19" s="49">
        <v>1</v>
      </c>
      <c r="E19" s="49"/>
      <c r="F19" s="49"/>
      <c r="G19" s="49">
        <v>200000</v>
      </c>
      <c r="H19" s="50"/>
      <c r="I19" s="50"/>
      <c r="J19" s="51">
        <f>+D19*G19</f>
        <v>200000</v>
      </c>
    </row>
    <row r="20" spans="1:11" x14ac:dyDescent="0.2">
      <c r="A20" s="192"/>
      <c r="B20" s="97"/>
      <c r="C20" s="49"/>
      <c r="D20" s="97"/>
      <c r="E20" s="97"/>
      <c r="F20" s="97"/>
      <c r="G20" s="97"/>
      <c r="H20" s="97"/>
      <c r="I20" s="50"/>
      <c r="J20" s="51">
        <f>+D20*G20</f>
        <v>0</v>
      </c>
    </row>
    <row r="21" spans="1:11" x14ac:dyDescent="0.2">
      <c r="A21" s="188" t="s">
        <v>94</v>
      </c>
      <c r="B21" s="188"/>
      <c r="C21" s="188"/>
      <c r="D21" s="188"/>
      <c r="E21" s="188"/>
      <c r="F21" s="188"/>
      <c r="G21" s="188"/>
      <c r="H21" s="188"/>
      <c r="I21" s="188"/>
      <c r="J21" s="98">
        <f>ROUND(((J6+J18)*0.19),0)</f>
        <v>792734</v>
      </c>
    </row>
    <row r="22" spans="1:11" x14ac:dyDescent="0.2">
      <c r="A22" s="188" t="s">
        <v>109</v>
      </c>
      <c r="B22" s="188"/>
      <c r="C22" s="188"/>
      <c r="D22" s="188"/>
      <c r="E22" s="188"/>
      <c r="F22" s="188"/>
      <c r="G22" s="188"/>
      <c r="H22" s="188"/>
      <c r="I22" s="188"/>
      <c r="J22" s="98">
        <f>+J6+J18+J21</f>
        <v>4965019</v>
      </c>
    </row>
    <row r="24" spans="1:11" ht="45" customHeight="1" x14ac:dyDescent="0.2">
      <c r="A24" s="92">
        <v>2</v>
      </c>
      <c r="B24" s="193" t="str">
        <f>PRESUPUESTO!D7</f>
        <v>Estudio de suelos: Exploración de campo (apiques), ensayos de granulometria, limites de Atterberg, humedad natural y CBR a traves de la prueba de penetrómetro dinámico de cono; elaboración del informe, conclusiones y recomendaciones de diseño.</v>
      </c>
      <c r="C24" s="194"/>
      <c r="D24" s="194"/>
      <c r="E24" s="194"/>
      <c r="F24" s="194"/>
      <c r="G24" s="194"/>
      <c r="H24" s="194"/>
      <c r="I24" s="194"/>
      <c r="J24" s="102">
        <f>+J46</f>
        <v>7586093</v>
      </c>
    </row>
    <row r="25" spans="1:11" ht="51" x14ac:dyDescent="0.2">
      <c r="A25" s="46" t="s">
        <v>1</v>
      </c>
      <c r="B25" s="47" t="s">
        <v>29</v>
      </c>
      <c r="C25" s="47" t="s">
        <v>30</v>
      </c>
      <c r="D25" s="47" t="s">
        <v>31</v>
      </c>
      <c r="E25" s="47" t="s">
        <v>6</v>
      </c>
      <c r="F25" s="47" t="s">
        <v>4</v>
      </c>
      <c r="G25" s="47" t="s">
        <v>5</v>
      </c>
      <c r="H25" s="47" t="s">
        <v>32</v>
      </c>
      <c r="I25" s="47" t="s">
        <v>37</v>
      </c>
      <c r="J25" s="47" t="s">
        <v>11</v>
      </c>
    </row>
    <row r="26" spans="1:11" x14ac:dyDescent="0.2">
      <c r="A26" s="99">
        <f>A24+0.01</f>
        <v>2.0099999999999998</v>
      </c>
      <c r="B26" s="189" t="s">
        <v>33</v>
      </c>
      <c r="C26" s="190"/>
      <c r="D26" s="190"/>
      <c r="E26" s="190"/>
      <c r="F26" s="190"/>
      <c r="G26" s="190"/>
      <c r="H26" s="190"/>
      <c r="I26" s="190"/>
      <c r="J26" s="94">
        <f>+J27+J31+J36+J34+J42</f>
        <v>5274868</v>
      </c>
    </row>
    <row r="27" spans="1:11" x14ac:dyDescent="0.2">
      <c r="A27" s="195"/>
      <c r="B27" s="189" t="s">
        <v>34</v>
      </c>
      <c r="C27" s="190"/>
      <c r="D27" s="190"/>
      <c r="E27" s="190"/>
      <c r="F27" s="190"/>
      <c r="G27" s="190"/>
      <c r="H27" s="190"/>
      <c r="I27" s="197"/>
      <c r="J27" s="95">
        <f>SUM(J28:J30)</f>
        <v>1390868</v>
      </c>
    </row>
    <row r="28" spans="1:11" x14ac:dyDescent="0.2">
      <c r="A28" s="196"/>
      <c r="B28" s="48" t="s">
        <v>41</v>
      </c>
      <c r="C28" s="49" t="str">
        <f>+IFERROR((VLOOKUP(B28,MO!$A$9:$F$24,2,FALSE)),"")</f>
        <v>Profesional</v>
      </c>
      <c r="D28" s="49">
        <v>1</v>
      </c>
      <c r="E28" s="49">
        <v>1</v>
      </c>
      <c r="F28" s="49">
        <f>+IFERROR((VLOOKUP(B28,MO!$A$9:$F$24,4,FALSE)),"")</f>
        <v>9000000</v>
      </c>
      <c r="G28" s="49">
        <f>+IFERROR(F28/30,"")</f>
        <v>300000</v>
      </c>
      <c r="H28" s="50">
        <v>0.3</v>
      </c>
      <c r="I28" s="91">
        <f>IF(B28="","",FM!$D$8)</f>
        <v>2.0157500000000002</v>
      </c>
      <c r="J28" s="51">
        <f>+IFERROR((ROUND((D28*E28*G28*H28*I28),0)),"")</f>
        <v>181418</v>
      </c>
      <c r="K28" s="96"/>
    </row>
    <row r="29" spans="1:11" ht="25.5" x14ac:dyDescent="0.2">
      <c r="A29" s="196"/>
      <c r="B29" s="48" t="s">
        <v>97</v>
      </c>
      <c r="C29" s="49" t="str">
        <f>+IFERROR((VLOOKUP(B29,MO!$A$9:$F$24,2,FALSE)),"")</f>
        <v>Profesional</v>
      </c>
      <c r="D29" s="49">
        <v>1</v>
      </c>
      <c r="E29" s="49">
        <v>2</v>
      </c>
      <c r="F29" s="49">
        <f>+IFERROR((VLOOKUP(B29,MO!$A$9:$F$24,4,FALSE)),"")</f>
        <v>9000000</v>
      </c>
      <c r="G29" s="49">
        <f>+IFERROR(F29/30,"")</f>
        <v>300000</v>
      </c>
      <c r="H29" s="50">
        <v>1</v>
      </c>
      <c r="I29" s="91">
        <f>IF(B29="","",FM!$D$8)</f>
        <v>2.0157500000000002</v>
      </c>
      <c r="J29" s="51">
        <f>+IFERROR((ROUND((D29*E29*G29*H29*I29),0)),"")</f>
        <v>1209450</v>
      </c>
    </row>
    <row r="30" spans="1:11" x14ac:dyDescent="0.2">
      <c r="A30" s="196"/>
      <c r="B30" s="70"/>
      <c r="C30" s="71"/>
      <c r="D30" s="71"/>
      <c r="E30" s="71"/>
      <c r="F30" s="71"/>
      <c r="G30" s="71"/>
      <c r="H30" s="72"/>
      <c r="I30" s="103"/>
      <c r="J30" s="51"/>
    </row>
    <row r="31" spans="1:11" x14ac:dyDescent="0.2">
      <c r="A31" s="196"/>
      <c r="B31" s="189" t="s">
        <v>98</v>
      </c>
      <c r="C31" s="190"/>
      <c r="D31" s="190"/>
      <c r="E31" s="190"/>
      <c r="F31" s="190"/>
      <c r="G31" s="190"/>
      <c r="H31" s="190"/>
      <c r="I31" s="197"/>
      <c r="J31" s="95">
        <f>SUM(J32:J33)</f>
        <v>1200000</v>
      </c>
    </row>
    <row r="32" spans="1:11" ht="25.5" x14ac:dyDescent="0.2">
      <c r="A32" s="196"/>
      <c r="B32" s="48" t="s">
        <v>99</v>
      </c>
      <c r="C32" s="49" t="s">
        <v>87</v>
      </c>
      <c r="D32" s="49">
        <v>1</v>
      </c>
      <c r="E32" s="49"/>
      <c r="F32" s="49">
        <v>1200000</v>
      </c>
      <c r="G32" s="49"/>
      <c r="H32" s="50"/>
      <c r="I32" s="91"/>
      <c r="J32" s="51">
        <f>+IFERROR((ROUND((D32*F32),0)),"")</f>
        <v>1200000</v>
      </c>
      <c r="K32" s="96"/>
    </row>
    <row r="33" spans="1:11" x14ac:dyDescent="0.2">
      <c r="A33" s="196"/>
      <c r="B33" s="48"/>
      <c r="C33" s="49"/>
      <c r="D33" s="49"/>
      <c r="E33" s="49"/>
      <c r="F33" s="49"/>
      <c r="G33" s="49"/>
      <c r="H33" s="50"/>
      <c r="I33" s="91"/>
      <c r="J33" s="51">
        <f>+IFERROR((ROUND((D33*F33),0)),"")</f>
        <v>0</v>
      </c>
    </row>
    <row r="34" spans="1:11" x14ac:dyDescent="0.2">
      <c r="A34" s="196"/>
      <c r="B34" s="104" t="s">
        <v>43</v>
      </c>
      <c r="C34" s="105"/>
      <c r="D34" s="107" t="s">
        <v>103</v>
      </c>
      <c r="E34" s="106" t="s">
        <v>100</v>
      </c>
      <c r="F34" s="105"/>
      <c r="G34" s="105"/>
      <c r="H34" s="105"/>
      <c r="I34" s="94"/>
      <c r="J34" s="95">
        <f>SUM(J35:J35)</f>
        <v>450000</v>
      </c>
    </row>
    <row r="35" spans="1:11" ht="25.5" x14ac:dyDescent="0.2">
      <c r="A35" s="196"/>
      <c r="B35" s="48" t="s">
        <v>102</v>
      </c>
      <c r="C35" s="49" t="s">
        <v>101</v>
      </c>
      <c r="D35" s="49">
        <v>3</v>
      </c>
      <c r="E35" s="109">
        <v>1.5</v>
      </c>
      <c r="F35" s="49"/>
      <c r="G35" s="49">
        <v>100000</v>
      </c>
      <c r="H35" s="50"/>
      <c r="I35" s="91"/>
      <c r="J35" s="51">
        <f>+IFERROR((ROUND((D35*E35*G35),0)),"")</f>
        <v>450000</v>
      </c>
      <c r="K35" s="96"/>
    </row>
    <row r="36" spans="1:11" ht="22.5" x14ac:dyDescent="0.2">
      <c r="A36" s="196"/>
      <c r="B36" s="104" t="s">
        <v>42</v>
      </c>
      <c r="C36" s="105"/>
      <c r="D36" s="108" t="s">
        <v>103</v>
      </c>
      <c r="E36" s="108" t="s">
        <v>108</v>
      </c>
      <c r="F36" s="105"/>
      <c r="G36" s="105"/>
      <c r="H36" s="105"/>
      <c r="I36" s="105"/>
      <c r="J36" s="94">
        <f>SUM(J37:J41)</f>
        <v>1134000</v>
      </c>
    </row>
    <row r="37" spans="1:11" x14ac:dyDescent="0.2">
      <c r="A37" s="196"/>
      <c r="B37" s="48" t="s">
        <v>104</v>
      </c>
      <c r="C37" s="49" t="s">
        <v>87</v>
      </c>
      <c r="D37" s="49">
        <f>D35</f>
        <v>3</v>
      </c>
      <c r="E37" s="49">
        <v>3</v>
      </c>
      <c r="F37" s="49"/>
      <c r="G37" s="49">
        <v>77000</v>
      </c>
      <c r="H37" s="50"/>
      <c r="I37" s="50"/>
      <c r="J37" s="51">
        <f>+ROUND((E37*G37),0)</f>
        <v>231000</v>
      </c>
    </row>
    <row r="38" spans="1:11" x14ac:dyDescent="0.2">
      <c r="A38" s="196"/>
      <c r="B38" s="48" t="s">
        <v>44</v>
      </c>
      <c r="C38" s="49" t="s">
        <v>87</v>
      </c>
      <c r="D38" s="49">
        <f>D35</f>
        <v>3</v>
      </c>
      <c r="E38" s="49">
        <v>3</v>
      </c>
      <c r="F38" s="49"/>
      <c r="G38" s="49">
        <v>60000</v>
      </c>
      <c r="H38" s="50"/>
      <c r="I38" s="50"/>
      <c r="J38" s="51">
        <f>+ROUND((E38*G38),0)</f>
        <v>180000</v>
      </c>
    </row>
    <row r="39" spans="1:11" x14ac:dyDescent="0.2">
      <c r="A39" s="196"/>
      <c r="B39" s="48" t="s">
        <v>105</v>
      </c>
      <c r="C39" s="49" t="s">
        <v>87</v>
      </c>
      <c r="D39" s="49">
        <f>D35</f>
        <v>3</v>
      </c>
      <c r="E39" s="49">
        <v>3</v>
      </c>
      <c r="F39" s="49"/>
      <c r="G39" s="49">
        <v>16000</v>
      </c>
      <c r="H39" s="50"/>
      <c r="I39" s="50"/>
      <c r="J39" s="51">
        <f>+ROUND((E39*G39),0)</f>
        <v>48000</v>
      </c>
    </row>
    <row r="40" spans="1:11" x14ac:dyDescent="0.2">
      <c r="A40" s="196"/>
      <c r="B40" s="48" t="s">
        <v>106</v>
      </c>
      <c r="C40" s="49" t="s">
        <v>87</v>
      </c>
      <c r="D40" s="49">
        <f>D35</f>
        <v>3</v>
      </c>
      <c r="E40" s="49">
        <v>3</v>
      </c>
      <c r="F40" s="49"/>
      <c r="G40" s="49">
        <v>25000</v>
      </c>
      <c r="H40" s="50"/>
      <c r="I40" s="50"/>
      <c r="J40" s="51">
        <f>+ROUND((E40*G40),0)</f>
        <v>75000</v>
      </c>
    </row>
    <row r="41" spans="1:11" x14ac:dyDescent="0.2">
      <c r="A41" s="203"/>
      <c r="B41" s="48" t="s">
        <v>107</v>
      </c>
      <c r="C41" s="49" t="s">
        <v>87</v>
      </c>
      <c r="D41" s="49">
        <f>D35</f>
        <v>3</v>
      </c>
      <c r="E41" s="49">
        <v>3</v>
      </c>
      <c r="F41" s="49"/>
      <c r="G41" s="49">
        <v>200000</v>
      </c>
      <c r="H41" s="50"/>
      <c r="I41" s="50"/>
      <c r="J41" s="51">
        <f>+ROUND((E41*G41),0)</f>
        <v>600000</v>
      </c>
    </row>
    <row r="42" spans="1:11" x14ac:dyDescent="0.2">
      <c r="A42" s="99">
        <f>+A26+0.01</f>
        <v>2.0199999999999996</v>
      </c>
      <c r="B42" s="189" t="s">
        <v>36</v>
      </c>
      <c r="C42" s="190"/>
      <c r="D42" s="190"/>
      <c r="E42" s="190"/>
      <c r="F42" s="190"/>
      <c r="G42" s="190"/>
      <c r="H42" s="190"/>
      <c r="I42" s="190"/>
      <c r="J42" s="94">
        <f>SUM(J43:J44)</f>
        <v>1100000</v>
      </c>
    </row>
    <row r="43" spans="1:11" ht="25.5" x14ac:dyDescent="0.2">
      <c r="A43" s="191"/>
      <c r="B43" s="56" t="s">
        <v>39</v>
      </c>
      <c r="C43" s="49" t="s">
        <v>87</v>
      </c>
      <c r="D43" s="49">
        <v>1</v>
      </c>
      <c r="E43" s="49"/>
      <c r="F43" s="49"/>
      <c r="G43" s="49">
        <v>100000</v>
      </c>
      <c r="H43" s="50"/>
      <c r="I43" s="50"/>
      <c r="J43" s="51">
        <f>+D43*G43</f>
        <v>100000</v>
      </c>
    </row>
    <row r="44" spans="1:11" ht="25.5" x14ac:dyDescent="0.2">
      <c r="A44" s="192"/>
      <c r="B44" s="110" t="s">
        <v>110</v>
      </c>
      <c r="C44" s="49" t="s">
        <v>87</v>
      </c>
      <c r="D44" s="49">
        <v>1</v>
      </c>
      <c r="E44" s="97"/>
      <c r="F44" s="97"/>
      <c r="G44" s="49">
        <v>1000000</v>
      </c>
      <c r="H44" s="97"/>
      <c r="I44" s="50"/>
      <c r="J44" s="51">
        <f>+D44*G44</f>
        <v>1000000</v>
      </c>
    </row>
    <row r="45" spans="1:11" x14ac:dyDescent="0.2">
      <c r="A45" s="188" t="s">
        <v>94</v>
      </c>
      <c r="B45" s="188"/>
      <c r="C45" s="188"/>
      <c r="D45" s="188"/>
      <c r="E45" s="188"/>
      <c r="F45" s="188"/>
      <c r="G45" s="188"/>
      <c r="H45" s="188"/>
      <c r="I45" s="188"/>
      <c r="J45" s="98">
        <f>ROUND(((J26+J42)*0.19),0)</f>
        <v>1211225</v>
      </c>
    </row>
    <row r="46" spans="1:11" x14ac:dyDescent="0.2">
      <c r="A46" s="188" t="s">
        <v>109</v>
      </c>
      <c r="B46" s="188"/>
      <c r="C46" s="188"/>
      <c r="D46" s="188"/>
      <c r="E46" s="188"/>
      <c r="F46" s="188"/>
      <c r="G46" s="188"/>
      <c r="H46" s="188"/>
      <c r="I46" s="188"/>
      <c r="J46" s="98">
        <f>+J26+J42+J45</f>
        <v>7586093</v>
      </c>
    </row>
    <row r="48" spans="1:11" ht="37.9" customHeight="1" x14ac:dyDescent="0.2">
      <c r="A48" s="92">
        <v>3</v>
      </c>
      <c r="B48" s="193" t="str">
        <f>PRESUPUESTO!D8</f>
        <v>Diseño Geometrico de la vía, de conformidad con la normatividad INVIAS aplicable, metodología de diseño geometrico de la vía, planos y detalles del diseño.</v>
      </c>
      <c r="C48" s="194"/>
      <c r="D48" s="194"/>
      <c r="E48" s="194"/>
      <c r="F48" s="194"/>
      <c r="G48" s="194"/>
      <c r="H48" s="194"/>
      <c r="I48" s="194"/>
      <c r="J48" s="102">
        <f>+J63</f>
        <v>4535340</v>
      </c>
    </row>
    <row r="49" spans="1:11" ht="51" x14ac:dyDescent="0.2">
      <c r="A49" s="46" t="s">
        <v>1</v>
      </c>
      <c r="B49" s="47" t="s">
        <v>29</v>
      </c>
      <c r="C49" s="47" t="s">
        <v>30</v>
      </c>
      <c r="D49" s="47" t="s">
        <v>31</v>
      </c>
      <c r="E49" s="47" t="s">
        <v>6</v>
      </c>
      <c r="F49" s="47" t="s">
        <v>4</v>
      </c>
      <c r="G49" s="47" t="s">
        <v>5</v>
      </c>
      <c r="H49" s="47" t="s">
        <v>32</v>
      </c>
      <c r="I49" s="47" t="s">
        <v>37</v>
      </c>
      <c r="J49" s="47" t="s">
        <v>11</v>
      </c>
    </row>
    <row r="50" spans="1:11" x14ac:dyDescent="0.2">
      <c r="A50" s="99">
        <f>A48+0.01</f>
        <v>3.01</v>
      </c>
      <c r="B50" s="189" t="s">
        <v>33</v>
      </c>
      <c r="C50" s="190"/>
      <c r="D50" s="190"/>
      <c r="E50" s="190"/>
      <c r="F50" s="190"/>
      <c r="G50" s="190"/>
      <c r="H50" s="190"/>
      <c r="I50" s="190"/>
      <c r="J50" s="94">
        <f>+J51+J56</f>
        <v>2861210</v>
      </c>
    </row>
    <row r="51" spans="1:11" x14ac:dyDescent="0.2">
      <c r="A51" s="195"/>
      <c r="B51" s="189" t="s">
        <v>34</v>
      </c>
      <c r="C51" s="190"/>
      <c r="D51" s="190"/>
      <c r="E51" s="190"/>
      <c r="F51" s="190"/>
      <c r="G51" s="190"/>
      <c r="H51" s="190"/>
      <c r="I51" s="197"/>
      <c r="J51" s="95">
        <f>SUM(J52:J55)</f>
        <v>1861210</v>
      </c>
    </row>
    <row r="52" spans="1:11" x14ac:dyDescent="0.2">
      <c r="A52" s="196"/>
      <c r="B52" s="48" t="s">
        <v>41</v>
      </c>
      <c r="C52" s="49" t="str">
        <f>+IFERROR((VLOOKUP(B52,MO!$A$9:$F$24,2,FALSE)),"")</f>
        <v>Profesional</v>
      </c>
      <c r="D52" s="49">
        <v>1</v>
      </c>
      <c r="E52" s="49">
        <v>1</v>
      </c>
      <c r="F52" s="49">
        <f>+IFERROR((VLOOKUP(B52,MO!$A$9:$F$24,4,FALSE)),"")</f>
        <v>9000000</v>
      </c>
      <c r="G52" s="49">
        <f>+IFERROR(F52/30,"")</f>
        <v>300000</v>
      </c>
      <c r="H52" s="50">
        <v>0.3</v>
      </c>
      <c r="I52" s="91">
        <f>IF(B52="","",FM!$D$8)</f>
        <v>2.0157500000000002</v>
      </c>
      <c r="J52" s="51">
        <f>+IFERROR((ROUND((D52*E52*G52*H52*I52),0)),"")</f>
        <v>181418</v>
      </c>
      <c r="K52" s="96"/>
    </row>
    <row r="53" spans="1:11" x14ac:dyDescent="0.2">
      <c r="A53" s="196"/>
      <c r="B53" s="48" t="str">
        <f>MO!A19</f>
        <v>Ingeniero civil - especialista vías</v>
      </c>
      <c r="C53" s="49" t="str">
        <f>+IFERROR((VLOOKUP(B53,MO!$A$9:$F$24,2,FALSE)),"")</f>
        <v>Profesional</v>
      </c>
      <c r="D53" s="49">
        <v>1</v>
      </c>
      <c r="E53" s="49">
        <v>2</v>
      </c>
      <c r="F53" s="49">
        <f>+IFERROR((VLOOKUP(B53,MO!$A$9:$F$24,4,FALSE)),"")</f>
        <v>9000000</v>
      </c>
      <c r="G53" s="49">
        <f>+IFERROR(F53/30,"")</f>
        <v>300000</v>
      </c>
      <c r="H53" s="50">
        <v>1</v>
      </c>
      <c r="I53" s="91">
        <f>IF(B53="","",FM!$D$8)</f>
        <v>2.0157500000000002</v>
      </c>
      <c r="J53" s="51">
        <f>+IFERROR((ROUND((D53*E53*G53*H53*I53),0)),"")</f>
        <v>1209450</v>
      </c>
    </row>
    <row r="54" spans="1:11" x14ac:dyDescent="0.2">
      <c r="A54" s="196"/>
      <c r="B54" s="48" t="s">
        <v>9</v>
      </c>
      <c r="C54" s="49" t="str">
        <f>+IFERROR((VLOOKUP(B54,MO!$A$9:$F$24,2,FALSE)),"")</f>
        <v xml:space="preserve">Técnologo </v>
      </c>
      <c r="D54" s="49">
        <v>1</v>
      </c>
      <c r="E54" s="49">
        <v>2</v>
      </c>
      <c r="F54" s="49">
        <f>+IFERROR((VLOOKUP(B54,MO!$A$9:$F$24,4,FALSE)),"")</f>
        <v>3500000</v>
      </c>
      <c r="G54" s="49">
        <f>+IFERROR(F54/30,"")</f>
        <v>116666.66666666667</v>
      </c>
      <c r="H54" s="50">
        <v>1</v>
      </c>
      <c r="I54" s="91">
        <f>IF(B54="","",FM!$D$8)</f>
        <v>2.0157500000000002</v>
      </c>
      <c r="J54" s="51">
        <f>+IFERROR((ROUND((D54*E54*G54*H54*I54),0)),"")</f>
        <v>470342</v>
      </c>
    </row>
    <row r="55" spans="1:11" x14ac:dyDescent="0.2">
      <c r="A55" s="196"/>
      <c r="B55" s="70"/>
      <c r="C55" s="71"/>
      <c r="D55" s="71"/>
      <c r="E55" s="71"/>
      <c r="F55" s="71"/>
      <c r="G55" s="71"/>
      <c r="H55" s="72"/>
      <c r="I55" s="103"/>
      <c r="J55" s="51"/>
    </row>
    <row r="56" spans="1:11" x14ac:dyDescent="0.2">
      <c r="A56" s="196"/>
      <c r="B56" s="189" t="s">
        <v>98</v>
      </c>
      <c r="C56" s="190"/>
      <c r="D56" s="190"/>
      <c r="E56" s="190"/>
      <c r="F56" s="190"/>
      <c r="G56" s="190"/>
      <c r="H56" s="190"/>
      <c r="I56" s="197"/>
      <c r="J56" s="95">
        <f>SUM(J57:J58)</f>
        <v>1000000</v>
      </c>
    </row>
    <row r="57" spans="1:11" ht="25.5" x14ac:dyDescent="0.2">
      <c r="A57" s="196"/>
      <c r="B57" s="48" t="s">
        <v>99</v>
      </c>
      <c r="C57" s="49" t="s">
        <v>87</v>
      </c>
      <c r="D57" s="49">
        <v>1</v>
      </c>
      <c r="E57" s="49"/>
      <c r="F57" s="49">
        <v>1000000</v>
      </c>
      <c r="G57" s="49"/>
      <c r="H57" s="50"/>
      <c r="I57" s="91"/>
      <c r="J57" s="51">
        <f>+IFERROR((ROUND((D57*F57),0)),"")</f>
        <v>1000000</v>
      </c>
      <c r="K57" s="96"/>
    </row>
    <row r="58" spans="1:11" x14ac:dyDescent="0.2">
      <c r="A58" s="196"/>
      <c r="B58" s="48"/>
      <c r="C58" s="49"/>
      <c r="D58" s="49"/>
      <c r="E58" s="49"/>
      <c r="F58" s="49"/>
      <c r="G58" s="49"/>
      <c r="H58" s="50"/>
      <c r="I58" s="91"/>
      <c r="J58" s="51">
        <f>+IFERROR((ROUND((D58*F58),0)),"")</f>
        <v>0</v>
      </c>
    </row>
    <row r="59" spans="1:11" x14ac:dyDescent="0.2">
      <c r="A59" s="99">
        <f>+A50+0.01</f>
        <v>3.0199999999999996</v>
      </c>
      <c r="B59" s="189" t="s">
        <v>36</v>
      </c>
      <c r="C59" s="190"/>
      <c r="D59" s="190"/>
      <c r="E59" s="190"/>
      <c r="F59" s="190"/>
      <c r="G59" s="190"/>
      <c r="H59" s="190"/>
      <c r="I59" s="190"/>
      <c r="J59" s="94">
        <f>SUM(J60:J61)</f>
        <v>950000</v>
      </c>
    </row>
    <row r="60" spans="1:11" ht="25.5" x14ac:dyDescent="0.2">
      <c r="A60" s="191"/>
      <c r="B60" s="56" t="s">
        <v>39</v>
      </c>
      <c r="C60" s="49" t="s">
        <v>87</v>
      </c>
      <c r="D60" s="49">
        <v>1</v>
      </c>
      <c r="E60" s="49"/>
      <c r="F60" s="49"/>
      <c r="G60" s="49">
        <v>350000</v>
      </c>
      <c r="H60" s="50"/>
      <c r="I60" s="50"/>
      <c r="J60" s="51">
        <f>+D60*G60</f>
        <v>350000</v>
      </c>
    </row>
    <row r="61" spans="1:11" ht="25.5" x14ac:dyDescent="0.2">
      <c r="A61" s="192"/>
      <c r="B61" s="110" t="s">
        <v>111</v>
      </c>
      <c r="C61" s="49" t="s">
        <v>87</v>
      </c>
      <c r="D61" s="49">
        <v>1</v>
      </c>
      <c r="E61" s="97"/>
      <c r="F61" s="97"/>
      <c r="G61" s="49">
        <v>600000</v>
      </c>
      <c r="H61" s="97"/>
      <c r="I61" s="50"/>
      <c r="J61" s="51">
        <f>+D61*G61</f>
        <v>600000</v>
      </c>
    </row>
    <row r="62" spans="1:11" x14ac:dyDescent="0.2">
      <c r="A62" s="188" t="s">
        <v>94</v>
      </c>
      <c r="B62" s="188"/>
      <c r="C62" s="188"/>
      <c r="D62" s="188"/>
      <c r="E62" s="188"/>
      <c r="F62" s="188"/>
      <c r="G62" s="188"/>
      <c r="H62" s="188"/>
      <c r="I62" s="188"/>
      <c r="J62" s="98">
        <f>ROUND(((J50+J59)*0.19),0)</f>
        <v>724130</v>
      </c>
    </row>
    <row r="63" spans="1:11" x14ac:dyDescent="0.2">
      <c r="A63" s="188" t="s">
        <v>109</v>
      </c>
      <c r="B63" s="188"/>
      <c r="C63" s="188"/>
      <c r="D63" s="188"/>
      <c r="E63" s="188"/>
      <c r="F63" s="188"/>
      <c r="G63" s="188"/>
      <c r="H63" s="188"/>
      <c r="I63" s="188"/>
      <c r="J63" s="98">
        <f>+J50+J59+J62</f>
        <v>4535340</v>
      </c>
    </row>
    <row r="65" spans="1:11" ht="33.6" customHeight="1" x14ac:dyDescent="0.2">
      <c r="A65" s="92">
        <v>4</v>
      </c>
      <c r="B65" s="193" t="str">
        <f>PRESUPUESTO!D9</f>
        <v>Diseño estructura de pavimento y análisis de transito: incidencia de la intensidad y  análisis de la composición del transito (aforos vehiculares), obtención de la capacidad de soporte de la subrasante, diseño de la estructura de pavimento, cumpliendo con la normatividad invias aplicable.</v>
      </c>
      <c r="C65" s="194"/>
      <c r="D65" s="194"/>
      <c r="E65" s="194"/>
      <c r="F65" s="194"/>
      <c r="G65" s="194"/>
      <c r="H65" s="194"/>
      <c r="I65" s="194"/>
      <c r="J65" s="102">
        <f>+J81</f>
        <v>7733225</v>
      </c>
    </row>
    <row r="66" spans="1:11" ht="51" x14ac:dyDescent="0.2">
      <c r="A66" s="46" t="s">
        <v>1</v>
      </c>
      <c r="B66" s="47" t="s">
        <v>29</v>
      </c>
      <c r="C66" s="47" t="s">
        <v>30</v>
      </c>
      <c r="D66" s="47" t="s">
        <v>31</v>
      </c>
      <c r="E66" s="47" t="s">
        <v>6</v>
      </c>
      <c r="F66" s="47" t="s">
        <v>4</v>
      </c>
      <c r="G66" s="47" t="s">
        <v>5</v>
      </c>
      <c r="H66" s="47" t="s">
        <v>32</v>
      </c>
      <c r="I66" s="47" t="s">
        <v>37</v>
      </c>
      <c r="J66" s="47" t="s">
        <v>11</v>
      </c>
    </row>
    <row r="67" spans="1:11" x14ac:dyDescent="0.2">
      <c r="A67" s="99">
        <f>A65+0.01</f>
        <v>4.01</v>
      </c>
      <c r="B67" s="189" t="s">
        <v>33</v>
      </c>
      <c r="C67" s="190"/>
      <c r="D67" s="190"/>
      <c r="E67" s="190"/>
      <c r="F67" s="190"/>
      <c r="G67" s="190"/>
      <c r="H67" s="190"/>
      <c r="I67" s="190"/>
      <c r="J67" s="94">
        <f>+J68+J74</f>
        <v>4648508</v>
      </c>
    </row>
    <row r="68" spans="1:11" x14ac:dyDescent="0.2">
      <c r="A68" s="195"/>
      <c r="B68" s="189" t="s">
        <v>34</v>
      </c>
      <c r="C68" s="190"/>
      <c r="D68" s="190"/>
      <c r="E68" s="190"/>
      <c r="F68" s="190"/>
      <c r="G68" s="190"/>
      <c r="H68" s="190"/>
      <c r="I68" s="197"/>
      <c r="J68" s="95">
        <f>SUM(J69:J73)</f>
        <v>3648508</v>
      </c>
    </row>
    <row r="69" spans="1:11" x14ac:dyDescent="0.2">
      <c r="A69" s="196"/>
      <c r="B69" s="48" t="s">
        <v>41</v>
      </c>
      <c r="C69" s="49" t="str">
        <f>+IFERROR((VLOOKUP(B69,MO!$A$9:$F$24,2,FALSE)),"")</f>
        <v>Profesional</v>
      </c>
      <c r="D69" s="49">
        <v>1</v>
      </c>
      <c r="E69" s="49">
        <v>1</v>
      </c>
      <c r="F69" s="49">
        <f>+IFERROR((VLOOKUP(B69,MO!$A$9:$F$24,4,FALSE)),"")</f>
        <v>9000000</v>
      </c>
      <c r="G69" s="49">
        <f>+IFERROR(F69/30,"")</f>
        <v>300000</v>
      </c>
      <c r="H69" s="50">
        <v>0.2</v>
      </c>
      <c r="I69" s="91">
        <f>IF(B69="","",FM!$D$8)</f>
        <v>2.0157500000000002</v>
      </c>
      <c r="J69" s="51">
        <f>+IFERROR((ROUND((D69*E69*G69*H69*I69),0)),"")</f>
        <v>120945</v>
      </c>
      <c r="K69" s="96"/>
    </row>
    <row r="70" spans="1:11" x14ac:dyDescent="0.2">
      <c r="A70" s="196"/>
      <c r="B70" s="48" t="str">
        <f>MO!A19</f>
        <v>Ingeniero civil - especialista vías</v>
      </c>
      <c r="C70" s="49" t="str">
        <f>+IFERROR((VLOOKUP(B70,MO!$A$9:$F$24,2,FALSE)),"")</f>
        <v>Profesional</v>
      </c>
      <c r="D70" s="49">
        <v>1</v>
      </c>
      <c r="E70" s="49">
        <v>3</v>
      </c>
      <c r="F70" s="49">
        <f>+IFERROR((VLOOKUP(B70,MO!$A$9:$F$24,4,FALSE)),"")</f>
        <v>9000000</v>
      </c>
      <c r="G70" s="49">
        <f>+IFERROR(F70/30,"")</f>
        <v>300000</v>
      </c>
      <c r="H70" s="50">
        <v>1</v>
      </c>
      <c r="I70" s="91">
        <f>IF(B70="","",FM!$D$8)</f>
        <v>2.0157500000000002</v>
      </c>
      <c r="J70" s="51">
        <f>+IFERROR((ROUND((D70*E70*G70*H70*I70),0)),"")</f>
        <v>1814175</v>
      </c>
    </row>
    <row r="71" spans="1:11" ht="31.15" customHeight="1" x14ac:dyDescent="0.2">
      <c r="A71" s="196"/>
      <c r="B71" s="48" t="str">
        <f>MO!A14</f>
        <v>Delineante de arquitectura</v>
      </c>
      <c r="C71" s="49" t="str">
        <f>+IFERROR((VLOOKUP(B71,MO!$A$9:$F$24,2,FALSE)),"")</f>
        <v xml:space="preserve">Técnologo </v>
      </c>
      <c r="D71" s="49">
        <v>1</v>
      </c>
      <c r="E71" s="49">
        <v>3</v>
      </c>
      <c r="F71" s="49">
        <f>+IFERROR((VLOOKUP(B71,MO!$A$9:$F$24,4,FALSE)),"")</f>
        <v>3500000</v>
      </c>
      <c r="G71" s="49">
        <f>+IFERROR(F71/30,"")</f>
        <v>116666.66666666667</v>
      </c>
      <c r="H71" s="50">
        <v>1</v>
      </c>
      <c r="I71" s="91">
        <f>IF(B71="","",FM!$D$8)</f>
        <v>2.0157500000000002</v>
      </c>
      <c r="J71" s="51">
        <f>+IFERROR((ROUND((D71*E71*G71*H71*I71),0)),"")</f>
        <v>705513</v>
      </c>
    </row>
    <row r="72" spans="1:11" x14ac:dyDescent="0.2">
      <c r="A72" s="196"/>
      <c r="B72" s="48" t="str">
        <f>MO!A25</f>
        <v>Ayudante Aforo</v>
      </c>
      <c r="C72" s="49" t="str">
        <f>+IFERROR((VLOOKUP(B72,MO!$A$9:$F$30,2,FALSE)),"")</f>
        <v>Asistencial</v>
      </c>
      <c r="D72" s="49">
        <v>2</v>
      </c>
      <c r="E72" s="49">
        <v>5</v>
      </c>
      <c r="F72" s="49">
        <f>+IFERROR((VLOOKUP(B72,MO!$A$9:$F$30,4,FALSE)),"")</f>
        <v>1500000</v>
      </c>
      <c r="G72" s="49">
        <f>+IFERROR(F72/30,"")</f>
        <v>50000</v>
      </c>
      <c r="H72" s="50">
        <v>1</v>
      </c>
      <c r="I72" s="91">
        <f>IF(B72="","",FM!$D$8)</f>
        <v>2.0157500000000002</v>
      </c>
      <c r="J72" s="51">
        <f>+IFERROR((ROUND((D72*E72*G72*H72*I72),0)),"")</f>
        <v>1007875</v>
      </c>
    </row>
    <row r="73" spans="1:11" x14ac:dyDescent="0.2">
      <c r="A73" s="196"/>
      <c r="B73" s="70"/>
      <c r="C73" s="71"/>
      <c r="D73" s="71"/>
      <c r="E73" s="71"/>
      <c r="F73" s="71"/>
      <c r="G73" s="71"/>
      <c r="H73" s="72"/>
      <c r="I73" s="103"/>
      <c r="J73" s="51"/>
    </row>
    <row r="74" spans="1:11" x14ac:dyDescent="0.2">
      <c r="A74" s="196"/>
      <c r="B74" s="189" t="s">
        <v>98</v>
      </c>
      <c r="C74" s="190"/>
      <c r="D74" s="190"/>
      <c r="E74" s="190"/>
      <c r="F74" s="190"/>
      <c r="G74" s="190"/>
      <c r="H74" s="190"/>
      <c r="I74" s="197"/>
      <c r="J74" s="95">
        <f>SUM(J75:J76)</f>
        <v>1000000</v>
      </c>
    </row>
    <row r="75" spans="1:11" ht="25.5" x14ac:dyDescent="0.2">
      <c r="A75" s="196"/>
      <c r="B75" s="48" t="s">
        <v>99</v>
      </c>
      <c r="C75" s="49" t="s">
        <v>87</v>
      </c>
      <c r="D75" s="49">
        <v>1</v>
      </c>
      <c r="E75" s="49"/>
      <c r="F75" s="49">
        <v>1000000</v>
      </c>
      <c r="G75" s="49"/>
      <c r="H75" s="50"/>
      <c r="I75" s="91"/>
      <c r="J75" s="51">
        <f>+IFERROR((ROUND((D75*F75),0)),"")</f>
        <v>1000000</v>
      </c>
      <c r="K75" s="96"/>
    </row>
    <row r="76" spans="1:11" x14ac:dyDescent="0.2">
      <c r="A76" s="196"/>
      <c r="B76" s="48"/>
      <c r="C76" s="49"/>
      <c r="D76" s="49"/>
      <c r="E76" s="49"/>
      <c r="F76" s="49"/>
      <c r="G76" s="49"/>
      <c r="H76" s="50"/>
      <c r="I76" s="91"/>
      <c r="J76" s="51">
        <f>+IFERROR((ROUND((D76*F76),0)),"")</f>
        <v>0</v>
      </c>
    </row>
    <row r="77" spans="1:11" x14ac:dyDescent="0.2">
      <c r="A77" s="99">
        <f>+A67+0.01</f>
        <v>4.0199999999999996</v>
      </c>
      <c r="B77" s="189" t="s">
        <v>36</v>
      </c>
      <c r="C77" s="190"/>
      <c r="D77" s="190"/>
      <c r="E77" s="190"/>
      <c r="F77" s="190"/>
      <c r="G77" s="190"/>
      <c r="H77" s="190"/>
      <c r="I77" s="190"/>
      <c r="J77" s="94">
        <f>SUM(J78:J79)</f>
        <v>1850000</v>
      </c>
    </row>
    <row r="78" spans="1:11" ht="25.5" x14ac:dyDescent="0.2">
      <c r="A78" s="191"/>
      <c r="B78" s="56" t="s">
        <v>39</v>
      </c>
      <c r="C78" s="49" t="s">
        <v>87</v>
      </c>
      <c r="D78" s="49">
        <v>1</v>
      </c>
      <c r="E78" s="49"/>
      <c r="F78" s="49"/>
      <c r="G78" s="49">
        <v>350000</v>
      </c>
      <c r="H78" s="50"/>
      <c r="I78" s="50"/>
      <c r="J78" s="51">
        <f>+D78*G78</f>
        <v>350000</v>
      </c>
    </row>
    <row r="79" spans="1:11" ht="25.5" x14ac:dyDescent="0.2">
      <c r="A79" s="192"/>
      <c r="B79" s="110" t="s">
        <v>111</v>
      </c>
      <c r="C79" s="49" t="s">
        <v>87</v>
      </c>
      <c r="D79" s="49">
        <v>1</v>
      </c>
      <c r="E79" s="97"/>
      <c r="F79" s="97"/>
      <c r="G79" s="49">
        <v>1500000</v>
      </c>
      <c r="H79" s="97"/>
      <c r="I79" s="50"/>
      <c r="J79" s="51">
        <f>+D79*G79</f>
        <v>1500000</v>
      </c>
    </row>
    <row r="80" spans="1:11" x14ac:dyDescent="0.2">
      <c r="A80" s="188" t="s">
        <v>94</v>
      </c>
      <c r="B80" s="188"/>
      <c r="C80" s="188"/>
      <c r="D80" s="188"/>
      <c r="E80" s="188"/>
      <c r="F80" s="188"/>
      <c r="G80" s="188"/>
      <c r="H80" s="188"/>
      <c r="I80" s="188"/>
      <c r="J80" s="98">
        <f>ROUND(((J67+J77)*0.19),0)</f>
        <v>1234717</v>
      </c>
    </row>
    <row r="81" spans="1:11" x14ac:dyDescent="0.2">
      <c r="A81" s="188" t="s">
        <v>109</v>
      </c>
      <c r="B81" s="188"/>
      <c r="C81" s="188"/>
      <c r="D81" s="188"/>
      <c r="E81" s="188"/>
      <c r="F81" s="188"/>
      <c r="G81" s="188"/>
      <c r="H81" s="188"/>
      <c r="I81" s="188"/>
      <c r="J81" s="98">
        <f>+J67+J77+J80</f>
        <v>7733225</v>
      </c>
    </row>
    <row r="83" spans="1:11" ht="34.9" customHeight="1" x14ac:dyDescent="0.2">
      <c r="A83" s="92">
        <v>5</v>
      </c>
      <c r="B83" s="193" t="str">
        <f>PRESUPUESTO!D10</f>
        <v>Diseño Hidrologico e hidraulico: informe de diseño, determinación de los parametros hidrologicos e hidraulicos, memorias de calculo, determinación de la intensidad de la lluvia en la zona del proyecto, calculo del caudal de diseño, diseño hidraulico de alcantarillas, sistema berma- cuneta y aliviaderos.</v>
      </c>
      <c r="C83" s="194"/>
      <c r="D83" s="194"/>
      <c r="E83" s="194"/>
      <c r="F83" s="194"/>
      <c r="G83" s="194"/>
      <c r="H83" s="194"/>
      <c r="I83" s="194"/>
      <c r="J83" s="102">
        <f>+J98</f>
        <v>4773340</v>
      </c>
    </row>
    <row r="84" spans="1:11" ht="51" x14ac:dyDescent="0.2">
      <c r="A84" s="46" t="s">
        <v>1</v>
      </c>
      <c r="B84" s="47" t="s">
        <v>29</v>
      </c>
      <c r="C84" s="47" t="s">
        <v>30</v>
      </c>
      <c r="D84" s="47" t="s">
        <v>31</v>
      </c>
      <c r="E84" s="47" t="s">
        <v>6</v>
      </c>
      <c r="F84" s="47" t="s">
        <v>4</v>
      </c>
      <c r="G84" s="47" t="s">
        <v>5</v>
      </c>
      <c r="H84" s="47" t="s">
        <v>32</v>
      </c>
      <c r="I84" s="47" t="s">
        <v>37</v>
      </c>
      <c r="J84" s="47" t="s">
        <v>11</v>
      </c>
    </row>
    <row r="85" spans="1:11" x14ac:dyDescent="0.2">
      <c r="A85" s="99">
        <f>A83+0.01</f>
        <v>5.01</v>
      </c>
      <c r="B85" s="189" t="s">
        <v>33</v>
      </c>
      <c r="C85" s="190"/>
      <c r="D85" s="190"/>
      <c r="E85" s="190"/>
      <c r="F85" s="190"/>
      <c r="G85" s="190"/>
      <c r="H85" s="190"/>
      <c r="I85" s="190"/>
      <c r="J85" s="94">
        <f>+J86+J91</f>
        <v>3061210</v>
      </c>
    </row>
    <row r="86" spans="1:11" x14ac:dyDescent="0.2">
      <c r="A86" s="195"/>
      <c r="B86" s="189" t="s">
        <v>34</v>
      </c>
      <c r="C86" s="190"/>
      <c r="D86" s="190"/>
      <c r="E86" s="190"/>
      <c r="F86" s="190"/>
      <c r="G86" s="190"/>
      <c r="H86" s="190"/>
      <c r="I86" s="197"/>
      <c r="J86" s="95">
        <f>SUM(J87:J90)</f>
        <v>1861210</v>
      </c>
    </row>
    <row r="87" spans="1:11" x14ac:dyDescent="0.2">
      <c r="A87" s="196"/>
      <c r="B87" s="48" t="s">
        <v>41</v>
      </c>
      <c r="C87" s="49" t="str">
        <f>+IFERROR((VLOOKUP(B87,MO!$A$9:$F$24,2,FALSE)),"")</f>
        <v>Profesional</v>
      </c>
      <c r="D87" s="49">
        <v>1</v>
      </c>
      <c r="E87" s="49">
        <v>1</v>
      </c>
      <c r="F87" s="49">
        <f>+IFERROR((VLOOKUP(B87,MO!$A$9:$F$24,4,FALSE)),"")</f>
        <v>9000000</v>
      </c>
      <c r="G87" s="49">
        <f>+IFERROR(F87/30,"")</f>
        <v>300000</v>
      </c>
      <c r="H87" s="50">
        <v>0.3</v>
      </c>
      <c r="I87" s="91">
        <f>IF(B87="","",FM!$D$8)</f>
        <v>2.0157500000000002</v>
      </c>
      <c r="J87" s="51">
        <f>+IFERROR((ROUND((D87*E87*G87*H87*I87),0)),"")</f>
        <v>181418</v>
      </c>
      <c r="K87" s="96"/>
    </row>
    <row r="88" spans="1:11" x14ac:dyDescent="0.2">
      <c r="A88" s="196"/>
      <c r="B88" s="48" t="str">
        <f>MO!A20</f>
        <v>Ingeniero civil - especialista hidrulica</v>
      </c>
      <c r="C88" s="49" t="str">
        <f>+IFERROR((VLOOKUP(B88,MO!$A$9:$F$24,2,FALSE)),"")</f>
        <v>Profesional</v>
      </c>
      <c r="D88" s="49">
        <v>1</v>
      </c>
      <c r="E88" s="49">
        <v>2</v>
      </c>
      <c r="F88" s="49">
        <f>+IFERROR((VLOOKUP(B88,MO!$A$9:$F$24,4,FALSE)),"")</f>
        <v>9000000</v>
      </c>
      <c r="G88" s="49">
        <f>+IFERROR(F88/30,"")</f>
        <v>300000</v>
      </c>
      <c r="H88" s="50">
        <v>1</v>
      </c>
      <c r="I88" s="91">
        <f>IF(B88="","",FM!$D$8)</f>
        <v>2.0157500000000002</v>
      </c>
      <c r="J88" s="51">
        <f>+IFERROR((ROUND((D88*E88*G88*H88*I88),0)),"")</f>
        <v>1209450</v>
      </c>
    </row>
    <row r="89" spans="1:11" x14ac:dyDescent="0.2">
      <c r="A89" s="196"/>
      <c r="B89" s="48" t="s">
        <v>9</v>
      </c>
      <c r="C89" s="49" t="str">
        <f>+IFERROR((VLOOKUP(B89,MO!$A$9:$F$24,2,FALSE)),"")</f>
        <v xml:space="preserve">Técnologo </v>
      </c>
      <c r="D89" s="49">
        <v>1</v>
      </c>
      <c r="E89" s="49">
        <v>2</v>
      </c>
      <c r="F89" s="49">
        <f>+IFERROR((VLOOKUP(B89,MO!$A$9:$F$24,4,FALSE)),"")</f>
        <v>3500000</v>
      </c>
      <c r="G89" s="49">
        <f>+IFERROR(F89/30,"")</f>
        <v>116666.66666666667</v>
      </c>
      <c r="H89" s="50">
        <v>1</v>
      </c>
      <c r="I89" s="91">
        <f>IF(B89="","",FM!$D$8)</f>
        <v>2.0157500000000002</v>
      </c>
      <c r="J89" s="51">
        <f>+IFERROR((ROUND((D89*E89*G89*H89*I89),0)),"")</f>
        <v>470342</v>
      </c>
    </row>
    <row r="90" spans="1:11" x14ac:dyDescent="0.2">
      <c r="A90" s="196"/>
      <c r="B90" s="70"/>
      <c r="C90" s="71"/>
      <c r="D90" s="71"/>
      <c r="E90" s="71"/>
      <c r="F90" s="71"/>
      <c r="G90" s="71"/>
      <c r="H90" s="72"/>
      <c r="I90" s="103"/>
      <c r="J90" s="51"/>
    </row>
    <row r="91" spans="1:11" x14ac:dyDescent="0.2">
      <c r="A91" s="196"/>
      <c r="B91" s="189" t="s">
        <v>98</v>
      </c>
      <c r="C91" s="190"/>
      <c r="D91" s="190"/>
      <c r="E91" s="190"/>
      <c r="F91" s="190"/>
      <c r="G91" s="190"/>
      <c r="H91" s="190"/>
      <c r="I91" s="197"/>
      <c r="J91" s="95">
        <f>SUM(J92:J93)</f>
        <v>1200000</v>
      </c>
    </row>
    <row r="92" spans="1:11" ht="25.5" x14ac:dyDescent="0.2">
      <c r="A92" s="196"/>
      <c r="B92" s="48" t="s">
        <v>99</v>
      </c>
      <c r="C92" s="49" t="s">
        <v>87</v>
      </c>
      <c r="D92" s="49">
        <v>1</v>
      </c>
      <c r="E92" s="49"/>
      <c r="F92" s="49">
        <v>1200000</v>
      </c>
      <c r="G92" s="49"/>
      <c r="H92" s="50"/>
      <c r="I92" s="91"/>
      <c r="J92" s="51">
        <f>+IFERROR((ROUND((D92*F92),0)),"")</f>
        <v>1200000</v>
      </c>
      <c r="K92" s="96"/>
    </row>
    <row r="93" spans="1:11" x14ac:dyDescent="0.2">
      <c r="A93" s="196"/>
      <c r="B93" s="48"/>
      <c r="C93" s="49"/>
      <c r="D93" s="49"/>
      <c r="E93" s="49"/>
      <c r="F93" s="49"/>
      <c r="G93" s="49"/>
      <c r="H93" s="50"/>
      <c r="I93" s="91"/>
      <c r="J93" s="51">
        <f>+IFERROR((ROUND((D93*F93),0)),"")</f>
        <v>0</v>
      </c>
    </row>
    <row r="94" spans="1:11" x14ac:dyDescent="0.2">
      <c r="A94" s="99">
        <f>+A85+0.01</f>
        <v>5.0199999999999996</v>
      </c>
      <c r="B94" s="189" t="s">
        <v>36</v>
      </c>
      <c r="C94" s="190"/>
      <c r="D94" s="190"/>
      <c r="E94" s="190"/>
      <c r="F94" s="190"/>
      <c r="G94" s="190"/>
      <c r="H94" s="190"/>
      <c r="I94" s="190"/>
      <c r="J94" s="94">
        <f>SUM(J95:J96)</f>
        <v>950000</v>
      </c>
    </row>
    <row r="95" spans="1:11" ht="25.5" x14ac:dyDescent="0.2">
      <c r="A95" s="191"/>
      <c r="B95" s="56" t="s">
        <v>39</v>
      </c>
      <c r="C95" s="49" t="s">
        <v>87</v>
      </c>
      <c r="D95" s="49">
        <v>1</v>
      </c>
      <c r="E95" s="49"/>
      <c r="F95" s="49"/>
      <c r="G95" s="49">
        <v>350000</v>
      </c>
      <c r="H95" s="50"/>
      <c r="I95" s="50"/>
      <c r="J95" s="51">
        <f>+D95*G95</f>
        <v>350000</v>
      </c>
    </row>
    <row r="96" spans="1:11" ht="25.5" x14ac:dyDescent="0.2">
      <c r="A96" s="192"/>
      <c r="B96" s="110" t="s">
        <v>111</v>
      </c>
      <c r="C96" s="49" t="s">
        <v>87</v>
      </c>
      <c r="D96" s="49">
        <v>1</v>
      </c>
      <c r="E96" s="97"/>
      <c r="F96" s="97"/>
      <c r="G96" s="49">
        <v>600000</v>
      </c>
      <c r="H96" s="97"/>
      <c r="I96" s="50"/>
      <c r="J96" s="51">
        <f>+D96*G96</f>
        <v>600000</v>
      </c>
    </row>
    <row r="97" spans="1:11" x14ac:dyDescent="0.2">
      <c r="A97" s="188" t="s">
        <v>94</v>
      </c>
      <c r="B97" s="188"/>
      <c r="C97" s="188"/>
      <c r="D97" s="188"/>
      <c r="E97" s="188"/>
      <c r="F97" s="188"/>
      <c r="G97" s="188"/>
      <c r="H97" s="188"/>
      <c r="I97" s="188"/>
      <c r="J97" s="98">
        <f>ROUND(((J85+J94)*0.19),0)</f>
        <v>762130</v>
      </c>
    </row>
    <row r="98" spans="1:11" x14ac:dyDescent="0.2">
      <c r="A98" s="188" t="s">
        <v>109</v>
      </c>
      <c r="B98" s="188"/>
      <c r="C98" s="188"/>
      <c r="D98" s="188"/>
      <c r="E98" s="188"/>
      <c r="F98" s="188"/>
      <c r="G98" s="188"/>
      <c r="H98" s="188"/>
      <c r="I98" s="188"/>
      <c r="J98" s="98">
        <f>+J85+J94+J97</f>
        <v>4773340</v>
      </c>
    </row>
    <row r="99" spans="1:11" x14ac:dyDescent="0.2">
      <c r="J99" s="96"/>
    </row>
    <row r="100" spans="1:11" ht="37.9" customHeight="1" x14ac:dyDescent="0.2">
      <c r="A100" s="92">
        <v>6</v>
      </c>
      <c r="B100" s="193" t="str">
        <f>PRESUPUESTO!D11</f>
        <v>Plan de manejo de transito</v>
      </c>
      <c r="C100" s="194"/>
      <c r="D100" s="194"/>
      <c r="E100" s="194"/>
      <c r="F100" s="194"/>
      <c r="G100" s="194"/>
      <c r="H100" s="194"/>
      <c r="I100" s="194"/>
      <c r="J100" s="102">
        <f>+J116</f>
        <v>3395936</v>
      </c>
    </row>
    <row r="101" spans="1:11" ht="51" x14ac:dyDescent="0.2">
      <c r="A101" s="46" t="s">
        <v>1</v>
      </c>
      <c r="B101" s="47" t="s">
        <v>29</v>
      </c>
      <c r="C101" s="47" t="s">
        <v>30</v>
      </c>
      <c r="D101" s="47" t="s">
        <v>31</v>
      </c>
      <c r="E101" s="47" t="s">
        <v>6</v>
      </c>
      <c r="F101" s="47" t="s">
        <v>4</v>
      </c>
      <c r="G101" s="47" t="s">
        <v>5</v>
      </c>
      <c r="H101" s="47" t="s">
        <v>32</v>
      </c>
      <c r="I101" s="47" t="s">
        <v>37</v>
      </c>
      <c r="J101" s="47" t="s">
        <v>11</v>
      </c>
    </row>
    <row r="102" spans="1:11" x14ac:dyDescent="0.2">
      <c r="A102" s="99">
        <f>A100+0.01</f>
        <v>6.01</v>
      </c>
      <c r="B102" s="189" t="s">
        <v>33</v>
      </c>
      <c r="C102" s="190"/>
      <c r="D102" s="190"/>
      <c r="E102" s="190"/>
      <c r="F102" s="190"/>
      <c r="G102" s="190"/>
      <c r="H102" s="190"/>
      <c r="I102" s="190"/>
      <c r="J102" s="94">
        <f>+J103+J109</f>
        <v>1903728</v>
      </c>
    </row>
    <row r="103" spans="1:11" x14ac:dyDescent="0.2">
      <c r="A103" s="195"/>
      <c r="B103" s="189" t="s">
        <v>34</v>
      </c>
      <c r="C103" s="190"/>
      <c r="D103" s="190"/>
      <c r="E103" s="190"/>
      <c r="F103" s="190"/>
      <c r="G103" s="190"/>
      <c r="H103" s="190"/>
      <c r="I103" s="197"/>
      <c r="J103" s="95">
        <f>SUM(J104:J108)</f>
        <v>903728</v>
      </c>
    </row>
    <row r="104" spans="1:11" x14ac:dyDescent="0.2">
      <c r="A104" s="196"/>
      <c r="B104" s="48" t="s">
        <v>41</v>
      </c>
      <c r="C104" s="49" t="str">
        <f>+IFERROR((VLOOKUP(B104,MO!$A$9:$F$24,2,FALSE)),"")</f>
        <v>Profesional</v>
      </c>
      <c r="D104" s="49">
        <v>1</v>
      </c>
      <c r="E104" s="49">
        <v>1</v>
      </c>
      <c r="F104" s="49">
        <f>+IFERROR((VLOOKUP(B104,MO!$A$9:$F$24,4,FALSE)),"")</f>
        <v>9000000</v>
      </c>
      <c r="G104" s="49">
        <f>+IFERROR(F104/30,"")</f>
        <v>300000</v>
      </c>
      <c r="H104" s="50">
        <v>0.3</v>
      </c>
      <c r="I104" s="91">
        <f>IF(B104="","",FM!$D$8)</f>
        <v>2.0157500000000002</v>
      </c>
      <c r="J104" s="51">
        <f>+IFERROR((ROUND((D104*E104*G104*H104*I104),0)),"")</f>
        <v>181418</v>
      </c>
      <c r="K104" s="96"/>
    </row>
    <row r="105" spans="1:11" x14ac:dyDescent="0.2">
      <c r="A105" s="196"/>
      <c r="B105" s="48" t="str">
        <f>MO!A19</f>
        <v>Ingeniero civil - especialista vías</v>
      </c>
      <c r="C105" s="49" t="str">
        <f>+IFERROR((VLOOKUP(B105,MO!$A$9:$F$24,2,FALSE)),"")</f>
        <v>Profesional</v>
      </c>
      <c r="D105" s="49">
        <v>1</v>
      </c>
      <c r="E105" s="49">
        <v>1</v>
      </c>
      <c r="F105" s="49">
        <f>+IFERROR((VLOOKUP(B105,MO!$A$9:$F$24,4,FALSE)),"")</f>
        <v>9000000</v>
      </c>
      <c r="G105" s="49">
        <f>+IFERROR(F105/30,"")</f>
        <v>300000</v>
      </c>
      <c r="H105" s="50">
        <v>1</v>
      </c>
      <c r="I105" s="91">
        <f>IF(B105="","",FM!$D$8)</f>
        <v>2.0157500000000002</v>
      </c>
      <c r="J105" s="51">
        <f>+IFERROR((ROUND((D105*E105*G105*H105*I105),0)),"")</f>
        <v>604725</v>
      </c>
    </row>
    <row r="106" spans="1:11" x14ac:dyDescent="0.2">
      <c r="A106" s="196"/>
      <c r="B106" s="48" t="s">
        <v>9</v>
      </c>
      <c r="C106" s="49" t="str">
        <f>+IFERROR((VLOOKUP(B106,MO!$A$9:$F$24,2,FALSE)),"")</f>
        <v xml:space="preserve">Técnologo </v>
      </c>
      <c r="D106" s="49">
        <v>1</v>
      </c>
      <c r="E106" s="49">
        <v>1</v>
      </c>
      <c r="F106" s="49">
        <f>+IFERROR((VLOOKUP(B106,MO!$A$9:$F$24,4,FALSE)),"")</f>
        <v>3500000</v>
      </c>
      <c r="G106" s="49">
        <f>+IFERROR(F106/30,"")</f>
        <v>116666.66666666667</v>
      </c>
      <c r="H106" s="50">
        <v>0.5</v>
      </c>
      <c r="I106" s="91">
        <f>IF(B106="","",FM!$D$8)</f>
        <v>2.0157500000000002</v>
      </c>
      <c r="J106" s="51">
        <f>+IFERROR((ROUND((D106*E106*G106*H106*I106),0)),"")</f>
        <v>117585</v>
      </c>
    </row>
    <row r="107" spans="1:11" x14ac:dyDescent="0.2">
      <c r="A107" s="196"/>
      <c r="B107" s="48"/>
      <c r="C107" s="49" t="str">
        <f>+IFERROR((VLOOKUP(B107,MO!$A$9:$F$24,2,FALSE)),"")</f>
        <v/>
      </c>
      <c r="D107" s="49"/>
      <c r="E107" s="49"/>
      <c r="F107" s="49" t="str">
        <f>+IFERROR((VLOOKUP(B107,MO!$A$9:$F$24,4,FALSE)),"")</f>
        <v/>
      </c>
      <c r="G107" s="49" t="str">
        <f>+IFERROR(F107/30,"")</f>
        <v/>
      </c>
      <c r="H107" s="50"/>
      <c r="I107" s="91" t="str">
        <f>IF(B107="","",FM!$D$8)</f>
        <v/>
      </c>
      <c r="J107" s="51" t="str">
        <f>+IFERROR((ROUND((D107*E107*G107*H107*I107),0)),"")</f>
        <v/>
      </c>
    </row>
    <row r="108" spans="1:11" x14ac:dyDescent="0.2">
      <c r="A108" s="196"/>
      <c r="B108" s="70"/>
      <c r="C108" s="71"/>
      <c r="D108" s="71"/>
      <c r="E108" s="71"/>
      <c r="F108" s="71"/>
      <c r="G108" s="71"/>
      <c r="H108" s="72"/>
      <c r="I108" s="103"/>
      <c r="J108" s="51"/>
    </row>
    <row r="109" spans="1:11" x14ac:dyDescent="0.2">
      <c r="A109" s="196"/>
      <c r="B109" s="189" t="s">
        <v>98</v>
      </c>
      <c r="C109" s="190"/>
      <c r="D109" s="190"/>
      <c r="E109" s="190"/>
      <c r="F109" s="190"/>
      <c r="G109" s="190"/>
      <c r="H109" s="190"/>
      <c r="I109" s="197"/>
      <c r="J109" s="95">
        <f>SUM(J110:J111)</f>
        <v>1000000</v>
      </c>
    </row>
    <row r="110" spans="1:11" ht="25.5" x14ac:dyDescent="0.2">
      <c r="A110" s="196"/>
      <c r="B110" s="48" t="s">
        <v>99</v>
      </c>
      <c r="C110" s="49" t="s">
        <v>87</v>
      </c>
      <c r="D110" s="49">
        <v>1</v>
      </c>
      <c r="E110" s="49"/>
      <c r="F110" s="49">
        <v>1000000</v>
      </c>
      <c r="G110" s="49"/>
      <c r="H110" s="50"/>
      <c r="I110" s="91"/>
      <c r="J110" s="51">
        <f>+IFERROR((ROUND((D110*F110),0)),"")</f>
        <v>1000000</v>
      </c>
      <c r="K110" s="96"/>
    </row>
    <row r="111" spans="1:11" x14ac:dyDescent="0.2">
      <c r="A111" s="196"/>
      <c r="B111" s="48"/>
      <c r="C111" s="49"/>
      <c r="D111" s="49"/>
      <c r="E111" s="49"/>
      <c r="F111" s="49"/>
      <c r="G111" s="49"/>
      <c r="H111" s="50"/>
      <c r="I111" s="91"/>
      <c r="J111" s="51">
        <f>+IFERROR((ROUND((D111*F111),0)),"")</f>
        <v>0</v>
      </c>
    </row>
    <row r="112" spans="1:11" x14ac:dyDescent="0.2">
      <c r="A112" s="99">
        <f>+A102+0.01</f>
        <v>6.02</v>
      </c>
      <c r="B112" s="189" t="s">
        <v>36</v>
      </c>
      <c r="C112" s="190"/>
      <c r="D112" s="190"/>
      <c r="E112" s="190"/>
      <c r="F112" s="190"/>
      <c r="G112" s="190"/>
      <c r="H112" s="190"/>
      <c r="I112" s="190"/>
      <c r="J112" s="94">
        <f>SUM(J113:J114)</f>
        <v>950000</v>
      </c>
    </row>
    <row r="113" spans="1:11" ht="25.5" x14ac:dyDescent="0.2">
      <c r="A113" s="191"/>
      <c r="B113" s="56" t="s">
        <v>39</v>
      </c>
      <c r="C113" s="49" t="s">
        <v>87</v>
      </c>
      <c r="D113" s="49">
        <v>1</v>
      </c>
      <c r="E113" s="49"/>
      <c r="F113" s="49"/>
      <c r="G113" s="49">
        <v>350000</v>
      </c>
      <c r="H113" s="50"/>
      <c r="I113" s="50"/>
      <c r="J113" s="51">
        <f>+D113*G113</f>
        <v>350000</v>
      </c>
    </row>
    <row r="114" spans="1:11" ht="25.5" x14ac:dyDescent="0.2">
      <c r="A114" s="192"/>
      <c r="B114" s="110" t="s">
        <v>111</v>
      </c>
      <c r="C114" s="49" t="s">
        <v>87</v>
      </c>
      <c r="D114" s="49">
        <v>1</v>
      </c>
      <c r="E114" s="97"/>
      <c r="F114" s="97"/>
      <c r="G114" s="49">
        <v>600000</v>
      </c>
      <c r="H114" s="97"/>
      <c r="I114" s="50"/>
      <c r="J114" s="51">
        <f>+D114*G114</f>
        <v>600000</v>
      </c>
    </row>
    <row r="115" spans="1:11" x14ac:dyDescent="0.2">
      <c r="A115" s="188" t="s">
        <v>94</v>
      </c>
      <c r="B115" s="188"/>
      <c r="C115" s="188"/>
      <c r="D115" s="188"/>
      <c r="E115" s="188"/>
      <c r="F115" s="188"/>
      <c r="G115" s="188"/>
      <c r="H115" s="188"/>
      <c r="I115" s="188"/>
      <c r="J115" s="98">
        <f>ROUND(((J102+J112)*0.19),0)</f>
        <v>542208</v>
      </c>
    </row>
    <row r="116" spans="1:11" x14ac:dyDescent="0.2">
      <c r="A116" s="188" t="s">
        <v>109</v>
      </c>
      <c r="B116" s="188"/>
      <c r="C116" s="188"/>
      <c r="D116" s="188"/>
      <c r="E116" s="188"/>
      <c r="F116" s="188"/>
      <c r="G116" s="188"/>
      <c r="H116" s="188"/>
      <c r="I116" s="188"/>
      <c r="J116" s="98">
        <f>+J102+J112+J115</f>
        <v>3395936</v>
      </c>
    </row>
    <row r="118" spans="1:11" ht="37.9" customHeight="1" x14ac:dyDescent="0.2">
      <c r="A118" s="92">
        <v>7</v>
      </c>
      <c r="B118" s="193" t="str">
        <f>PRESUPUESTO!D12</f>
        <v>Presuesto de obra. Incluye: cálculo de administración, interventoria y factor multipicador; elaboración de Analis de precios unitarios (APU) y auxliares, memorias gráficas, cronograma y flujo financiero de obra, especificaciones técnicas y proceso constructivo.</v>
      </c>
      <c r="C118" s="194"/>
      <c r="D118" s="194"/>
      <c r="E118" s="194"/>
      <c r="F118" s="194"/>
      <c r="G118" s="194"/>
      <c r="H118" s="194"/>
      <c r="I118" s="194"/>
      <c r="J118" s="102">
        <f>+J134</f>
        <v>4711466</v>
      </c>
    </row>
    <row r="119" spans="1:11" ht="51" x14ac:dyDescent="0.2">
      <c r="A119" s="46" t="s">
        <v>1</v>
      </c>
      <c r="B119" s="47" t="s">
        <v>29</v>
      </c>
      <c r="C119" s="47" t="s">
        <v>30</v>
      </c>
      <c r="D119" s="47" t="s">
        <v>31</v>
      </c>
      <c r="E119" s="47" t="s">
        <v>6</v>
      </c>
      <c r="F119" s="47" t="s">
        <v>4</v>
      </c>
      <c r="G119" s="47" t="s">
        <v>5</v>
      </c>
      <c r="H119" s="47" t="s">
        <v>32</v>
      </c>
      <c r="I119" s="47" t="s">
        <v>37</v>
      </c>
      <c r="J119" s="47" t="s">
        <v>11</v>
      </c>
    </row>
    <row r="120" spans="1:11" x14ac:dyDescent="0.2">
      <c r="A120" s="99">
        <f>A118+0.01</f>
        <v>7.01</v>
      </c>
      <c r="B120" s="189" t="s">
        <v>33</v>
      </c>
      <c r="C120" s="190"/>
      <c r="D120" s="190"/>
      <c r="E120" s="190"/>
      <c r="F120" s="190"/>
      <c r="G120" s="190"/>
      <c r="H120" s="190"/>
      <c r="I120" s="190"/>
      <c r="J120" s="94">
        <f>+J121+J127+J130</f>
        <v>3209215</v>
      </c>
    </row>
    <row r="121" spans="1:11" x14ac:dyDescent="0.2">
      <c r="A121" s="195"/>
      <c r="B121" s="189" t="s">
        <v>34</v>
      </c>
      <c r="C121" s="190"/>
      <c r="D121" s="190"/>
      <c r="E121" s="190"/>
      <c r="F121" s="190"/>
      <c r="G121" s="190"/>
      <c r="H121" s="190"/>
      <c r="I121" s="197"/>
      <c r="J121" s="95">
        <f>SUM(J122:J126)</f>
        <v>2459215</v>
      </c>
    </row>
    <row r="122" spans="1:11" x14ac:dyDescent="0.2">
      <c r="A122" s="196"/>
      <c r="B122" s="48" t="s">
        <v>41</v>
      </c>
      <c r="C122" s="49" t="str">
        <f>+IFERROR((VLOOKUP(B122,MO!$A$9:$F$24,2,FALSE)),"")</f>
        <v>Profesional</v>
      </c>
      <c r="D122" s="49">
        <v>1</v>
      </c>
      <c r="E122" s="49">
        <v>4</v>
      </c>
      <c r="F122" s="49">
        <f>+IFERROR((VLOOKUP(B122,MO!$A$9:$F$24,4,FALSE)),"")</f>
        <v>9000000</v>
      </c>
      <c r="G122" s="49">
        <f>+IFERROR(F122/30,"")</f>
        <v>300000</v>
      </c>
      <c r="H122" s="50">
        <v>0.35</v>
      </c>
      <c r="I122" s="91">
        <f>IF(B122="","",FM!$D$8)</f>
        <v>2.0157500000000002</v>
      </c>
      <c r="J122" s="51">
        <f>+IFERROR((ROUND((D122*E122*G122*H122*I122),0)),"")</f>
        <v>846615</v>
      </c>
      <c r="K122" s="96"/>
    </row>
    <row r="123" spans="1:11" x14ac:dyDescent="0.2">
      <c r="A123" s="196"/>
      <c r="B123" s="48" t="s">
        <v>64</v>
      </c>
      <c r="C123" s="49" t="str">
        <f>+IFERROR((VLOOKUP(B123,MO!$A$9:$F$24,2,FALSE)),"")</f>
        <v>Profesional</v>
      </c>
      <c r="D123" s="49">
        <v>1</v>
      </c>
      <c r="E123" s="49">
        <v>4</v>
      </c>
      <c r="F123" s="49">
        <f>+IFERROR((VLOOKUP(B123,MO!$A$9:$F$24,4,FALSE)),"")</f>
        <v>6000000</v>
      </c>
      <c r="G123" s="49">
        <f>+IFERROR(F123/30,"")</f>
        <v>200000</v>
      </c>
      <c r="H123" s="50">
        <v>1</v>
      </c>
      <c r="I123" s="91">
        <f>IF(B123="","",FM!$D$8)</f>
        <v>2.0157500000000002</v>
      </c>
      <c r="J123" s="51">
        <f>+IFERROR((ROUND((D123*E123*G123*H123*I123),0)),"")</f>
        <v>1612600</v>
      </c>
    </row>
    <row r="124" spans="1:11" x14ac:dyDescent="0.2">
      <c r="A124" s="196"/>
      <c r="B124" s="48"/>
      <c r="C124" s="49" t="str">
        <f>+IFERROR((VLOOKUP(B124,MO!$A$9:$F$24,2,FALSE)),"")</f>
        <v/>
      </c>
      <c r="D124" s="49"/>
      <c r="E124" s="49"/>
      <c r="F124" s="49" t="str">
        <f>+IFERROR((VLOOKUP(B124,MO!$A$9:$F$24,4,FALSE)),"")</f>
        <v/>
      </c>
      <c r="G124" s="49" t="str">
        <f>+IFERROR(F124/30,"")</f>
        <v/>
      </c>
      <c r="H124" s="50"/>
      <c r="I124" s="91" t="str">
        <f>IF(B124="","",FM!$D$8)</f>
        <v/>
      </c>
      <c r="J124" s="51" t="str">
        <f>+IFERROR((ROUND((D124*E124*G124*H124*I124),0)),"")</f>
        <v/>
      </c>
    </row>
    <row r="125" spans="1:11" x14ac:dyDescent="0.2">
      <c r="A125" s="196"/>
      <c r="B125" s="48"/>
      <c r="C125" s="49" t="str">
        <f>+IFERROR((VLOOKUP(B125,MO!$A$9:$F$24,2,FALSE)),"")</f>
        <v/>
      </c>
      <c r="D125" s="49"/>
      <c r="E125" s="49"/>
      <c r="F125" s="49" t="str">
        <f>+IFERROR((VLOOKUP(B125,MO!$A$9:$F$24,4,FALSE)),"")</f>
        <v/>
      </c>
      <c r="G125" s="49" t="str">
        <f>+IFERROR(F125/30,"")</f>
        <v/>
      </c>
      <c r="H125" s="50"/>
      <c r="I125" s="91" t="str">
        <f>IF(B125="","",FM!$D$8)</f>
        <v/>
      </c>
      <c r="J125" s="51" t="str">
        <f>+IFERROR((ROUND((D125*E125*G125*H125*I125),0)),"")</f>
        <v/>
      </c>
    </row>
    <row r="126" spans="1:11" x14ac:dyDescent="0.2">
      <c r="A126" s="196"/>
      <c r="B126" s="70"/>
      <c r="C126" s="71"/>
      <c r="D126" s="71"/>
      <c r="E126" s="71"/>
      <c r="F126" s="71"/>
      <c r="G126" s="71"/>
      <c r="H126" s="72"/>
      <c r="I126" s="103"/>
      <c r="J126" s="51"/>
    </row>
    <row r="127" spans="1:11" x14ac:dyDescent="0.2">
      <c r="A127" s="196"/>
      <c r="B127" s="189" t="s">
        <v>98</v>
      </c>
      <c r="C127" s="190"/>
      <c r="D127" s="190"/>
      <c r="E127" s="190"/>
      <c r="F127" s="190"/>
      <c r="G127" s="190"/>
      <c r="H127" s="190"/>
      <c r="I127" s="197"/>
      <c r="J127" s="95">
        <f>SUM(J128:J129)</f>
        <v>0</v>
      </c>
    </row>
    <row r="128" spans="1:11" x14ac:dyDescent="0.2">
      <c r="A128" s="196"/>
      <c r="B128" s="48"/>
      <c r="C128" s="49"/>
      <c r="D128" s="49"/>
      <c r="E128" s="49"/>
      <c r="F128" s="49"/>
      <c r="G128" s="49"/>
      <c r="H128" s="50"/>
      <c r="I128" s="91"/>
      <c r="J128" s="51">
        <f>+IFERROR((ROUND((D128*F128),0)),"")</f>
        <v>0</v>
      </c>
      <c r="K128" s="96"/>
    </row>
    <row r="129" spans="1:11" x14ac:dyDescent="0.2">
      <c r="A129" s="196"/>
      <c r="B129" s="48"/>
      <c r="C129" s="49"/>
      <c r="D129" s="49"/>
      <c r="E129" s="49"/>
      <c r="F129" s="49"/>
      <c r="G129" s="49"/>
      <c r="H129" s="50"/>
      <c r="I129" s="91"/>
      <c r="J129" s="51">
        <f>+IFERROR((ROUND((D129*F129),0)),"")</f>
        <v>0</v>
      </c>
    </row>
    <row r="130" spans="1:11" x14ac:dyDescent="0.2">
      <c r="A130" s="99">
        <f>+A120+0.01</f>
        <v>7.02</v>
      </c>
      <c r="B130" s="189" t="s">
        <v>36</v>
      </c>
      <c r="C130" s="190"/>
      <c r="D130" s="190"/>
      <c r="E130" s="190"/>
      <c r="F130" s="190"/>
      <c r="G130" s="190"/>
      <c r="H130" s="190"/>
      <c r="I130" s="190"/>
      <c r="J130" s="94">
        <f>SUM(J131:J132)</f>
        <v>750000</v>
      </c>
    </row>
    <row r="131" spans="1:11" ht="25.5" x14ac:dyDescent="0.2">
      <c r="A131" s="191"/>
      <c r="B131" s="56" t="s">
        <v>39</v>
      </c>
      <c r="C131" s="49" t="s">
        <v>87</v>
      </c>
      <c r="D131" s="49">
        <v>1</v>
      </c>
      <c r="E131" s="49"/>
      <c r="F131" s="49"/>
      <c r="G131" s="49">
        <v>150000</v>
      </c>
      <c r="H131" s="50"/>
      <c r="I131" s="50"/>
      <c r="J131" s="51">
        <f>+D131*G131</f>
        <v>150000</v>
      </c>
    </row>
    <row r="132" spans="1:11" ht="25.5" x14ac:dyDescent="0.2">
      <c r="A132" s="192"/>
      <c r="B132" s="110" t="s">
        <v>111</v>
      </c>
      <c r="C132" s="49" t="s">
        <v>87</v>
      </c>
      <c r="D132" s="49">
        <v>1</v>
      </c>
      <c r="E132" s="97"/>
      <c r="F132" s="97"/>
      <c r="G132" s="49">
        <v>600000</v>
      </c>
      <c r="H132" s="97"/>
      <c r="I132" s="50"/>
      <c r="J132" s="51">
        <f>+D132*G132</f>
        <v>600000</v>
      </c>
    </row>
    <row r="133" spans="1:11" x14ac:dyDescent="0.2">
      <c r="A133" s="188" t="s">
        <v>94</v>
      </c>
      <c r="B133" s="188"/>
      <c r="C133" s="188"/>
      <c r="D133" s="188"/>
      <c r="E133" s="188"/>
      <c r="F133" s="188"/>
      <c r="G133" s="188"/>
      <c r="H133" s="188"/>
      <c r="I133" s="188"/>
      <c r="J133" s="98">
        <f>ROUND(((J120+J130)*0.19),0)</f>
        <v>752251</v>
      </c>
    </row>
    <row r="134" spans="1:11" x14ac:dyDescent="0.2">
      <c r="A134" s="188" t="s">
        <v>109</v>
      </c>
      <c r="B134" s="188"/>
      <c r="C134" s="188"/>
      <c r="D134" s="188"/>
      <c r="E134" s="188"/>
      <c r="F134" s="188"/>
      <c r="G134" s="188"/>
      <c r="H134" s="188"/>
      <c r="I134" s="188"/>
      <c r="J134" s="98">
        <f>+J120+J130+J133</f>
        <v>4711466</v>
      </c>
    </row>
    <row r="136" spans="1:11" ht="37.9" customHeight="1" x14ac:dyDescent="0.2">
      <c r="A136" s="92">
        <v>8</v>
      </c>
      <c r="B136" s="193" t="s">
        <v>112</v>
      </c>
      <c r="C136" s="194"/>
      <c r="D136" s="194"/>
      <c r="E136" s="194"/>
      <c r="F136" s="194"/>
      <c r="G136" s="194"/>
      <c r="H136" s="194"/>
      <c r="I136" s="194"/>
      <c r="J136" s="102">
        <f>+J152</f>
        <v>2877365</v>
      </c>
    </row>
    <row r="137" spans="1:11" ht="51" x14ac:dyDescent="0.2">
      <c r="A137" s="46" t="s">
        <v>1</v>
      </c>
      <c r="B137" s="47" t="s">
        <v>29</v>
      </c>
      <c r="C137" s="47" t="s">
        <v>30</v>
      </c>
      <c r="D137" s="47" t="s">
        <v>31</v>
      </c>
      <c r="E137" s="47" t="s">
        <v>6</v>
      </c>
      <c r="F137" s="47" t="s">
        <v>4</v>
      </c>
      <c r="G137" s="47" t="s">
        <v>5</v>
      </c>
      <c r="H137" s="47" t="s">
        <v>32</v>
      </c>
      <c r="I137" s="47" t="s">
        <v>37</v>
      </c>
      <c r="J137" s="47" t="s">
        <v>11</v>
      </c>
    </row>
    <row r="138" spans="1:11" x14ac:dyDescent="0.2">
      <c r="A138" s="99">
        <f>A136+0.01</f>
        <v>8.01</v>
      </c>
      <c r="B138" s="189" t="s">
        <v>33</v>
      </c>
      <c r="C138" s="190"/>
      <c r="D138" s="190"/>
      <c r="E138" s="190"/>
      <c r="F138" s="190"/>
      <c r="G138" s="190"/>
      <c r="H138" s="190"/>
      <c r="I138" s="190"/>
      <c r="J138" s="94">
        <f>+J139+J145+J148</f>
        <v>1717954</v>
      </c>
    </row>
    <row r="139" spans="1:11" x14ac:dyDescent="0.2">
      <c r="A139" s="195"/>
      <c r="B139" s="189" t="s">
        <v>34</v>
      </c>
      <c r="C139" s="190"/>
      <c r="D139" s="190"/>
      <c r="E139" s="190"/>
      <c r="F139" s="190"/>
      <c r="G139" s="190"/>
      <c r="H139" s="190"/>
      <c r="I139" s="197"/>
      <c r="J139" s="95">
        <f>SUM(J140:J144)</f>
        <v>1017954</v>
      </c>
    </row>
    <row r="140" spans="1:11" x14ac:dyDescent="0.2">
      <c r="A140" s="196"/>
      <c r="B140" s="48" t="s">
        <v>41</v>
      </c>
      <c r="C140" s="49" t="str">
        <f>+IFERROR((VLOOKUP(B140,MO!$A$9:$F$24,2,FALSE)),"")</f>
        <v>Profesional</v>
      </c>
      <c r="D140" s="49">
        <v>1</v>
      </c>
      <c r="E140" s="49">
        <v>1</v>
      </c>
      <c r="F140" s="49">
        <f>+IFERROR((VLOOKUP(B140,MO!$A$9:$F$24,4,FALSE)),"")</f>
        <v>9000000</v>
      </c>
      <c r="G140" s="49">
        <f>+IFERROR(F140/30,"")</f>
        <v>300000</v>
      </c>
      <c r="H140" s="50">
        <v>0.35</v>
      </c>
      <c r="I140" s="91">
        <f>IF(B140="","",FM!$D$8)</f>
        <v>2.0157500000000002</v>
      </c>
      <c r="J140" s="51">
        <f>+IFERROR((ROUND((D140*E140*G140*H140*I140),0)),"")</f>
        <v>211654</v>
      </c>
      <c r="K140" s="96"/>
    </row>
    <row r="141" spans="1:11" x14ac:dyDescent="0.2">
      <c r="A141" s="196"/>
      <c r="B141" s="48" t="s">
        <v>64</v>
      </c>
      <c r="C141" s="49" t="str">
        <f>+IFERROR((VLOOKUP(B141,MO!$A$9:$F$24,2,FALSE)),"")</f>
        <v>Profesional</v>
      </c>
      <c r="D141" s="49">
        <v>1</v>
      </c>
      <c r="E141" s="49">
        <v>2</v>
      </c>
      <c r="F141" s="49">
        <f>+IFERROR((VLOOKUP(B141,MO!$A$9:$F$24,4,FALSE)),"")</f>
        <v>6000000</v>
      </c>
      <c r="G141" s="49">
        <f>+IFERROR(F141/30,"")</f>
        <v>200000</v>
      </c>
      <c r="H141" s="50">
        <v>1</v>
      </c>
      <c r="I141" s="91">
        <f>IF(B141="","",FM!$D$8)</f>
        <v>2.0157500000000002</v>
      </c>
      <c r="J141" s="51">
        <f>+IFERROR((ROUND((D141*E141*G141*H141*I141),0)),"")</f>
        <v>806300</v>
      </c>
    </row>
    <row r="142" spans="1:11" x14ac:dyDescent="0.2">
      <c r="A142" s="196"/>
      <c r="B142" s="48"/>
      <c r="C142" s="49" t="str">
        <f>+IFERROR((VLOOKUP(B142,MO!$A$9:$F$24,2,FALSE)),"")</f>
        <v/>
      </c>
      <c r="D142" s="49"/>
      <c r="E142" s="49"/>
      <c r="F142" s="49" t="str">
        <f>+IFERROR((VLOOKUP(B142,MO!$A$9:$F$24,4,FALSE)),"")</f>
        <v/>
      </c>
      <c r="G142" s="49" t="str">
        <f>+IFERROR(F142/30,"")</f>
        <v/>
      </c>
      <c r="H142" s="50"/>
      <c r="I142" s="91" t="str">
        <f>IF(B142="","",FM!$D$8)</f>
        <v/>
      </c>
      <c r="J142" s="51" t="str">
        <f>+IFERROR((ROUND((D142*E142*G142*H142*I142),0)),"")</f>
        <v/>
      </c>
    </row>
    <row r="143" spans="1:11" x14ac:dyDescent="0.2">
      <c r="A143" s="196"/>
      <c r="B143" s="48"/>
      <c r="C143" s="49" t="str">
        <f>+IFERROR((VLOOKUP(B143,MO!$A$9:$F$24,2,FALSE)),"")</f>
        <v/>
      </c>
      <c r="D143" s="49"/>
      <c r="E143" s="49"/>
      <c r="F143" s="49" t="str">
        <f>+IFERROR((VLOOKUP(B143,MO!$A$9:$F$24,4,FALSE)),"")</f>
        <v/>
      </c>
      <c r="G143" s="49" t="str">
        <f>+IFERROR(F143/30,"")</f>
        <v/>
      </c>
      <c r="H143" s="50"/>
      <c r="I143" s="91" t="str">
        <f>IF(B143="","",FM!$D$8)</f>
        <v/>
      </c>
      <c r="J143" s="51" t="str">
        <f>+IFERROR((ROUND((D143*E143*G143*H143*I143),0)),"")</f>
        <v/>
      </c>
    </row>
    <row r="144" spans="1:11" x14ac:dyDescent="0.2">
      <c r="A144" s="196"/>
      <c r="B144" s="70"/>
      <c r="C144" s="71"/>
      <c r="D144" s="71"/>
      <c r="E144" s="71"/>
      <c r="F144" s="71"/>
      <c r="G144" s="71"/>
      <c r="H144" s="72"/>
      <c r="I144" s="103"/>
      <c r="J144" s="51"/>
    </row>
    <row r="145" spans="1:11" x14ac:dyDescent="0.2">
      <c r="A145" s="196"/>
      <c r="B145" s="189" t="s">
        <v>98</v>
      </c>
      <c r="C145" s="190"/>
      <c r="D145" s="190"/>
      <c r="E145" s="190"/>
      <c r="F145" s="190"/>
      <c r="G145" s="190"/>
      <c r="H145" s="190"/>
      <c r="I145" s="197"/>
      <c r="J145" s="95">
        <f>SUM(J146:J147)</f>
        <v>0</v>
      </c>
    </row>
    <row r="146" spans="1:11" x14ac:dyDescent="0.2">
      <c r="A146" s="196"/>
      <c r="B146" s="48"/>
      <c r="C146" s="49"/>
      <c r="D146" s="49"/>
      <c r="E146" s="49"/>
      <c r="F146" s="49"/>
      <c r="G146" s="49"/>
      <c r="H146" s="50"/>
      <c r="I146" s="91"/>
      <c r="J146" s="51">
        <f>+IFERROR((ROUND((D146*F146),0)),"")</f>
        <v>0</v>
      </c>
      <c r="K146" s="96"/>
    </row>
    <row r="147" spans="1:11" x14ac:dyDescent="0.2">
      <c r="A147" s="196"/>
      <c r="B147" s="48"/>
      <c r="C147" s="49"/>
      <c r="D147" s="49"/>
      <c r="E147" s="49"/>
      <c r="F147" s="49"/>
      <c r="G147" s="49"/>
      <c r="H147" s="50"/>
      <c r="I147" s="91"/>
      <c r="J147" s="51">
        <f>+IFERROR((ROUND((D147*F147),0)),"")</f>
        <v>0</v>
      </c>
    </row>
    <row r="148" spans="1:11" x14ac:dyDescent="0.2">
      <c r="A148" s="99">
        <f>+A138+0.01</f>
        <v>8.02</v>
      </c>
      <c r="B148" s="189" t="s">
        <v>36</v>
      </c>
      <c r="C148" s="190"/>
      <c r="D148" s="190"/>
      <c r="E148" s="190"/>
      <c r="F148" s="190"/>
      <c r="G148" s="190"/>
      <c r="H148" s="190"/>
      <c r="I148" s="190"/>
      <c r="J148" s="94">
        <f>SUM(J149:J150)</f>
        <v>700000</v>
      </c>
    </row>
    <row r="149" spans="1:11" ht="25.5" x14ac:dyDescent="0.2">
      <c r="A149" s="191"/>
      <c r="B149" s="56" t="s">
        <v>39</v>
      </c>
      <c r="C149" s="49" t="s">
        <v>87</v>
      </c>
      <c r="D149" s="49">
        <v>1</v>
      </c>
      <c r="E149" s="49"/>
      <c r="F149" s="49"/>
      <c r="G149" s="49">
        <v>100000</v>
      </c>
      <c r="H149" s="50"/>
      <c r="I149" s="50"/>
      <c r="J149" s="51">
        <f>+D149*G149</f>
        <v>100000</v>
      </c>
    </row>
    <row r="150" spans="1:11" ht="25.5" x14ac:dyDescent="0.2">
      <c r="A150" s="192"/>
      <c r="B150" s="110" t="s">
        <v>111</v>
      </c>
      <c r="C150" s="49" t="s">
        <v>87</v>
      </c>
      <c r="D150" s="49">
        <v>1</v>
      </c>
      <c r="E150" s="97"/>
      <c r="F150" s="97"/>
      <c r="G150" s="49">
        <v>600000</v>
      </c>
      <c r="H150" s="97"/>
      <c r="I150" s="50"/>
      <c r="J150" s="51">
        <f>+D150*G150</f>
        <v>600000</v>
      </c>
    </row>
    <row r="151" spans="1:11" x14ac:dyDescent="0.2">
      <c r="A151" s="188" t="s">
        <v>94</v>
      </c>
      <c r="B151" s="188"/>
      <c r="C151" s="188"/>
      <c r="D151" s="188"/>
      <c r="E151" s="188"/>
      <c r="F151" s="188"/>
      <c r="G151" s="188"/>
      <c r="H151" s="188"/>
      <c r="I151" s="188"/>
      <c r="J151" s="98">
        <f>ROUND(((J138+J148)*0.19),0)</f>
        <v>459411</v>
      </c>
    </row>
    <row r="152" spans="1:11" x14ac:dyDescent="0.2">
      <c r="A152" s="188" t="s">
        <v>109</v>
      </c>
      <c r="B152" s="188"/>
      <c r="C152" s="188"/>
      <c r="D152" s="188"/>
      <c r="E152" s="188"/>
      <c r="F152" s="188"/>
      <c r="G152" s="188"/>
      <c r="H152" s="188"/>
      <c r="I152" s="188"/>
      <c r="J152" s="98">
        <f>+J138+J148+J151</f>
        <v>2877365</v>
      </c>
    </row>
    <row r="155" spans="1:11" x14ac:dyDescent="0.2">
      <c r="B155" s="201"/>
      <c r="C155" s="201"/>
      <c r="D155" s="201"/>
      <c r="E155" s="201"/>
    </row>
    <row r="156" spans="1:11" x14ac:dyDescent="0.2">
      <c r="B156" s="202"/>
      <c r="C156" s="202"/>
      <c r="D156" s="202"/>
      <c r="E156" s="202"/>
    </row>
    <row r="157" spans="1:11" x14ac:dyDescent="0.2">
      <c r="B157" s="202"/>
      <c r="C157" s="202"/>
      <c r="D157" s="202"/>
      <c r="E157" s="202"/>
    </row>
    <row r="158" spans="1:11" x14ac:dyDescent="0.2">
      <c r="B158" s="201"/>
      <c r="C158" s="201"/>
      <c r="D158" s="201"/>
      <c r="E158" s="201"/>
    </row>
  </sheetData>
  <dataConsolidate/>
  <mergeCells count="79">
    <mergeCell ref="B155:E155"/>
    <mergeCell ref="B156:E156"/>
    <mergeCell ref="B158:E158"/>
    <mergeCell ref="A7:A17"/>
    <mergeCell ref="A19:A20"/>
    <mergeCell ref="A22:I22"/>
    <mergeCell ref="B157:E157"/>
    <mergeCell ref="A21:I21"/>
    <mergeCell ref="B24:I24"/>
    <mergeCell ref="A60:A61"/>
    <mergeCell ref="A63:I63"/>
    <mergeCell ref="B26:I26"/>
    <mergeCell ref="A27:A41"/>
    <mergeCell ref="B27:I27"/>
    <mergeCell ref="B42:I42"/>
    <mergeCell ref="A43:A44"/>
    <mergeCell ref="B6:I6"/>
    <mergeCell ref="A1:J1"/>
    <mergeCell ref="A2:J2"/>
    <mergeCell ref="B7:I7"/>
    <mergeCell ref="B18:I18"/>
    <mergeCell ref="B13:I13"/>
    <mergeCell ref="B4:I4"/>
    <mergeCell ref="B3:I3"/>
    <mergeCell ref="B59:I59"/>
    <mergeCell ref="A45:I45"/>
    <mergeCell ref="A46:I46"/>
    <mergeCell ref="B31:I31"/>
    <mergeCell ref="B48:I48"/>
    <mergeCell ref="B50:I50"/>
    <mergeCell ref="A51:A58"/>
    <mergeCell ref="B51:I51"/>
    <mergeCell ref="B56:I56"/>
    <mergeCell ref="A62:I62"/>
    <mergeCell ref="A86:A93"/>
    <mergeCell ref="B86:I86"/>
    <mergeCell ref="B91:I91"/>
    <mergeCell ref="B65:I65"/>
    <mergeCell ref="B67:I67"/>
    <mergeCell ref="A68:A76"/>
    <mergeCell ref="B68:I68"/>
    <mergeCell ref="B74:I74"/>
    <mergeCell ref="B77:I77"/>
    <mergeCell ref="A78:A79"/>
    <mergeCell ref="A80:I80"/>
    <mergeCell ref="A81:I81"/>
    <mergeCell ref="B83:I83"/>
    <mergeCell ref="B85:I85"/>
    <mergeCell ref="A115:I115"/>
    <mergeCell ref="B94:I94"/>
    <mergeCell ref="A95:A96"/>
    <mergeCell ref="A97:I97"/>
    <mergeCell ref="A98:I98"/>
    <mergeCell ref="B100:I100"/>
    <mergeCell ref="B102:I102"/>
    <mergeCell ref="A103:A111"/>
    <mergeCell ref="B103:I103"/>
    <mergeCell ref="B109:I109"/>
    <mergeCell ref="B112:I112"/>
    <mergeCell ref="A113:A114"/>
    <mergeCell ref="A116:I116"/>
    <mergeCell ref="B118:I118"/>
    <mergeCell ref="B120:I120"/>
    <mergeCell ref="A121:A129"/>
    <mergeCell ref="B121:I121"/>
    <mergeCell ref="B127:I127"/>
    <mergeCell ref="A152:I152"/>
    <mergeCell ref="A151:I151"/>
    <mergeCell ref="B130:I130"/>
    <mergeCell ref="A131:A132"/>
    <mergeCell ref="A133:I133"/>
    <mergeCell ref="A134:I134"/>
    <mergeCell ref="B136:I136"/>
    <mergeCell ref="B138:I138"/>
    <mergeCell ref="A139:A147"/>
    <mergeCell ref="B139:I139"/>
    <mergeCell ref="B145:I145"/>
    <mergeCell ref="B148:I148"/>
    <mergeCell ref="A149:A150"/>
  </mergeCells>
  <printOptions horizontalCentered="1"/>
  <pageMargins left="0.69930555555555551" right="0.69930555555555551" top="0.75" bottom="0.75" header="0.3" footer="0.3"/>
  <pageSetup scale="79" orientation="landscape" r:id="rId1"/>
  <headerFooter alignWithMargins="0"/>
  <rowBreaks count="5" manualBreakCount="5">
    <brk id="23" max="9" man="1"/>
    <brk id="47" max="9" man="1"/>
    <brk id="82" max="9" man="1"/>
    <brk id="117" max="9" man="1"/>
    <brk id="135" max="9" man="1"/>
  </rowBreaks>
  <ignoredErrors>
    <ignoredError sqref="J16 J34"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56"/>
  <sheetViews>
    <sheetView view="pageBreakPreview" topLeftCell="A22" zoomScaleNormal="110" zoomScaleSheetLayoutView="100" workbookViewId="0">
      <selection activeCell="B41" sqref="B41:C41"/>
    </sheetView>
  </sheetViews>
  <sheetFormatPr baseColWidth="10" defaultColWidth="11.42578125" defaultRowHeight="12.75" x14ac:dyDescent="0.2"/>
  <cols>
    <col min="1" max="1" width="9.7109375" style="41" customWidth="1"/>
    <col min="2" max="2" width="49.85546875" style="30" customWidth="1"/>
    <col min="3" max="3" width="4.7109375" style="30" bestFit="1" customWidth="1"/>
    <col min="4" max="4" width="20.140625" style="30" bestFit="1" customWidth="1"/>
    <col min="5" max="16384" width="11.42578125" style="30"/>
  </cols>
  <sheetData>
    <row r="1" spans="1:7" x14ac:dyDescent="0.2">
      <c r="A1" s="216"/>
      <c r="B1" s="216"/>
      <c r="C1" s="216"/>
      <c r="D1" s="216"/>
      <c r="E1" s="29"/>
    </row>
    <row r="2" spans="1:7" x14ac:dyDescent="0.2">
      <c r="A2" s="216"/>
      <c r="B2" s="216"/>
      <c r="C2" s="216"/>
      <c r="D2" s="216"/>
      <c r="E2" s="29"/>
      <c r="F2" s="29"/>
    </row>
    <row r="3" spans="1:7" ht="36.6" customHeight="1" x14ac:dyDescent="0.2">
      <c r="A3" s="217" t="str">
        <f>+PRESUPUESTO!D3</f>
        <v>Elaboración de estudios y diseños para el Mejoramiento de la Red Vial Terciaria en el Municipio de Dabeiba, Departamento de Antioquia.</v>
      </c>
      <c r="B3" s="217"/>
      <c r="C3" s="217"/>
      <c r="D3" s="217"/>
      <c r="E3" s="31"/>
      <c r="F3" s="31"/>
    </row>
    <row r="4" spans="1:7" ht="22.5" customHeight="1" x14ac:dyDescent="0.2">
      <c r="A4" s="217"/>
      <c r="B4" s="217"/>
      <c r="C4" s="217"/>
      <c r="D4" s="217"/>
      <c r="E4" s="31"/>
    </row>
    <row r="5" spans="1:7" ht="12.75" customHeight="1" x14ac:dyDescent="0.2">
      <c r="A5" s="218" t="s">
        <v>72</v>
      </c>
      <c r="B5" s="218"/>
      <c r="C5" s="218"/>
      <c r="D5" s="218"/>
      <c r="E5" s="32"/>
    </row>
    <row r="7" spans="1:7" x14ac:dyDescent="0.2">
      <c r="A7" s="33" t="s">
        <v>1</v>
      </c>
      <c r="B7" s="34" t="s">
        <v>12</v>
      </c>
      <c r="C7" s="34"/>
      <c r="D7" s="34" t="s">
        <v>13</v>
      </c>
    </row>
    <row r="8" spans="1:7" x14ac:dyDescent="0.2">
      <c r="A8" s="34"/>
      <c r="B8" s="35" t="s">
        <v>45</v>
      </c>
      <c r="C8" s="35"/>
      <c r="D8" s="36">
        <f>D10+D13+D27+D33+D41</f>
        <v>2.0157500000000002</v>
      </c>
    </row>
    <row r="9" spans="1:7" x14ac:dyDescent="0.2">
      <c r="A9" s="34"/>
      <c r="B9" s="35"/>
      <c r="C9" s="35"/>
      <c r="D9" s="36"/>
    </row>
    <row r="10" spans="1:7" x14ac:dyDescent="0.2">
      <c r="A10" s="44">
        <v>1</v>
      </c>
      <c r="B10" s="211" t="s">
        <v>73</v>
      </c>
      <c r="C10" s="205"/>
      <c r="D10" s="45">
        <f>+SUM(D11:D11)</f>
        <v>1</v>
      </c>
    </row>
    <row r="11" spans="1:7" x14ac:dyDescent="0.2">
      <c r="A11" s="34">
        <v>1.01</v>
      </c>
      <c r="B11" s="204" t="s">
        <v>38</v>
      </c>
      <c r="C11" s="219"/>
      <c r="D11" s="36">
        <v>1</v>
      </c>
    </row>
    <row r="12" spans="1:7" x14ac:dyDescent="0.2">
      <c r="A12" s="34"/>
      <c r="B12" s="204"/>
      <c r="C12" s="205"/>
      <c r="D12" s="36"/>
    </row>
    <row r="13" spans="1:7" x14ac:dyDescent="0.2">
      <c r="A13" s="44">
        <v>2</v>
      </c>
      <c r="B13" s="211" t="s">
        <v>14</v>
      </c>
      <c r="C13" s="205"/>
      <c r="D13" s="45">
        <f>SUM(D14:D26)</f>
        <v>0.61240000000000006</v>
      </c>
    </row>
    <row r="14" spans="1:7" x14ac:dyDescent="0.2">
      <c r="A14" s="33">
        <v>2.0099999999999998</v>
      </c>
      <c r="B14" s="206" t="s">
        <v>15</v>
      </c>
      <c r="C14" s="205"/>
      <c r="D14" s="37">
        <v>8.3299999999999999E-2</v>
      </c>
    </row>
    <row r="15" spans="1:7" x14ac:dyDescent="0.2">
      <c r="A15" s="33">
        <v>2.02</v>
      </c>
      <c r="B15" s="206" t="s">
        <v>16</v>
      </c>
      <c r="C15" s="205"/>
      <c r="D15" s="37">
        <v>4.1700000000000001E-2</v>
      </c>
    </row>
    <row r="16" spans="1:7" x14ac:dyDescent="0.2">
      <c r="A16" s="33">
        <v>2.0299999999999998</v>
      </c>
      <c r="B16" s="206" t="s">
        <v>17</v>
      </c>
      <c r="C16" s="205"/>
      <c r="D16" s="37">
        <v>8.5000000000000006E-2</v>
      </c>
      <c r="G16" s="38"/>
    </row>
    <row r="17" spans="1:7" x14ac:dyDescent="0.2">
      <c r="A17" s="33">
        <v>2.04</v>
      </c>
      <c r="B17" s="206" t="s">
        <v>18</v>
      </c>
      <c r="C17" s="205"/>
      <c r="D17" s="37">
        <v>0.12</v>
      </c>
      <c r="G17" s="38"/>
    </row>
    <row r="18" spans="1:7" x14ac:dyDescent="0.2">
      <c r="A18" s="33">
        <v>2.0499999999999998</v>
      </c>
      <c r="B18" s="206" t="s">
        <v>19</v>
      </c>
      <c r="C18" s="205"/>
      <c r="D18" s="37">
        <v>6.9599999999999995E-2</v>
      </c>
    </row>
    <row r="19" spans="1:7" x14ac:dyDescent="0.2">
      <c r="A19" s="33">
        <v>2.06</v>
      </c>
      <c r="B19" s="206" t="s">
        <v>20</v>
      </c>
      <c r="C19" s="205"/>
      <c r="D19" s="39">
        <v>0.04</v>
      </c>
    </row>
    <row r="20" spans="1:7" x14ac:dyDescent="0.2">
      <c r="A20" s="33">
        <v>2.0699999999999998</v>
      </c>
      <c r="B20" s="206" t="s">
        <v>21</v>
      </c>
      <c r="C20" s="205"/>
      <c r="D20" s="37">
        <v>8.3299999999999999E-2</v>
      </c>
    </row>
    <row r="21" spans="1:7" x14ac:dyDescent="0.2">
      <c r="A21" s="33">
        <v>2.08</v>
      </c>
      <c r="B21" s="206" t="s">
        <v>22</v>
      </c>
      <c r="C21" s="205"/>
      <c r="D21" s="37">
        <v>0.01</v>
      </c>
    </row>
    <row r="22" spans="1:7" x14ac:dyDescent="0.2">
      <c r="A22" s="33">
        <v>2.09</v>
      </c>
      <c r="B22" s="206" t="s">
        <v>46</v>
      </c>
      <c r="C22" s="205"/>
      <c r="D22" s="37">
        <v>0.03</v>
      </c>
    </row>
    <row r="23" spans="1:7" x14ac:dyDescent="0.2">
      <c r="A23" s="33">
        <v>2.1</v>
      </c>
      <c r="B23" s="206" t="s">
        <v>82</v>
      </c>
      <c r="C23" s="205"/>
      <c r="D23" s="37">
        <v>0.02</v>
      </c>
    </row>
    <row r="24" spans="1:7" x14ac:dyDescent="0.2">
      <c r="A24" s="33">
        <v>2.11</v>
      </c>
      <c r="B24" s="206" t="s">
        <v>83</v>
      </c>
      <c r="C24" s="205"/>
      <c r="D24" s="37">
        <v>0.01</v>
      </c>
    </row>
    <row r="25" spans="1:7" x14ac:dyDescent="0.2">
      <c r="A25" s="33">
        <v>2.12</v>
      </c>
      <c r="B25" s="206" t="s">
        <v>74</v>
      </c>
      <c r="C25" s="205"/>
      <c r="D25" s="37">
        <v>1.4999999999999999E-2</v>
      </c>
    </row>
    <row r="26" spans="1:7" x14ac:dyDescent="0.2">
      <c r="A26" s="33">
        <v>2.13</v>
      </c>
      <c r="B26" s="206" t="s">
        <v>84</v>
      </c>
      <c r="C26" s="205"/>
      <c r="D26" s="37">
        <v>4.4999999999999997E-3</v>
      </c>
    </row>
    <row r="27" spans="1:7" x14ac:dyDescent="0.2">
      <c r="A27" s="44">
        <v>2</v>
      </c>
      <c r="B27" s="211" t="s">
        <v>40</v>
      </c>
      <c r="C27" s="205"/>
      <c r="D27" s="45">
        <f>SUM(D28:D29)</f>
        <v>1.01E-2</v>
      </c>
    </row>
    <row r="28" spans="1:7" ht="24.6" customHeight="1" x14ac:dyDescent="0.2">
      <c r="A28" s="76">
        <v>2.0099999999999998</v>
      </c>
      <c r="B28" s="212" t="s">
        <v>67</v>
      </c>
      <c r="C28" s="213"/>
      <c r="D28" s="75">
        <v>7.7999999999999996E-3</v>
      </c>
    </row>
    <row r="29" spans="1:7" x14ac:dyDescent="0.2">
      <c r="A29" s="76">
        <v>2.02</v>
      </c>
      <c r="B29" s="212" t="s">
        <v>68</v>
      </c>
      <c r="C29" s="213"/>
      <c r="D29" s="75">
        <v>2.3E-3</v>
      </c>
    </row>
    <row r="30" spans="1:7" x14ac:dyDescent="0.2">
      <c r="A30" s="76">
        <v>2.0299999999999998</v>
      </c>
      <c r="B30" s="212" t="s">
        <v>69</v>
      </c>
      <c r="C30" s="213"/>
      <c r="D30" s="75">
        <v>6.1999999999999998E-3</v>
      </c>
    </row>
    <row r="31" spans="1:7" x14ac:dyDescent="0.2">
      <c r="A31" s="76">
        <v>2.04</v>
      </c>
      <c r="B31" s="212" t="s">
        <v>70</v>
      </c>
      <c r="C31" s="213"/>
      <c r="D31" s="75">
        <v>1.14E-2</v>
      </c>
    </row>
    <row r="32" spans="1:7" x14ac:dyDescent="0.2">
      <c r="A32" s="76">
        <v>2.0499999999999998</v>
      </c>
      <c r="B32" s="212" t="s">
        <v>71</v>
      </c>
      <c r="C32" s="213"/>
      <c r="D32" s="75">
        <v>1.1900000000000001E-2</v>
      </c>
    </row>
    <row r="33" spans="1:4" x14ac:dyDescent="0.2">
      <c r="A33" s="44">
        <v>3</v>
      </c>
      <c r="B33" s="211" t="s">
        <v>75</v>
      </c>
      <c r="C33" s="205"/>
      <c r="D33" s="45">
        <f>+SUM(D34:D40)</f>
        <v>0.20999999999999996</v>
      </c>
    </row>
    <row r="34" spans="1:4" x14ac:dyDescent="0.2">
      <c r="A34" s="33">
        <v>3.01</v>
      </c>
      <c r="B34" s="206" t="s">
        <v>76</v>
      </c>
      <c r="C34" s="205"/>
      <c r="D34" s="75">
        <v>0.02</v>
      </c>
    </row>
    <row r="35" spans="1:4" x14ac:dyDescent="0.2">
      <c r="A35" s="33">
        <v>3.02</v>
      </c>
      <c r="B35" s="206" t="s">
        <v>77</v>
      </c>
      <c r="C35" s="205"/>
      <c r="D35" s="75">
        <v>0.04</v>
      </c>
    </row>
    <row r="36" spans="1:4" x14ac:dyDescent="0.2">
      <c r="A36" s="33">
        <v>3.03</v>
      </c>
      <c r="B36" s="206" t="s">
        <v>78</v>
      </c>
      <c r="C36" s="205"/>
      <c r="D36" s="75">
        <v>0.01</v>
      </c>
    </row>
    <row r="37" spans="1:4" x14ac:dyDescent="0.2">
      <c r="A37" s="33">
        <v>3.04</v>
      </c>
      <c r="B37" s="206" t="s">
        <v>79</v>
      </c>
      <c r="C37" s="205"/>
      <c r="D37" s="75">
        <v>0.01</v>
      </c>
    </row>
    <row r="38" spans="1:4" x14ac:dyDescent="0.2">
      <c r="A38" s="33">
        <v>3.05</v>
      </c>
      <c r="B38" s="121" t="s">
        <v>120</v>
      </c>
      <c r="C38" s="120"/>
      <c r="D38" s="75">
        <v>0.01</v>
      </c>
    </row>
    <row r="39" spans="1:4" x14ac:dyDescent="0.2">
      <c r="A39" s="33">
        <v>3.06</v>
      </c>
      <c r="B39" s="206" t="s">
        <v>80</v>
      </c>
      <c r="C39" s="205"/>
      <c r="D39" s="75">
        <v>0.01</v>
      </c>
    </row>
    <row r="40" spans="1:4" x14ac:dyDescent="0.2">
      <c r="A40" s="33">
        <v>3.07</v>
      </c>
      <c r="B40" s="206" t="s">
        <v>90</v>
      </c>
      <c r="C40" s="207"/>
      <c r="D40" s="75">
        <v>0.11</v>
      </c>
    </row>
    <row r="41" spans="1:4" x14ac:dyDescent="0.2">
      <c r="A41" s="44">
        <v>4</v>
      </c>
      <c r="B41" s="211" t="s">
        <v>23</v>
      </c>
      <c r="C41" s="205"/>
      <c r="D41" s="45">
        <f>+SUM(D42)</f>
        <v>0.18325000000000002</v>
      </c>
    </row>
    <row r="42" spans="1:4" x14ac:dyDescent="0.2">
      <c r="A42" s="33">
        <v>4.01</v>
      </c>
      <c r="B42" s="77" t="s">
        <v>81</v>
      </c>
      <c r="C42" s="40">
        <v>0.1</v>
      </c>
      <c r="D42" s="75">
        <f>+C42*(D33+D27+D13+D10)</f>
        <v>0.18325000000000002</v>
      </c>
    </row>
    <row r="43" spans="1:4" x14ac:dyDescent="0.2">
      <c r="C43" s="78"/>
      <c r="D43" s="42"/>
    </row>
    <row r="44" spans="1:4" x14ac:dyDescent="0.2">
      <c r="B44" s="204" t="s">
        <v>24</v>
      </c>
      <c r="C44" s="205"/>
      <c r="D44" s="43">
        <f>D10+D27+D41+D33+D13</f>
        <v>2.0157500000000002</v>
      </c>
    </row>
    <row r="45" spans="1:4" x14ac:dyDescent="0.2">
      <c r="A45" s="30"/>
    </row>
    <row r="46" spans="1:4" ht="38.450000000000003" customHeight="1" x14ac:dyDescent="0.2"/>
    <row r="47" spans="1:4" x14ac:dyDescent="0.2">
      <c r="A47" s="208"/>
      <c r="B47" s="209"/>
    </row>
    <row r="48" spans="1:4" x14ac:dyDescent="0.2">
      <c r="A48" s="210"/>
      <c r="B48" s="209"/>
    </row>
    <row r="49" spans="1:5" x14ac:dyDescent="0.2">
      <c r="A49" s="208"/>
      <c r="B49" s="209"/>
    </row>
    <row r="50" spans="1:5" ht="15.75" x14ac:dyDescent="0.2">
      <c r="A50" s="79"/>
    </row>
    <row r="51" spans="1:5" x14ac:dyDescent="0.2">
      <c r="A51" s="30"/>
    </row>
    <row r="53" spans="1:5" x14ac:dyDescent="0.2">
      <c r="B53" s="215"/>
      <c r="C53" s="215"/>
      <c r="D53" s="215"/>
      <c r="E53" s="215"/>
    </row>
    <row r="54" spans="1:5" x14ac:dyDescent="0.2">
      <c r="B54" s="214"/>
      <c r="C54" s="214"/>
      <c r="D54" s="214"/>
      <c r="E54" s="214"/>
    </row>
    <row r="55" spans="1:5" x14ac:dyDescent="0.2">
      <c r="B55" s="52"/>
      <c r="C55" s="52"/>
      <c r="D55" s="52"/>
      <c r="E55" s="52"/>
    </row>
    <row r="56" spans="1:5" x14ac:dyDescent="0.2">
      <c r="B56" s="215"/>
      <c r="C56" s="215"/>
      <c r="D56" s="215"/>
      <c r="E56" s="215"/>
    </row>
  </sheetData>
  <dataConsolidate/>
  <mergeCells count="43">
    <mergeCell ref="B12:C12"/>
    <mergeCell ref="B54:E54"/>
    <mergeCell ref="B56:E56"/>
    <mergeCell ref="A1:D1"/>
    <mergeCell ref="A3:D3"/>
    <mergeCell ref="A2:D2"/>
    <mergeCell ref="A4:D4"/>
    <mergeCell ref="A5:D5"/>
    <mergeCell ref="B53:E53"/>
    <mergeCell ref="B11:C11"/>
    <mergeCell ref="B10:C10"/>
    <mergeCell ref="B23:C23"/>
    <mergeCell ref="B13:C13"/>
    <mergeCell ref="B14:C14"/>
    <mergeCell ref="B15:C15"/>
    <mergeCell ref="B16:C16"/>
    <mergeCell ref="B17:C17"/>
    <mergeCell ref="B18:C18"/>
    <mergeCell ref="B19:C19"/>
    <mergeCell ref="B20:C20"/>
    <mergeCell ref="B21:C21"/>
    <mergeCell ref="B22:C22"/>
    <mergeCell ref="B27:C27"/>
    <mergeCell ref="B33:C33"/>
    <mergeCell ref="B34:C34"/>
    <mergeCell ref="B35:C35"/>
    <mergeCell ref="B24:C24"/>
    <mergeCell ref="B25:C25"/>
    <mergeCell ref="B26:C26"/>
    <mergeCell ref="B28:C28"/>
    <mergeCell ref="B29:C29"/>
    <mergeCell ref="B30:C30"/>
    <mergeCell ref="B36:C36"/>
    <mergeCell ref="B37:C37"/>
    <mergeCell ref="B39:C39"/>
    <mergeCell ref="B41:C41"/>
    <mergeCell ref="B31:C31"/>
    <mergeCell ref="B32:C32"/>
    <mergeCell ref="B44:C44"/>
    <mergeCell ref="B40:C40"/>
    <mergeCell ref="A47:B47"/>
    <mergeCell ref="A48:B48"/>
    <mergeCell ref="A49:B49"/>
  </mergeCells>
  <pageMargins left="0.78740157480314965" right="0.78740157480314965" top="0.9055118110236221" bottom="0.78740157480314965" header="0" footer="0"/>
  <pageSetup scale="99" orientation="portrait" r:id="rId1"/>
  <headerFooter alignWithMargins="0"/>
  <ignoredErrors>
    <ignoredError sqref="D27"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44FA9-E2B1-49EA-BD82-1EF500434A59}">
  <dimension ref="A1:G22"/>
  <sheetViews>
    <sheetView view="pageBreakPreview" zoomScale="91" zoomScaleNormal="100" zoomScaleSheetLayoutView="91" workbookViewId="0">
      <selection activeCell="B48" sqref="B48"/>
    </sheetView>
  </sheetViews>
  <sheetFormatPr baseColWidth="10" defaultRowHeight="12.75" x14ac:dyDescent="0.2"/>
  <cols>
    <col min="1" max="1" width="23" customWidth="1"/>
    <col min="2" max="2" width="36" customWidth="1"/>
    <col min="3" max="3" width="19.140625" customWidth="1"/>
    <col min="4" max="4" width="17.140625" customWidth="1"/>
  </cols>
  <sheetData>
    <row r="1" spans="1:7" ht="18.75" x14ac:dyDescent="0.2">
      <c r="A1" s="221" t="s">
        <v>135</v>
      </c>
      <c r="B1" s="222"/>
      <c r="C1" s="222"/>
      <c r="D1" s="222"/>
      <c r="E1" s="222"/>
      <c r="F1" s="223" t="s">
        <v>136</v>
      </c>
      <c r="G1" s="224"/>
    </row>
    <row r="2" spans="1:7" ht="15.75" x14ac:dyDescent="0.2">
      <c r="A2" s="227" t="s">
        <v>162</v>
      </c>
      <c r="B2" s="228"/>
      <c r="C2" s="228"/>
      <c r="D2" s="228"/>
      <c r="E2" s="228"/>
      <c r="F2" s="225"/>
      <c r="G2" s="226"/>
    </row>
    <row r="3" spans="1:7" ht="15" x14ac:dyDescent="0.2">
      <c r="A3" s="229" t="str">
        <f>PRESUPUESTO!D3</f>
        <v>Elaboración de estudios y diseños para el Mejoramiento de la Red Vial Terciaria en el Municipio de Dabeiba, Departamento de Antioquia.</v>
      </c>
      <c r="B3" s="230"/>
      <c r="C3" s="230"/>
      <c r="D3" s="230"/>
      <c r="E3" s="230"/>
      <c r="F3" s="231" t="s">
        <v>137</v>
      </c>
      <c r="G3" s="231"/>
    </row>
    <row r="4" spans="1:7" x14ac:dyDescent="0.2">
      <c r="A4" s="123"/>
      <c r="B4" s="123"/>
      <c r="C4" s="123"/>
      <c r="D4" s="123"/>
      <c r="E4" s="123"/>
      <c r="F4" s="123"/>
      <c r="G4" s="123"/>
    </row>
    <row r="5" spans="1:7" x14ac:dyDescent="0.2">
      <c r="A5" s="220" t="s">
        <v>138</v>
      </c>
      <c r="B5" s="220"/>
      <c r="C5" s="220"/>
      <c r="D5" s="220"/>
      <c r="E5" s="220"/>
      <c r="F5" s="220"/>
      <c r="G5" s="220"/>
    </row>
    <row r="6" spans="1:7" x14ac:dyDescent="0.2">
      <c r="A6" s="124"/>
      <c r="B6" s="124"/>
      <c r="C6" s="124"/>
      <c r="D6" s="124"/>
      <c r="E6" s="125"/>
      <c r="F6" s="125"/>
      <c r="G6" s="126"/>
    </row>
    <row r="7" spans="1:7" x14ac:dyDescent="0.2">
      <c r="A7" s="127" t="s">
        <v>139</v>
      </c>
      <c r="B7" s="128">
        <f>PRESUPUESTO!H17</f>
        <v>318076008.81754655</v>
      </c>
      <c r="C7" s="232">
        <f>+IFERROR(B7/'[1]DATOS INICIALES'!$B$14,"")</f>
        <v>223.44644103796736</v>
      </c>
      <c r="D7" s="233"/>
      <c r="E7" s="125"/>
      <c r="F7" s="125"/>
      <c r="G7" s="126"/>
    </row>
    <row r="8" spans="1:7" ht="15" x14ac:dyDescent="0.2">
      <c r="A8" s="127" t="s">
        <v>140</v>
      </c>
      <c r="B8" s="129">
        <f>IF('[1]DATOS INICIALES'!$B$21="","",'[1]DATOS INICIALES'!$B$21)</f>
        <v>4</v>
      </c>
      <c r="C8" s="234">
        <f>+IFERROR(B8*30,"")</f>
        <v>120</v>
      </c>
      <c r="D8" s="234"/>
      <c r="E8" s="125"/>
      <c r="F8" s="125"/>
      <c r="G8" s="126"/>
    </row>
    <row r="9" spans="1:7" x14ac:dyDescent="0.2">
      <c r="A9" s="127" t="s">
        <v>141</v>
      </c>
      <c r="B9" s="130">
        <v>0</v>
      </c>
      <c r="C9" s="235">
        <f>+IFERROR(B9*B7,"")</f>
        <v>0</v>
      </c>
      <c r="D9" s="235"/>
      <c r="E9" s="125"/>
      <c r="F9" s="125"/>
      <c r="G9" s="126"/>
    </row>
    <row r="10" spans="1:7" x14ac:dyDescent="0.2">
      <c r="A10" s="131"/>
      <c r="B10" s="132"/>
      <c r="C10" s="132"/>
      <c r="D10" s="124"/>
      <c r="E10" s="125"/>
      <c r="F10" s="125"/>
      <c r="G10" s="126"/>
    </row>
    <row r="11" spans="1:7" x14ac:dyDescent="0.2">
      <c r="A11" s="236" t="s">
        <v>142</v>
      </c>
      <c r="B11" s="236" t="s">
        <v>143</v>
      </c>
      <c r="C11" s="236"/>
      <c r="D11" s="236"/>
      <c r="E11" s="236" t="s">
        <v>144</v>
      </c>
      <c r="F11" s="236" t="s">
        <v>145</v>
      </c>
      <c r="G11" s="238" t="s">
        <v>146</v>
      </c>
    </row>
    <row r="12" spans="1:7" x14ac:dyDescent="0.2">
      <c r="A12" s="236"/>
      <c r="B12" s="133" t="s">
        <v>13</v>
      </c>
      <c r="C12" s="133" t="s">
        <v>147</v>
      </c>
      <c r="D12" s="133" t="s">
        <v>148</v>
      </c>
      <c r="E12" s="243"/>
      <c r="F12" s="236"/>
      <c r="G12" s="238"/>
    </row>
    <row r="13" spans="1:7" x14ac:dyDescent="0.2">
      <c r="A13" s="134" t="s">
        <v>149</v>
      </c>
      <c r="B13" s="135">
        <v>0.2</v>
      </c>
      <c r="C13" s="128">
        <f>+$B$7</f>
        <v>318076008.81754655</v>
      </c>
      <c r="D13" s="128">
        <f>+IFERROR(B13*C13,"")</f>
        <v>63615201.763509311</v>
      </c>
      <c r="E13" s="136">
        <f>+IFERROR($C$8+180,"")</f>
        <v>300</v>
      </c>
      <c r="F13" s="137">
        <v>3.0000000000000001E-3</v>
      </c>
      <c r="G13" s="138">
        <f>+IFERROR(F13*D13*E13/360,"")</f>
        <v>159038.0044087733</v>
      </c>
    </row>
    <row r="14" spans="1:7" ht="25.5" x14ac:dyDescent="0.2">
      <c r="A14" s="134" t="s">
        <v>150</v>
      </c>
      <c r="B14" s="135"/>
      <c r="C14" s="128">
        <f>+$C$9</f>
        <v>0</v>
      </c>
      <c r="D14" s="128">
        <f>+IFERROR(B14*C14,"")</f>
        <v>0</v>
      </c>
      <c r="E14" s="136">
        <f>+IFERROR($C$8+180,"")</f>
        <v>300</v>
      </c>
      <c r="F14" s="137">
        <v>3.0000000000000001E-3</v>
      </c>
      <c r="G14" s="138">
        <f>+IFERROR(F14*D14*E14/360,"")</f>
        <v>0</v>
      </c>
    </row>
    <row r="15" spans="1:7" ht="25.5" x14ac:dyDescent="0.2">
      <c r="A15" s="134" t="s">
        <v>151</v>
      </c>
      <c r="B15" s="135">
        <v>0.2</v>
      </c>
      <c r="C15" s="128">
        <f>+$B$7</f>
        <v>318076008.81754655</v>
      </c>
      <c r="D15" s="128">
        <f>+IFERROR(B15*C15,"")</f>
        <v>63615201.763509311</v>
      </c>
      <c r="E15" s="136">
        <f>+IFERROR($C$8+1080,"")</f>
        <v>1200</v>
      </c>
      <c r="F15" s="137">
        <v>2.5000000000000001E-3</v>
      </c>
      <c r="G15" s="138">
        <f>+IFERROR(F15*D15*E15/360,"")</f>
        <v>530126.68136257748</v>
      </c>
    </row>
    <row r="16" spans="1:7" x14ac:dyDescent="0.2">
      <c r="A16" s="134" t="s">
        <v>152</v>
      </c>
      <c r="B16" s="135">
        <v>0.2</v>
      </c>
      <c r="C16" s="128">
        <f>+$B$7</f>
        <v>318076008.81754655</v>
      </c>
      <c r="D16" s="128">
        <f>+IFERROR(B16*C16,"")</f>
        <v>63615201.763509311</v>
      </c>
      <c r="E16" s="136">
        <f>+IF($B$7="","",1800)</f>
        <v>1800</v>
      </c>
      <c r="F16" s="137">
        <v>3.0000000000000001E-3</v>
      </c>
      <c r="G16" s="138">
        <f>+IFERROR(F16*D16*E16/360,"")</f>
        <v>954228.02645263972</v>
      </c>
    </row>
    <row r="17" spans="1:7" ht="25.5" x14ac:dyDescent="0.2">
      <c r="A17" s="139" t="s">
        <v>153</v>
      </c>
      <c r="B17" s="140" t="s">
        <v>154</v>
      </c>
      <c r="C17" s="239" t="s">
        <v>155</v>
      </c>
      <c r="D17" s="240"/>
      <c r="E17" s="141" t="s">
        <v>156</v>
      </c>
      <c r="F17" s="140" t="s">
        <v>157</v>
      </c>
      <c r="G17" s="142" t="s">
        <v>146</v>
      </c>
    </row>
    <row r="18" spans="1:7" x14ac:dyDescent="0.2">
      <c r="A18" s="143">
        <f>+IF('[1]DATOS INICIALES'!$B$29="NO","",IF(B7="","",IF(C7&lt;=1500,200,IF(C7&lt;=2500,300,IF(C7&lt;=5000,400,IF(C7&lt;=10000,500,"5%"))))))</f>
        <v>200</v>
      </c>
      <c r="B18" s="144">
        <f>+'[1]DATOS INICIALES'!$B$14</f>
        <v>1423500</v>
      </c>
      <c r="C18" s="241">
        <f>+IFERROR(IF(C7&gt;10000,C7+5%,A18*B18),"")</f>
        <v>284700000</v>
      </c>
      <c r="D18" s="242"/>
      <c r="E18" s="145">
        <f>+$B$8</f>
        <v>4</v>
      </c>
      <c r="F18" s="146">
        <v>3.0000000000000001E-3</v>
      </c>
      <c r="G18" s="138">
        <f>+IFERROR(F18*E18*C18/12,"")</f>
        <v>284700</v>
      </c>
    </row>
    <row r="19" spans="1:7" x14ac:dyDescent="0.2">
      <c r="A19" s="237" t="s">
        <v>158</v>
      </c>
      <c r="B19" s="237"/>
      <c r="C19" s="237"/>
      <c r="D19" s="237"/>
      <c r="E19" s="237"/>
      <c r="F19" s="237"/>
      <c r="G19" s="138">
        <f>IF(SUM(G13:G16,G18)=0,"",SUM(G13:G16,G18))</f>
        <v>1928092.7122239904</v>
      </c>
    </row>
    <row r="20" spans="1:7" x14ac:dyDescent="0.2">
      <c r="A20" s="237" t="s">
        <v>159</v>
      </c>
      <c r="B20" s="237"/>
      <c r="C20" s="237"/>
      <c r="D20" s="237"/>
      <c r="E20" s="237"/>
      <c r="F20" s="237"/>
      <c r="G20" s="138">
        <f>+IF(G19="","",20000)</f>
        <v>20000</v>
      </c>
    </row>
    <row r="21" spans="1:7" x14ac:dyDescent="0.2">
      <c r="A21" s="237" t="s">
        <v>160</v>
      </c>
      <c r="B21" s="237"/>
      <c r="C21" s="237"/>
      <c r="D21" s="237"/>
      <c r="E21" s="237"/>
      <c r="F21" s="237"/>
      <c r="G21" s="138">
        <f>+IFERROR((G19+G20)*0.19,"")</f>
        <v>370137.61532255815</v>
      </c>
    </row>
    <row r="22" spans="1:7" x14ac:dyDescent="0.2">
      <c r="A22" s="237" t="s">
        <v>161</v>
      </c>
      <c r="B22" s="237"/>
      <c r="C22" s="237"/>
      <c r="D22" s="237"/>
      <c r="E22" s="237"/>
      <c r="F22" s="237"/>
      <c r="G22" s="138">
        <f>IF(G19="",0,SUM(G19:G21))</f>
        <v>2318230.3275465486</v>
      </c>
    </row>
  </sheetData>
  <protectedRanges>
    <protectedRange sqref="B9 B13:B16" name="Rango1"/>
  </protectedRanges>
  <mergeCells count="20">
    <mergeCell ref="A21:F21"/>
    <mergeCell ref="A22:F22"/>
    <mergeCell ref="F11:F12"/>
    <mergeCell ref="G11:G12"/>
    <mergeCell ref="C17:D17"/>
    <mergeCell ref="C18:D18"/>
    <mergeCell ref="A19:F19"/>
    <mergeCell ref="A20:F20"/>
    <mergeCell ref="E11:E12"/>
    <mergeCell ref="C7:D7"/>
    <mergeCell ref="C8:D8"/>
    <mergeCell ref="C9:D9"/>
    <mergeCell ref="A11:A12"/>
    <mergeCell ref="B11:D11"/>
    <mergeCell ref="A5:G5"/>
    <mergeCell ref="A1:E1"/>
    <mergeCell ref="F1:G2"/>
    <mergeCell ref="A2:E2"/>
    <mergeCell ref="A3:E3"/>
    <mergeCell ref="F3:G3"/>
  </mergeCells>
  <pageMargins left="0.7" right="0.7" top="0.75" bottom="0.75" header="0.3" footer="0.3"/>
  <pageSetup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1"/>
  <sheetViews>
    <sheetView view="pageBreakPreview" topLeftCell="A19" zoomScale="50" zoomScaleNormal="58" zoomScaleSheetLayoutView="50" workbookViewId="0">
      <selection activeCell="D13" sqref="D13"/>
    </sheetView>
  </sheetViews>
  <sheetFormatPr baseColWidth="10" defaultColWidth="11.42578125" defaultRowHeight="12.75" x14ac:dyDescent="0.2"/>
  <cols>
    <col min="1" max="1" width="7.7109375" style="54" customWidth="1"/>
    <col min="2" max="2" width="41.140625" style="54" customWidth="1"/>
    <col min="3" max="3" width="105.28515625" style="54" customWidth="1"/>
    <col min="4" max="4" width="27.85546875" style="54" customWidth="1"/>
    <col min="5" max="5" width="18.7109375" style="117" bestFit="1" customWidth="1"/>
    <col min="6" max="6" width="21.7109375" style="117" customWidth="1"/>
    <col min="7" max="7" width="22.28515625" style="117" customWidth="1"/>
    <col min="8" max="9" width="20.140625" style="54" customWidth="1"/>
    <col min="10" max="102" width="11.42578125" style="54" customWidth="1"/>
    <col min="103" max="103" width="7.85546875" style="54" customWidth="1"/>
    <col min="104" max="104" width="51.85546875" style="54" customWidth="1"/>
    <col min="105" max="105" width="8.5703125" style="54" customWidth="1"/>
    <col min="106" max="106" width="11.85546875" style="54" customWidth="1"/>
    <col min="107" max="107" width="14.42578125" style="54" customWidth="1"/>
    <col min="108" max="108" width="21.7109375" style="54" customWidth="1"/>
    <col min="109" max="109" width="14.28515625" style="54" customWidth="1"/>
    <col min="110" max="110" width="20.140625" style="54" customWidth="1"/>
    <col min="111" max="111" width="11.7109375" style="54" customWidth="1"/>
    <col min="112" max="16384" width="11.42578125" style="54"/>
  </cols>
  <sheetData>
    <row r="1" spans="1:9" ht="12.75" customHeight="1" x14ac:dyDescent="0.2">
      <c r="A1" s="249" t="s">
        <v>57</v>
      </c>
      <c r="B1" s="249"/>
      <c r="C1" s="249"/>
      <c r="D1" s="249"/>
      <c r="E1" s="249"/>
      <c r="F1" s="249"/>
      <c r="G1" s="249"/>
      <c r="H1" s="249"/>
    </row>
    <row r="2" spans="1:9" x14ac:dyDescent="0.2">
      <c r="A2" s="249"/>
      <c r="B2" s="249"/>
      <c r="C2" s="249"/>
      <c r="D2" s="249"/>
      <c r="E2" s="249"/>
      <c r="F2" s="249"/>
      <c r="G2" s="249"/>
      <c r="H2" s="249"/>
    </row>
    <row r="3" spans="1:9" x14ac:dyDescent="0.2">
      <c r="A3" s="249"/>
      <c r="B3" s="249"/>
      <c r="C3" s="249"/>
      <c r="D3" s="249"/>
      <c r="E3" s="249"/>
      <c r="F3" s="249"/>
      <c r="G3" s="249"/>
      <c r="H3" s="249"/>
    </row>
    <row r="4" spans="1:9" x14ac:dyDescent="0.2">
      <c r="A4" s="249"/>
      <c r="B4" s="249"/>
      <c r="C4" s="249"/>
      <c r="D4" s="249"/>
      <c r="E4" s="249"/>
      <c r="F4" s="249"/>
      <c r="G4" s="249"/>
      <c r="H4" s="249"/>
    </row>
    <row r="5" spans="1:9" ht="13.5" customHeight="1" x14ac:dyDescent="0.2">
      <c r="A5" s="249"/>
      <c r="B5" s="249"/>
      <c r="C5" s="249"/>
      <c r="D5" s="249"/>
      <c r="E5" s="249"/>
      <c r="F5" s="249"/>
      <c r="G5" s="249"/>
      <c r="H5" s="249"/>
      <c r="I5" s="55"/>
    </row>
    <row r="6" spans="1:9" ht="12.75" customHeight="1" x14ac:dyDescent="0.2">
      <c r="A6" s="249"/>
      <c r="B6" s="250" t="s">
        <v>0</v>
      </c>
      <c r="C6" s="250" t="str">
        <f>+PRESUPUESTO!D3</f>
        <v>Elaboración de estudios y diseños para el Mejoramiento de la Red Vial Terciaria en el Municipio de Dabeiba, Departamento de Antioquia.</v>
      </c>
      <c r="D6" s="250"/>
      <c r="E6" s="250"/>
      <c r="F6" s="250"/>
      <c r="G6" s="250"/>
      <c r="H6" s="250"/>
      <c r="I6" s="53"/>
    </row>
    <row r="7" spans="1:9" x14ac:dyDescent="0.2">
      <c r="A7" s="249"/>
      <c r="B7" s="250"/>
      <c r="C7" s="250"/>
      <c r="D7" s="250"/>
      <c r="E7" s="250"/>
      <c r="F7" s="250"/>
      <c r="G7" s="250"/>
      <c r="H7" s="250"/>
      <c r="I7" s="41"/>
    </row>
    <row r="8" spans="1:9" x14ac:dyDescent="0.2">
      <c r="A8" s="251" t="s">
        <v>1</v>
      </c>
      <c r="B8" s="251" t="s">
        <v>51</v>
      </c>
      <c r="C8" s="255" t="s">
        <v>52</v>
      </c>
      <c r="D8" s="255" t="s">
        <v>53</v>
      </c>
      <c r="E8" s="254" t="s">
        <v>115</v>
      </c>
      <c r="F8" s="254"/>
      <c r="G8" s="254"/>
      <c r="H8" s="251" t="s">
        <v>11</v>
      </c>
      <c r="I8" s="41"/>
    </row>
    <row r="9" spans="1:9" x14ac:dyDescent="0.2">
      <c r="A9" s="252"/>
      <c r="B9" s="253"/>
      <c r="C9" s="256"/>
      <c r="D9" s="256"/>
      <c r="E9" s="155">
        <v>1</v>
      </c>
      <c r="F9" s="155">
        <v>2</v>
      </c>
      <c r="G9" s="155">
        <v>3</v>
      </c>
      <c r="H9" s="252"/>
      <c r="I9" s="57"/>
    </row>
    <row r="10" spans="1:9" x14ac:dyDescent="0.2">
      <c r="A10" s="253"/>
      <c r="B10" s="249"/>
      <c r="C10" s="249"/>
      <c r="D10" s="249"/>
      <c r="E10" s="148"/>
      <c r="F10" s="149"/>
      <c r="G10" s="149"/>
      <c r="H10" s="252"/>
      <c r="I10" s="57"/>
    </row>
    <row r="11" spans="1:9" x14ac:dyDescent="0.2">
      <c r="A11" s="119"/>
      <c r="B11" s="249"/>
      <c r="C11" s="249"/>
      <c r="D11" s="249"/>
      <c r="E11" s="149"/>
      <c r="F11" s="149"/>
      <c r="G11" s="149"/>
      <c r="H11" s="253"/>
      <c r="I11" s="57"/>
    </row>
    <row r="12" spans="1:9" ht="306" x14ac:dyDescent="0.2">
      <c r="A12" s="58">
        <v>1</v>
      </c>
      <c r="B12" s="113" t="str">
        <f>PRESUPUESTO!D6</f>
        <v>Levantamiento topógrafico: Se utilizará personal experto con equipo de precisión. Incluye amarre geodesico dejando mojones materializados en campo para cada tramo para la georreferenciación de los proyectos, Informe, cartera topográfica, levantamiento topografico, planimetria con planta general, curvas y perfiles. Se debe garantizar que el levantamiento este ligado al sistema de coordenadas local.</v>
      </c>
      <c r="C12" s="61" t="s">
        <v>165</v>
      </c>
      <c r="D12" s="59" t="s">
        <v>172</v>
      </c>
      <c r="E12" s="150">
        <f>PRESUPUESTO!H6</f>
        <v>35750565</v>
      </c>
      <c r="F12" s="151"/>
      <c r="G12" s="150"/>
      <c r="H12" s="114">
        <f t="shared" ref="H12:H19" si="0">+SUM(E12:G12)</f>
        <v>35750565</v>
      </c>
      <c r="I12" s="118"/>
    </row>
    <row r="13" spans="1:9" ht="204" x14ac:dyDescent="0.2">
      <c r="A13" s="58">
        <v>2</v>
      </c>
      <c r="B13" s="113" t="str">
        <f>PRESUPUESTO!D7</f>
        <v>Estudio de suelos: Exploración de campo (apiques), ensayos de granulometria, limites de Atterberg, humedad natural y CBR a traves de la prueba de penetrómetro dinámico de cono; elaboración del informe, conclusiones y recomendaciones de diseño.</v>
      </c>
      <c r="C13" s="61" t="s">
        <v>166</v>
      </c>
      <c r="D13" s="62" t="s">
        <v>173</v>
      </c>
      <c r="E13" s="150">
        <f>PRESUPUESTO!H7</f>
        <v>47473812</v>
      </c>
      <c r="F13" s="151"/>
      <c r="G13" s="150"/>
      <c r="H13" s="114">
        <f t="shared" si="0"/>
        <v>47473812</v>
      </c>
      <c r="I13" s="118"/>
    </row>
    <row r="14" spans="1:9" ht="262.14999999999998" customHeight="1" x14ac:dyDescent="0.2">
      <c r="A14" s="60">
        <v>3</v>
      </c>
      <c r="B14" s="113" t="str">
        <f>PRESUPUESTO!D8</f>
        <v>Diseño Geometrico de la vía, de conformidad con la normatividad INVIAS aplicable, metodología de diseño geometrico de la vía, planos y detalles del diseño.</v>
      </c>
      <c r="C14" s="61" t="s">
        <v>167</v>
      </c>
      <c r="D14" s="62" t="s">
        <v>175</v>
      </c>
      <c r="E14" s="152"/>
      <c r="F14" s="151">
        <f>PRESUPUESTO!H8</f>
        <v>40818060</v>
      </c>
      <c r="G14" s="151"/>
      <c r="H14" s="114">
        <f t="shared" si="0"/>
        <v>40818060</v>
      </c>
      <c r="I14" s="118"/>
    </row>
    <row r="15" spans="1:9" ht="344.25" x14ac:dyDescent="0.2">
      <c r="A15" s="60">
        <v>4</v>
      </c>
      <c r="B15" s="113" t="str">
        <f>PRESUPUESTO!D9</f>
        <v>Diseño estructura de pavimento y análisis de transito: incidencia de la intensidad y  análisis de la composición del transito (aforos vehiculares), obtención de la capacidad de soporte de la subrasante, diseño de la estructura de pavimento, cumpliendo con la normatividad invias aplicable.</v>
      </c>
      <c r="C15" s="61" t="s">
        <v>168</v>
      </c>
      <c r="D15" s="62" t="s">
        <v>176</v>
      </c>
      <c r="E15" s="152"/>
      <c r="F15" s="152">
        <f>PRESUPUESTO!H9</f>
        <v>41836572</v>
      </c>
      <c r="G15" s="151"/>
      <c r="H15" s="114">
        <f t="shared" si="0"/>
        <v>41836572</v>
      </c>
      <c r="I15" s="118"/>
    </row>
    <row r="16" spans="1:9" ht="165.75" x14ac:dyDescent="0.2">
      <c r="A16" s="60">
        <v>5</v>
      </c>
      <c r="B16" s="113" t="str">
        <f>PRESUPUESTO!D10</f>
        <v>Diseño Hidrologico e hidraulico: informe de diseño, determinación de los parametros hidrologicos e hidraulicos, memorias de calculo, determinación de la intensidad de la lluvia en la zona del proyecto, calculo del caudal de diseño, diseño hidraulico de alcantarillas, sistema berma- cuneta y aliviaderos.</v>
      </c>
      <c r="C16" s="61" t="s">
        <v>169</v>
      </c>
      <c r="D16" s="62" t="s">
        <v>177</v>
      </c>
      <c r="E16" s="152"/>
      <c r="F16" s="152">
        <f>PRESUPUESTO!H10</f>
        <v>27550890</v>
      </c>
      <c r="G16" s="151"/>
      <c r="H16" s="114">
        <f t="shared" si="0"/>
        <v>27550890</v>
      </c>
      <c r="I16" s="118"/>
    </row>
    <row r="17" spans="1:9" ht="127.5" x14ac:dyDescent="0.2">
      <c r="A17" s="60">
        <v>6</v>
      </c>
      <c r="B17" s="113" t="str">
        <f>PRESUPUESTO!D11</f>
        <v>Plan de manejo de transito</v>
      </c>
      <c r="C17" s="61" t="s">
        <v>171</v>
      </c>
      <c r="D17" s="62" t="s">
        <v>178</v>
      </c>
      <c r="E17" s="152"/>
      <c r="F17" s="152"/>
      <c r="G17" s="151">
        <f>PRESUPUESTO!H11</f>
        <v>17133552</v>
      </c>
      <c r="H17" s="114">
        <f t="shared" si="0"/>
        <v>17133552</v>
      </c>
      <c r="I17" s="118"/>
    </row>
    <row r="18" spans="1:9" ht="127.5" x14ac:dyDescent="0.2">
      <c r="A18" s="63">
        <v>7</v>
      </c>
      <c r="B18" s="113" t="str">
        <f>PRESUPUESTO!D12</f>
        <v>Presuesto de obra. Incluye: cálculo de administración, interventoria y factor multipicador; elaboración de Analis de precios unitarios (APU) y auxliares, memorias gráficas, cronograma y flujo financiero de obra, especificaciones técnicas y proceso constructivo.</v>
      </c>
      <c r="C18" s="61" t="s">
        <v>113</v>
      </c>
      <c r="D18" s="62" t="s">
        <v>54</v>
      </c>
      <c r="E18" s="153"/>
      <c r="F18" s="153"/>
      <c r="G18" s="156">
        <f>PRESUPUESTO!H12</f>
        <v>28882935</v>
      </c>
      <c r="H18" s="114">
        <f t="shared" si="0"/>
        <v>28882935</v>
      </c>
      <c r="I18" s="118"/>
    </row>
    <row r="19" spans="1:9" ht="161.44999999999999" customHeight="1" x14ac:dyDescent="0.2">
      <c r="A19" s="63">
        <v>8</v>
      </c>
      <c r="B19" s="113" t="str">
        <f>PRESUPUESTO!D13</f>
        <v xml:space="preserve">Plan de manejo ambiental. Incluye: análisis de riesgo e informe </v>
      </c>
      <c r="C19" s="61" t="s">
        <v>170</v>
      </c>
      <c r="D19" s="62" t="s">
        <v>174</v>
      </c>
      <c r="E19" s="153"/>
      <c r="F19" s="153"/>
      <c r="G19" s="151">
        <f>PRESUPUESTO!H13</f>
        <v>25896285</v>
      </c>
      <c r="H19" s="114">
        <f t="shared" si="0"/>
        <v>25896285</v>
      </c>
      <c r="I19" s="118"/>
    </row>
    <row r="20" spans="1:9" ht="20.45" customHeight="1" x14ac:dyDescent="0.2">
      <c r="D20" s="115" t="s">
        <v>114</v>
      </c>
      <c r="E20" s="154">
        <f t="shared" ref="E20:H20" si="1">SUM(E12:E19)</f>
        <v>83224377</v>
      </c>
      <c r="F20" s="154">
        <f t="shared" si="1"/>
        <v>110205522</v>
      </c>
      <c r="G20" s="154">
        <f t="shared" si="1"/>
        <v>71912772</v>
      </c>
      <c r="H20" s="246">
        <f t="shared" si="1"/>
        <v>265342671</v>
      </c>
      <c r="I20" s="64"/>
    </row>
    <row r="21" spans="1:9" ht="20.45" customHeight="1" x14ac:dyDescent="0.2">
      <c r="D21" s="115" t="s">
        <v>181</v>
      </c>
      <c r="E21" s="244">
        <f>+SUM(E20:G20)</f>
        <v>265342671</v>
      </c>
      <c r="F21" s="245"/>
      <c r="G21" s="245"/>
      <c r="H21" s="246"/>
    </row>
    <row r="22" spans="1:9" x14ac:dyDescent="0.2">
      <c r="D22" s="115" t="s">
        <v>179</v>
      </c>
      <c r="E22" s="244">
        <f>PRESUPUESTO!H15</f>
        <v>50415107.490000002</v>
      </c>
      <c r="F22" s="245"/>
      <c r="G22" s="245"/>
      <c r="H22" s="246">
        <f>E22</f>
        <v>50415107.490000002</v>
      </c>
    </row>
    <row r="23" spans="1:9" x14ac:dyDescent="0.2">
      <c r="D23" s="115" t="s">
        <v>180</v>
      </c>
      <c r="E23" s="244">
        <f>PRESUPUESTO!H16</f>
        <v>2318230.3275465486</v>
      </c>
      <c r="F23" s="245"/>
      <c r="G23" s="245"/>
      <c r="H23" s="246">
        <f>E23</f>
        <v>2318230.3275465486</v>
      </c>
    </row>
    <row r="24" spans="1:9" x14ac:dyDescent="0.2">
      <c r="D24" s="115" t="s">
        <v>11</v>
      </c>
      <c r="E24" s="244">
        <f>PRESUPUESTO!H17</f>
        <v>318076008.81754655</v>
      </c>
      <c r="F24" s="245"/>
      <c r="G24" s="245"/>
      <c r="H24" s="147">
        <f>E24</f>
        <v>318076008.81754655</v>
      </c>
    </row>
    <row r="26" spans="1:9" ht="15.75" x14ac:dyDescent="0.25">
      <c r="B26" s="248"/>
      <c r="C26" s="248"/>
      <c r="D26" s="248"/>
    </row>
    <row r="27" spans="1:9" ht="15" x14ac:dyDescent="0.2">
      <c r="B27" s="247"/>
      <c r="C27" s="247"/>
      <c r="D27" s="247"/>
    </row>
    <row r="28" spans="1:9" ht="15" x14ac:dyDescent="0.2">
      <c r="B28" s="20"/>
      <c r="C28" s="20"/>
      <c r="D28" s="20"/>
    </row>
    <row r="29" spans="1:9" ht="15.75" x14ac:dyDescent="0.25">
      <c r="A29" s="30"/>
      <c r="B29" s="248"/>
      <c r="C29" s="248"/>
      <c r="D29" s="248"/>
    </row>
    <row r="30" spans="1:9" x14ac:dyDescent="0.2">
      <c r="B30" s="65"/>
      <c r="C30" s="65"/>
      <c r="D30" s="65"/>
    </row>
    <row r="31" spans="1:9" x14ac:dyDescent="0.2">
      <c r="A31" s="30"/>
      <c r="B31" s="66"/>
      <c r="C31" s="30"/>
      <c r="D31" s="41"/>
    </row>
    <row r="32" spans="1:9" x14ac:dyDescent="0.2">
      <c r="A32" s="30"/>
      <c r="B32" s="66"/>
      <c r="C32" s="30"/>
      <c r="D32" s="41"/>
    </row>
    <row r="33" spans="1:4" x14ac:dyDescent="0.2">
      <c r="A33" s="30"/>
      <c r="B33" s="66"/>
      <c r="C33" s="30"/>
      <c r="D33" s="41"/>
    </row>
    <row r="34" spans="1:4" x14ac:dyDescent="0.2">
      <c r="A34" s="67"/>
      <c r="B34" s="66"/>
      <c r="C34" s="30"/>
      <c r="D34" s="41"/>
    </row>
    <row r="35" spans="1:4" x14ac:dyDescent="0.2">
      <c r="A35" s="68"/>
      <c r="B35" s="66"/>
      <c r="C35" s="30"/>
      <c r="D35" s="41"/>
    </row>
    <row r="36" spans="1:4" x14ac:dyDescent="0.2">
      <c r="A36" s="69"/>
    </row>
    <row r="37" spans="1:4" x14ac:dyDescent="0.2">
      <c r="A37" s="67"/>
    </row>
    <row r="38" spans="1:4" x14ac:dyDescent="0.2">
      <c r="A38" s="67"/>
    </row>
    <row r="39" spans="1:4" x14ac:dyDescent="0.2">
      <c r="A39" s="67"/>
    </row>
    <row r="40" spans="1:4" x14ac:dyDescent="0.2">
      <c r="A40" s="69"/>
    </row>
    <row r="41" spans="1:4" x14ac:dyDescent="0.2">
      <c r="A41" s="67"/>
    </row>
  </sheetData>
  <dataConsolidate/>
  <mergeCells count="21">
    <mergeCell ref="A1:H5"/>
    <mergeCell ref="A6:A7"/>
    <mergeCell ref="B6:B7"/>
    <mergeCell ref="C6:H7"/>
    <mergeCell ref="A8:A10"/>
    <mergeCell ref="E8:G8"/>
    <mergeCell ref="B8:B9"/>
    <mergeCell ref="C8:C9"/>
    <mergeCell ref="D8:D9"/>
    <mergeCell ref="H8:H11"/>
    <mergeCell ref="E21:G21"/>
    <mergeCell ref="H20:H21"/>
    <mergeCell ref="B27:D27"/>
    <mergeCell ref="B29:D29"/>
    <mergeCell ref="B10:D10"/>
    <mergeCell ref="B11:D11"/>
    <mergeCell ref="B26:D26"/>
    <mergeCell ref="E22:G22"/>
    <mergeCell ref="E23:G23"/>
    <mergeCell ref="E24:G24"/>
    <mergeCell ref="H22:H23"/>
  </mergeCells>
  <printOptions horizontalCentered="1" gridLines="1"/>
  <pageMargins left="0.51180555555555551" right="0.51180555555555551" top="0.55069444444444449" bottom="0.55069444444444449" header="0.31458333333333333" footer="0.31458333333333333"/>
  <pageSetup scale="49" fitToHeight="0" orientation="landscape" r:id="rId1"/>
  <headerFooter alignWithMargins="0"/>
  <rowBreaks count="1" manualBreakCount="1">
    <brk id="1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FICHA TECNICA</vt:lpstr>
      <vt:lpstr>PRESUPUESTO</vt:lpstr>
      <vt:lpstr>MO</vt:lpstr>
      <vt:lpstr>APU</vt:lpstr>
      <vt:lpstr>FM</vt:lpstr>
      <vt:lpstr>POLIZA</vt:lpstr>
      <vt:lpstr>CRONOGRAMA FINAL</vt:lpstr>
      <vt:lpstr>APU!Área_de_impresión</vt:lpstr>
      <vt:lpstr>'CRONOGRAMA FINAL'!Área_de_impresión</vt:lpstr>
      <vt:lpstr>'FICHA TECNICA'!Área_de_impresión</vt:lpstr>
      <vt:lpstr>FM!Área_de_impresión</vt:lpstr>
      <vt:lpstr>PRESUPUESTO!Área_de_impresión</vt:lpstr>
      <vt:lpstr>'CRONOGRAMA FINAL'!Títulos_a_imprimir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dc:creator>
  <cp:lastModifiedBy>asus</cp:lastModifiedBy>
  <cp:lastPrinted>2025-09-10T23:44:09Z</cp:lastPrinted>
  <dcterms:created xsi:type="dcterms:W3CDTF">2020-06-26T14:18:55Z</dcterms:created>
  <dcterms:modified xsi:type="dcterms:W3CDTF">2025-09-16T17:22:41Z</dcterms:modified>
</cp:coreProperties>
</file>