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1\OneDrive\Desktop\contrato Alban\procesos de contratacion\PLACA HUELLA\PROCESO 1\"/>
    </mc:Choice>
  </mc:AlternateContent>
  <xr:revisionPtr revIDLastSave="0" documentId="13_ncr:1_{37858DBA-9BED-4447-92F6-C3F3F51F847D}" xr6:coauthVersionLast="47" xr6:coauthVersionMax="47" xr10:uidLastSave="{00000000-0000-0000-0000-000000000000}"/>
  <bookViews>
    <workbookView xWindow="-108" yWindow="-108" windowWidth="23256" windowHeight="12456" xr2:uid="{45D88C2E-9CDF-47F8-B4EA-18D1C9ABED2E}"/>
  </bookViews>
  <sheets>
    <sheet name="MATRIZ BIENES RELEV" sheetId="1" r:id="rId1"/>
  </sheets>
  <externalReferences>
    <externalReference r:id="rId2"/>
  </externalReferences>
  <definedNames>
    <definedName name="_xlnm.Print_Area" localSheetId="0">'MATRIZ BIENES RELEV'!$A$1:$I$60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E13" i="1"/>
  <c r="E8" i="1"/>
  <c r="E4" i="1"/>
  <c r="E3" i="1"/>
  <c r="D19" i="1"/>
  <c r="D13" i="1" l="1"/>
  <c r="D18" i="1" s="1"/>
  <c r="D36" i="1" s="1"/>
  <c r="D8" i="1"/>
  <c r="D10" i="1" s="1"/>
  <c r="F10" i="1" s="1"/>
  <c r="D4" i="1"/>
  <c r="D7" i="1" s="1"/>
  <c r="D3" i="1"/>
  <c r="F3" i="1" s="1"/>
  <c r="A39" i="1"/>
  <c r="A50" i="1"/>
  <c r="E37" i="1"/>
  <c r="E36" i="1"/>
  <c r="E35" i="1"/>
  <c r="E34" i="1"/>
  <c r="E33" i="1"/>
  <c r="E32" i="1"/>
  <c r="E31" i="1"/>
  <c r="A31" i="1"/>
  <c r="A32" i="1" s="1"/>
  <c r="A33" i="1" s="1"/>
  <c r="A34" i="1" s="1"/>
  <c r="A35" i="1" s="1"/>
  <c r="A36" i="1" s="1"/>
  <c r="A37" i="1" s="1"/>
  <c r="E30" i="1"/>
  <c r="A28" i="1"/>
  <c r="D17" i="1"/>
  <c r="F17" i="1" s="1"/>
  <c r="D20" i="1" l="1"/>
  <c r="F20" i="1" s="1"/>
  <c r="F19" i="1"/>
  <c r="F13" i="1"/>
  <c r="D16" i="1"/>
  <c r="F16" i="1" s="1"/>
  <c r="F4" i="1"/>
  <c r="F22" i="1" s="1"/>
  <c r="D5" i="1"/>
  <c r="F5" i="1" s="1"/>
  <c r="D11" i="1"/>
  <c r="F11" i="1" s="1"/>
  <c r="D12" i="1"/>
  <c r="F12" i="1" s="1"/>
  <c r="D6" i="1"/>
  <c r="F6" i="1" s="1"/>
  <c r="F8" i="1"/>
  <c r="D9" i="1"/>
  <c r="F9" i="1" s="1"/>
  <c r="D15" i="1"/>
  <c r="F15" i="1" s="1"/>
  <c r="D14" i="1"/>
  <c r="D30" i="1" s="1"/>
  <c r="F30" i="1" s="1"/>
  <c r="F7" i="1"/>
  <c r="F36" i="1"/>
  <c r="F18" i="1"/>
  <c r="F14" i="1" l="1"/>
  <c r="D21" i="1"/>
  <c r="F21" i="1" s="1"/>
  <c r="D34" i="1"/>
  <c r="F34" i="1" s="1"/>
  <c r="F24" i="1"/>
  <c r="D32" i="1"/>
  <c r="F32" i="1" s="1"/>
  <c r="D35" i="1"/>
  <c r="F35" i="1" s="1"/>
  <c r="D33" i="1"/>
  <c r="F33" i="1" s="1"/>
  <c r="F26" i="1"/>
  <c r="D31" i="1"/>
  <c r="F31" i="1" s="1"/>
  <c r="F23" i="1"/>
  <c r="D37" i="1"/>
  <c r="F37" i="1" s="1"/>
  <c r="F25" i="1"/>
  <c r="F27" i="1" l="1"/>
  <c r="F38" i="1"/>
  <c r="G34" i="1" s="1"/>
  <c r="G31" i="1" l="1"/>
  <c r="G30" i="1"/>
  <c r="G36" i="1"/>
  <c r="G32" i="1"/>
  <c r="G37" i="1"/>
  <c r="G33" i="1"/>
  <c r="G35" i="1"/>
  <c r="A41" i="1" l="1" a="1"/>
  <c r="F49" i="1" s="1"/>
  <c r="A52" i="1" a="1"/>
  <c r="A52" i="1" s="1"/>
  <c r="G38" i="1"/>
  <c r="I41" i="1" l="1"/>
  <c r="H52" i="1" s="1"/>
  <c r="I52" i="1" s="1"/>
  <c r="G49" i="1"/>
  <c r="A41" i="1"/>
  <c r="H41" i="1"/>
  <c r="H42" i="1" s="1"/>
  <c r="H43" i="1" s="1"/>
  <c r="F60" i="1"/>
  <c r="G60" i="1"/>
  <c r="H44" i="1" l="1"/>
  <c r="H45" i="1" s="1"/>
  <c r="H46" i="1" s="1"/>
  <c r="H47" i="1" s="1"/>
  <c r="H48" i="1" s="1"/>
  <c r="I56" i="1"/>
  <c r="I57" i="1"/>
  <c r="I53" i="1"/>
  <c r="I55" i="1"/>
  <c r="I54" i="1"/>
  <c r="I58" i="1"/>
  <c r="I59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<sst xmlns="http://schemas.openxmlformats.org/spreadsheetml/2006/main" count="107" uniqueCount="40">
  <si>
    <t>ITEM</t>
  </si>
  <si>
    <t>DESCRIPCION</t>
  </si>
  <si>
    <t>UND</t>
  </si>
  <si>
    <t>CANT</t>
  </si>
  <si>
    <t>Vr. UNITARIO</t>
  </si>
  <si>
    <t>Vr. PARCIAL</t>
  </si>
  <si>
    <t>630.4 P</t>
  </si>
  <si>
    <t>EXCAVACIONES VARIAS EN MATERIAL COMÚN SECO A MANO (INCLUYE RETIRO DE SOBRANTES A UNA DISTANCIA MENOR DE 5 KM)</t>
  </si>
  <si>
    <t>M3</t>
  </si>
  <si>
    <t>CONCRETOS CLASE D, f´c =3000 PSI (bases)</t>
  </si>
  <si>
    <t>Cemento Gris</t>
  </si>
  <si>
    <t>KG</t>
  </si>
  <si>
    <t>Arena Lavada de Rio en Municipio</t>
  </si>
  <si>
    <t>Triturado de Municipio</t>
  </si>
  <si>
    <t>630.7</t>
  </si>
  <si>
    <t>CONCRETO CICLÓPEO CLASE G, 2000 PSI 40% RAJÓN PARA BASES</t>
  </si>
  <si>
    <t>Rajon</t>
  </si>
  <si>
    <t>671.1</t>
  </si>
  <si>
    <t xml:space="preserve">CUNETA DE CONCRETO CLASE E, 2500 PSI FUNDIDA EN EL LUGAR </t>
  </si>
  <si>
    <t>Material de afirmado</t>
  </si>
  <si>
    <t>Asfalto Tipo 190/220 200 Kg</t>
  </si>
  <si>
    <t>640.1</t>
  </si>
  <si>
    <t>SUMINISTRO FIGURADO Y ARMADO DE ACERO DE REFUERZO 60000 PSI</t>
  </si>
  <si>
    <t>Acero de Refuerzo 60000 PSI</t>
  </si>
  <si>
    <t>Alambre Negro No. 18</t>
  </si>
  <si>
    <t>TOTAL POR ITEM A CONTRATAR</t>
  </si>
  <si>
    <t>TOTAL INSUMOS ITEM 630.4 CONCRETO CLASE D, f'c = 3000 PSI (bases)</t>
  </si>
  <si>
    <t>TOTAL INSUMOS ITEM 630.7 CONCRETO CICLÓPEO CLASE G, 2000 PSI 40% RAJÓN BASES</t>
  </si>
  <si>
    <t xml:space="preserve">TOTAL INSUMOS ITEM 671.1 CUNETA DE CONCRETO CLASE E, 2500 PSI FUNDIDA EN EL LUGAR </t>
  </si>
  <si>
    <t>TOTAL INSUMOS ITEM 640.1 FIGURADO Y ARMADO DE ACERO DE REFUERZO 60000 PSI</t>
  </si>
  <si>
    <t>TOTAL INSUMOS EN EL PROYECTO (MATERIALES DE OBRA)</t>
  </si>
  <si>
    <t>% DE PARTICIPACION</t>
  </si>
  <si>
    <t>TOTAL DE INSUMOS DEL PROYECTO</t>
  </si>
  <si>
    <t>% ACUMULADO</t>
  </si>
  <si>
    <t>PROMEDIO CALCULADO</t>
  </si>
  <si>
    <t xml:space="preserve">TOTAL </t>
  </si>
  <si>
    <t>PROMEDIO (%PARTICIPACION)</t>
  </si>
  <si>
    <t>BIEN RELEVANTE</t>
  </si>
  <si>
    <t>N/A</t>
  </si>
  <si>
    <t>MEJORAMIENTO DE VIAS TERCIARIAS MEDIANTE CONSTRUCCION DE PLACA HUELLAS EN EL EJE VIAL QUE COMUNICA LAS VEREDAS MARIA ALTA, CHAVARRO, PANTANILLO, GARBANZAL DEL MUNICIPIO DE ALBAN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</si>
</sst>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0.000"/>
    <numFmt numFmtId="165" formatCode="_(&quot;$&quot;\ * #,##0.00_);_(&quot;$&quot;\ * \(#,##0.00\);_(&quot;$&quot;\ * &quot;-&quot;_);_(@_)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sz val="8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67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" fillId="0" borderId="0" xfId="0" applyFont="1"/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vertical="center"/>
    </xf>
    <xf numFmtId="0" fontId="5" fillId="0" borderId="1" xfId="0" applyFont="1" applyBorder="1" applyAlignment="1">
      <alignment horizontal="justify" vertical="center" wrapText="1"/>
    </xf>
    <xf numFmtId="2" fontId="2" fillId="0" borderId="1" xfId="1" applyNumberFormat="1" applyFont="1" applyFill="1" applyBorder="1" applyAlignment="1">
      <alignment horizontal="center" vertical="center"/>
    </xf>
    <xf numFmtId="10" fontId="3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justify" vertical="center" wrapText="1"/>
    </xf>
    <xf numFmtId="2" fontId="3" fillId="0" borderId="1" xfId="1" applyNumberFormat="1" applyFont="1" applyFill="1" applyBorder="1" applyAlignment="1">
      <alignment horizontal="center" vertical="center"/>
    </xf>
    <xf numFmtId="165" fontId="3" fillId="0" borderId="1" xfId="3" applyNumberFormat="1" applyFon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42" fontId="3" fillId="0" borderId="1" xfId="3" applyFont="1" applyFill="1" applyBorder="1" applyAlignment="1">
      <alignment vertical="center"/>
    </xf>
    <xf numFmtId="44" fontId="3" fillId="0" borderId="0" xfId="2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164" fontId="2" fillId="0" borderId="6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10" fontId="3" fillId="0" borderId="2" xfId="0" applyNumberFormat="1" applyFont="1" applyBorder="1" applyAlignment="1">
      <alignment horizontal="right" vertical="center" wrapText="1"/>
    </xf>
    <xf numFmtId="0" fontId="6" fillId="0" borderId="9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center" vertical="center"/>
    </xf>
    <xf numFmtId="2" fontId="3" fillId="0" borderId="9" xfId="1" applyNumberFormat="1" applyFont="1" applyFill="1" applyBorder="1" applyAlignment="1">
      <alignment horizontal="center" vertical="center"/>
    </xf>
    <xf numFmtId="165" fontId="3" fillId="0" borderId="9" xfId="3" applyNumberFormat="1" applyFont="1" applyFill="1" applyBorder="1" applyAlignment="1">
      <alignment vertical="center"/>
    </xf>
    <xf numFmtId="10" fontId="3" fillId="0" borderId="10" xfId="0" applyNumberFormat="1" applyFont="1" applyBorder="1" applyAlignment="1">
      <alignment horizontal="right" vertical="center" wrapText="1"/>
    </xf>
    <xf numFmtId="42" fontId="2" fillId="0" borderId="1" xfId="3" applyFont="1" applyFill="1" applyBorder="1" applyAlignment="1">
      <alignment vertical="center"/>
    </xf>
    <xf numFmtId="10" fontId="2" fillId="0" borderId="1" xfId="0" applyNumberFormat="1" applyFont="1" applyBorder="1" applyAlignment="1">
      <alignment horizontal="right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/>
    </xf>
    <xf numFmtId="10" fontId="3" fillId="0" borderId="0" xfId="0" applyNumberFormat="1" applyFont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42" fontId="2" fillId="0" borderId="9" xfId="3" applyFont="1" applyFill="1" applyBorder="1" applyAlignment="1">
      <alignment vertical="center"/>
    </xf>
    <xf numFmtId="10" fontId="2" fillId="0" borderId="9" xfId="1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2" fillId="0" borderId="11" xfId="1" applyNumberFormat="1" applyFont="1" applyFill="1" applyBorder="1" applyAlignment="1">
      <alignment horizontal="center" vertical="center"/>
    </xf>
    <xf numFmtId="166" fontId="2" fillId="0" borderId="1" xfId="3" applyNumberFormat="1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10" fontId="3" fillId="4" borderId="1" xfId="0" applyNumberFormat="1" applyFont="1" applyFill="1" applyBorder="1" applyAlignment="1">
      <alignment horizontal="center" vertical="center" wrapText="1"/>
    </xf>
    <xf numFmtId="10" fontId="3" fillId="0" borderId="0" xfId="0" applyNumberFormat="1" applyFont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4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5" fontId="2" fillId="0" borderId="1" xfId="3" applyNumberFormat="1" applyFont="1" applyFill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4" formatCode="0.00%"/>
      <fill>
        <patternFill patternType="none">
          <fgColor indexed="64"/>
          <bgColor indexed="65"/>
        </patternFill>
      </fill>
      <alignment horizontal="righ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(&quot;$&quot;\ * #,##0.00_);_(&quot;$&quot;\ * \(#,##0.00\);_(&quot;$&quot;\ * &quot;-&quot;_);_(@_)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165" formatCode="_(&quot;$&quot;\ * #,##0.00_);_(&quot;$&quot;\ * \(#,##0.00\);_(&quot;$&quot;\ * &quot;-&quot;_);_(@_)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justify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8"/>
        <family val="2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dell1\OneDrive\Desktop\contrato%20Alban\procesos%20de%20contratacion\PLACA%20HUELLA\PROCESO%201\CCE-EICP-FM-25%20Formulario1%20Formulario%20de%20Presupuesto%20Oficial%20%20Menor%20Cuantia%20v3%2030-07-2024%20(2)%20(1).xlsx" TargetMode="External"/><Relationship Id="rId1" Type="http://schemas.openxmlformats.org/officeDocument/2006/relationships/externalLinkPath" Target="CCE-EICP-FM-25%20Formulario1%20Formulario%20de%20Presupuesto%20Oficial%20%20Menor%20Cuantia%20v3%2030-07-2024%20(2)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PRESUPUESTO OFICIAL TOTAL"/>
      <sheetName val="MARIA ALTA-BELISARIAS"/>
      <sheetName val="CHAVARRO VALERO"/>
      <sheetName val="PANATANILLO-CORTES"/>
      <sheetName val="GARBANZAL ESPINEL"/>
      <sheetName val="PROPUESTA ECONOMICA(Proponente)"/>
      <sheetName val="INDICAR CÓDIGO DEL ITEM DE PAGO"/>
    </sheetNames>
    <sheetDataSet>
      <sheetData sheetId="0">
        <row r="15">
          <cell r="I15">
            <v>26.340000000000003</v>
          </cell>
          <cell r="J15">
            <v>86910.18</v>
          </cell>
        </row>
        <row r="16">
          <cell r="I16">
            <v>95.58</v>
          </cell>
          <cell r="J16">
            <v>1061870.6700000002</v>
          </cell>
        </row>
        <row r="17">
          <cell r="I17">
            <v>44.42</v>
          </cell>
          <cell r="J17">
            <v>733646.62</v>
          </cell>
        </row>
        <row r="18">
          <cell r="I18">
            <v>57.9</v>
          </cell>
          <cell r="J18">
            <v>883363.39</v>
          </cell>
        </row>
        <row r="19">
          <cell r="I19">
            <v>9002.5500000000011</v>
          </cell>
          <cell r="J19">
            <v>10871.42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05D0A9-E83B-4083-8B25-B7F7335C5119}" name="Items" displayName="Items" ref="A29:G37" totalsRowShown="0" headerRowDxfId="11" dataDxfId="9" headerRowBorderDxfId="10" tableBorderDxfId="8" totalsRowBorderDxfId="7">
  <autoFilter ref="A29:G37" xr:uid="{1805D0A9-E83B-4083-8B25-B7F7335C5119}"/>
  <tableColumns count="7">
    <tableColumn id="1" xr3:uid="{820766A2-572D-46CD-8C93-CC4D46F113CA}" name="ITEM" dataDxfId="6">
      <calculatedColumnFormula>+A29+1</calculatedColumnFormula>
    </tableColumn>
    <tableColumn id="2" xr3:uid="{EC45A295-4CFB-4488-97D9-CCAF1A409057}" name="DESCRIPCION" dataDxfId="5"/>
    <tableColumn id="3" xr3:uid="{61B00440-6ED4-4104-8F4B-FFC3CEBBF753}" name="UND" dataDxfId="4"/>
    <tableColumn id="4" xr3:uid="{9CD75804-5136-46DF-8E59-B966A88E8FEF}" name="CANT" dataDxfId="3" dataCellStyle="Millares"/>
    <tableColumn id="5" xr3:uid="{FE3C7074-C9DD-410A-B7F0-79F12AAEF32A}" name="Vr. UNITARIO" dataDxfId="2" dataCellStyle="Moneda [0]"/>
    <tableColumn id="6" xr3:uid="{7846EF5D-820A-41BB-98F3-464B2D76F6EC}" name="Vr. PARCIAL" dataDxfId="1" dataCellStyle="Moneda [0]">
      <calculatedColumnFormula>ROUND(E30*D30,2)</calculatedColumnFormula>
    </tableColumn>
    <tableColumn id="7" xr3:uid="{3ADE2E05-9A08-4EAE-BFF6-3C4C5782609D}" name="% DE PARTICIPACION" dataDxfId="0">
      <calculatedColumnFormula>+F30/$F$38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44E4DD-99E8-4BCE-988C-2A4E09B68349}">
  <sheetPr>
    <pageSetUpPr fitToPage="1"/>
  </sheetPr>
  <dimension ref="A1:I60"/>
  <sheetViews>
    <sheetView tabSelected="1" topLeftCell="A4" zoomScale="130" zoomScaleNormal="130" zoomScaleSheetLayoutView="160" workbookViewId="0">
      <selection activeCell="K11" sqref="K11"/>
    </sheetView>
  </sheetViews>
  <sheetFormatPr baseColWidth="10" defaultColWidth="11.44140625" defaultRowHeight="10.199999999999999" x14ac:dyDescent="0.2"/>
  <cols>
    <col min="1" max="1" width="6.33203125" style="49" customWidth="1"/>
    <col min="2" max="2" width="27.88671875" style="3" customWidth="1"/>
    <col min="3" max="3" width="5.6640625" style="3" customWidth="1"/>
    <col min="4" max="4" width="10.109375" style="3" customWidth="1"/>
    <col min="5" max="5" width="11.6640625" style="3" customWidth="1"/>
    <col min="6" max="6" width="13.33203125" style="3" customWidth="1"/>
    <col min="7" max="7" width="9" style="3" customWidth="1"/>
    <col min="8" max="8" width="10.6640625" style="3" customWidth="1"/>
    <col min="9" max="9" width="12.109375" style="49" customWidth="1"/>
    <col min="10" max="16384" width="11.44140625" style="3"/>
  </cols>
  <sheetData>
    <row r="1" spans="1:9" ht="33.75" customHeight="1" x14ac:dyDescent="0.2">
      <c r="A1" s="55" t="s">
        <v>39</v>
      </c>
      <c r="B1" s="55"/>
      <c r="C1" s="55"/>
      <c r="D1" s="55"/>
      <c r="E1" s="55"/>
      <c r="F1" s="55"/>
      <c r="G1" s="1"/>
      <c r="H1" s="2"/>
      <c r="I1" s="45"/>
    </row>
    <row r="2" spans="1:9" x14ac:dyDescent="0.2">
      <c r="A2" s="4" t="s">
        <v>0</v>
      </c>
      <c r="B2" s="4" t="s">
        <v>1</v>
      </c>
      <c r="C2" s="4" t="s">
        <v>2</v>
      </c>
      <c r="D2" s="5" t="s">
        <v>3</v>
      </c>
      <c r="E2" s="4" t="s">
        <v>4</v>
      </c>
      <c r="F2" s="4" t="s">
        <v>5</v>
      </c>
      <c r="G2" s="6"/>
      <c r="H2" s="2"/>
      <c r="I2" s="45"/>
    </row>
    <row r="3" spans="1:9" ht="49.8" customHeight="1" x14ac:dyDescent="0.2">
      <c r="A3" s="4" t="s">
        <v>6</v>
      </c>
      <c r="B3" s="8" t="s">
        <v>7</v>
      </c>
      <c r="C3" s="7" t="s">
        <v>8</v>
      </c>
      <c r="D3" s="9">
        <f>'[1]PRESUPUESTO OFICIAL TOTAL'!$I$15</f>
        <v>26.340000000000003</v>
      </c>
      <c r="E3" s="10">
        <f>'[1]PRESUPUESTO OFICIAL TOTAL'!$J$15</f>
        <v>86910.18</v>
      </c>
      <c r="F3" s="10">
        <f>ROUND(E3*D3,2)</f>
        <v>2289214.14</v>
      </c>
      <c r="G3" s="6"/>
      <c r="H3" s="2"/>
      <c r="I3" s="45"/>
    </row>
    <row r="4" spans="1:9" ht="20.399999999999999" x14ac:dyDescent="0.2">
      <c r="A4" s="4" t="s">
        <v>6</v>
      </c>
      <c r="B4" s="11" t="s">
        <v>9</v>
      </c>
      <c r="C4" s="7" t="s">
        <v>8</v>
      </c>
      <c r="D4" s="12">
        <f>'[1]PRESUPUESTO OFICIAL TOTAL'!$I$16</f>
        <v>95.58</v>
      </c>
      <c r="E4" s="10">
        <f>'[1]PRESUPUESTO OFICIAL TOTAL'!$J$16</f>
        <v>1061870.6700000002</v>
      </c>
      <c r="F4" s="10">
        <f>ROUND(E4*D4,2)</f>
        <v>101493598.64</v>
      </c>
      <c r="G4" s="13"/>
      <c r="H4" s="2"/>
      <c r="I4" s="45"/>
    </row>
    <row r="5" spans="1:9" x14ac:dyDescent="0.2">
      <c r="A5" s="50"/>
      <c r="B5" s="15" t="s">
        <v>10</v>
      </c>
      <c r="C5" s="14" t="s">
        <v>11</v>
      </c>
      <c r="D5" s="16">
        <f>+(350)*$D$4</f>
        <v>33453</v>
      </c>
      <c r="E5" s="17">
        <v>661</v>
      </c>
      <c r="F5" s="17">
        <f>ROUND(E5*D5,2)</f>
        <v>22112433</v>
      </c>
      <c r="G5" s="13"/>
      <c r="H5" s="2"/>
      <c r="I5" s="45"/>
    </row>
    <row r="6" spans="1:9" x14ac:dyDescent="0.2">
      <c r="A6" s="50"/>
      <c r="B6" s="15" t="s">
        <v>12</v>
      </c>
      <c r="C6" s="14" t="s">
        <v>8</v>
      </c>
      <c r="D6" s="16">
        <f>+(0.56)*$D$4</f>
        <v>53.524800000000006</v>
      </c>
      <c r="E6" s="17">
        <v>93649</v>
      </c>
      <c r="F6" s="17">
        <f>ROUND(E6*D6,2)</f>
        <v>5012544</v>
      </c>
      <c r="G6" s="13"/>
      <c r="H6" s="2"/>
      <c r="I6" s="45"/>
    </row>
    <row r="7" spans="1:9" x14ac:dyDescent="0.2">
      <c r="A7" s="50"/>
      <c r="B7" s="15" t="s">
        <v>13</v>
      </c>
      <c r="C7" s="14" t="s">
        <v>8</v>
      </c>
      <c r="D7" s="16">
        <f>+(0.84)*$D$4</f>
        <v>80.287199999999999</v>
      </c>
      <c r="E7" s="17">
        <v>88031</v>
      </c>
      <c r="F7" s="17">
        <f t="shared" ref="F7" si="0">ROUND(E7*D7,2)</f>
        <v>7067762.5</v>
      </c>
      <c r="G7" s="13"/>
      <c r="H7" s="2"/>
      <c r="I7" s="45"/>
    </row>
    <row r="8" spans="1:9" ht="20.399999999999999" x14ac:dyDescent="0.2">
      <c r="A8" s="18" t="s">
        <v>14</v>
      </c>
      <c r="B8" s="11" t="s">
        <v>15</v>
      </c>
      <c r="C8" s="18" t="s">
        <v>8</v>
      </c>
      <c r="D8" s="12">
        <f>'[1]PRESUPUESTO OFICIAL TOTAL'!$I$17</f>
        <v>44.42</v>
      </c>
      <c r="E8" s="10">
        <f>'[1]PRESUPUESTO OFICIAL TOTAL'!$J$17</f>
        <v>733646.62</v>
      </c>
      <c r="F8" s="10">
        <f>ROUND(E8*D8,2)</f>
        <v>32588582.859999999</v>
      </c>
      <c r="G8" s="13"/>
      <c r="H8" s="2"/>
      <c r="I8" s="45"/>
    </row>
    <row r="9" spans="1:9" x14ac:dyDescent="0.2">
      <c r="A9" s="50"/>
      <c r="B9" s="15" t="s">
        <v>10</v>
      </c>
      <c r="C9" s="14" t="s">
        <v>11</v>
      </c>
      <c r="D9" s="16">
        <f>+(260)*$D$8</f>
        <v>11549.2</v>
      </c>
      <c r="E9" s="17">
        <v>661</v>
      </c>
      <c r="F9" s="17">
        <f>ROUND(E9*D9,2)</f>
        <v>7634021.2000000002</v>
      </c>
      <c r="G9" s="13"/>
      <c r="H9" s="2"/>
      <c r="I9" s="45"/>
    </row>
    <row r="10" spans="1:9" x14ac:dyDescent="0.2">
      <c r="A10" s="50"/>
      <c r="B10" s="15" t="s">
        <v>12</v>
      </c>
      <c r="C10" s="14" t="s">
        <v>8</v>
      </c>
      <c r="D10" s="16">
        <f>+(0.63)*$D$8</f>
        <v>27.9846</v>
      </c>
      <c r="E10" s="17">
        <v>93649</v>
      </c>
      <c r="F10" s="17">
        <f t="shared" ref="F10:F12" si="1">ROUND(E10*D10,2)</f>
        <v>2620729.81</v>
      </c>
      <c r="G10" s="13"/>
      <c r="H10" s="2"/>
      <c r="I10" s="45"/>
    </row>
    <row r="11" spans="1:9" x14ac:dyDescent="0.2">
      <c r="A11" s="50"/>
      <c r="B11" s="15" t="s">
        <v>13</v>
      </c>
      <c r="C11" s="14" t="s">
        <v>8</v>
      </c>
      <c r="D11" s="16">
        <f>+(0.84)*$D$8</f>
        <v>37.312800000000003</v>
      </c>
      <c r="E11" s="17">
        <v>88031</v>
      </c>
      <c r="F11" s="17">
        <f t="shared" si="1"/>
        <v>3284683.1</v>
      </c>
      <c r="G11" s="13"/>
      <c r="H11" s="2"/>
      <c r="I11" s="45"/>
    </row>
    <row r="12" spans="1:9" x14ac:dyDescent="0.2">
      <c r="A12" s="50"/>
      <c r="B12" s="15" t="s">
        <v>16</v>
      </c>
      <c r="C12" s="14" t="s">
        <v>8</v>
      </c>
      <c r="D12" s="16">
        <f>+(0.4)*D8</f>
        <v>17.768000000000001</v>
      </c>
      <c r="E12" s="17">
        <v>44117</v>
      </c>
      <c r="F12" s="17">
        <f t="shared" si="1"/>
        <v>783870.86</v>
      </c>
      <c r="G12" s="13"/>
      <c r="H12" s="2"/>
      <c r="I12" s="45"/>
    </row>
    <row r="13" spans="1:9" ht="20.399999999999999" x14ac:dyDescent="0.2">
      <c r="A13" s="4" t="s">
        <v>17</v>
      </c>
      <c r="B13" s="11" t="s">
        <v>18</v>
      </c>
      <c r="C13" s="7" t="s">
        <v>8</v>
      </c>
      <c r="D13" s="12">
        <f>'[1]PRESUPUESTO OFICIAL TOTAL'!$I$18</f>
        <v>57.9</v>
      </c>
      <c r="E13" s="10">
        <f>'[1]PRESUPUESTO OFICIAL TOTAL'!$J$18</f>
        <v>883363.39</v>
      </c>
      <c r="F13" s="10">
        <f>ROUND(E13*D13,2)</f>
        <v>51146740.280000001</v>
      </c>
      <c r="G13" s="13"/>
      <c r="H13" s="2"/>
      <c r="I13" s="45"/>
    </row>
    <row r="14" spans="1:9" x14ac:dyDescent="0.2">
      <c r="A14" s="50"/>
      <c r="B14" s="15" t="s">
        <v>19</v>
      </c>
      <c r="C14" s="14" t="s">
        <v>8</v>
      </c>
      <c r="D14" s="16">
        <f>(0.8)*$D$13</f>
        <v>46.32</v>
      </c>
      <c r="E14" s="17">
        <v>17856</v>
      </c>
      <c r="F14" s="19">
        <f t="shared" ref="F14:F18" si="2">ROUND(E14*D14,0)</f>
        <v>827090</v>
      </c>
      <c r="G14" s="13"/>
      <c r="H14" s="2"/>
      <c r="I14" s="45"/>
    </row>
    <row r="15" spans="1:9" x14ac:dyDescent="0.2">
      <c r="A15" s="50"/>
      <c r="B15" s="15" t="s">
        <v>10</v>
      </c>
      <c r="C15" s="14" t="s">
        <v>11</v>
      </c>
      <c r="D15" s="16">
        <f>+(300)*$D$13</f>
        <v>17370</v>
      </c>
      <c r="E15" s="17">
        <v>661</v>
      </c>
      <c r="F15" s="19">
        <f t="shared" si="2"/>
        <v>11481570</v>
      </c>
      <c r="G15" s="13"/>
      <c r="H15" s="2"/>
      <c r="I15" s="45"/>
    </row>
    <row r="16" spans="1:9" x14ac:dyDescent="0.2">
      <c r="A16" s="50"/>
      <c r="B16" s="15" t="s">
        <v>12</v>
      </c>
      <c r="C16" s="14" t="s">
        <v>8</v>
      </c>
      <c r="D16" s="16">
        <f>+(0.72)*$D$13</f>
        <v>41.687999999999995</v>
      </c>
      <c r="E16" s="17">
        <v>93649</v>
      </c>
      <c r="F16" s="19">
        <f t="shared" si="2"/>
        <v>3904040</v>
      </c>
      <c r="G16" s="13"/>
      <c r="H16" s="2"/>
      <c r="I16" s="45"/>
    </row>
    <row r="17" spans="1:9" x14ac:dyDescent="0.2">
      <c r="A17" s="50"/>
      <c r="B17" s="15" t="s">
        <v>13</v>
      </c>
      <c r="C17" s="14" t="s">
        <v>8</v>
      </c>
      <c r="D17" s="16">
        <f>+(0.72)*$D$13</f>
        <v>41.687999999999995</v>
      </c>
      <c r="E17" s="17">
        <v>88031</v>
      </c>
      <c r="F17" s="19">
        <f t="shared" si="2"/>
        <v>3669836</v>
      </c>
      <c r="G17" s="13"/>
      <c r="H17" s="2"/>
      <c r="I17" s="45"/>
    </row>
    <row r="18" spans="1:9" x14ac:dyDescent="0.2">
      <c r="A18" s="50"/>
      <c r="B18" s="15" t="s">
        <v>20</v>
      </c>
      <c r="C18" s="14" t="s">
        <v>11</v>
      </c>
      <c r="D18" s="16">
        <f>0.05*D13</f>
        <v>2.895</v>
      </c>
      <c r="E18" s="17">
        <v>4681</v>
      </c>
      <c r="F18" s="19">
        <f t="shared" si="2"/>
        <v>13551</v>
      </c>
      <c r="G18" s="13"/>
      <c r="H18" s="2"/>
      <c r="I18" s="45"/>
    </row>
    <row r="19" spans="1:9" ht="20.399999999999999" x14ac:dyDescent="0.2">
      <c r="A19" s="4" t="s">
        <v>21</v>
      </c>
      <c r="B19" s="11" t="s">
        <v>22</v>
      </c>
      <c r="C19" s="7" t="s">
        <v>11</v>
      </c>
      <c r="D19" s="12">
        <f>'[1]PRESUPUESTO OFICIAL TOTAL'!$I$19</f>
        <v>9002.5500000000011</v>
      </c>
      <c r="E19" s="10">
        <f>'[1]PRESUPUESTO OFICIAL TOTAL'!$J$19</f>
        <v>10871.42</v>
      </c>
      <c r="F19" s="10">
        <f>ROUND(E19*D19,2)</f>
        <v>97870502.120000005</v>
      </c>
      <c r="G19" s="13"/>
      <c r="H19" s="2"/>
      <c r="I19" s="45"/>
    </row>
    <row r="20" spans="1:9" x14ac:dyDescent="0.2">
      <c r="A20" s="50"/>
      <c r="B20" s="15" t="s">
        <v>23</v>
      </c>
      <c r="C20" s="14" t="s">
        <v>11</v>
      </c>
      <c r="D20" s="16">
        <f>+(1.05)*D19</f>
        <v>9452.6775000000016</v>
      </c>
      <c r="E20" s="17">
        <v>5522</v>
      </c>
      <c r="F20" s="17">
        <f>ROUND(E20*D20,2)</f>
        <v>52197685.159999996</v>
      </c>
      <c r="G20" s="13"/>
      <c r="H20" s="2"/>
      <c r="I20" s="45"/>
    </row>
    <row r="21" spans="1:9" x14ac:dyDescent="0.2">
      <c r="A21" s="50"/>
      <c r="B21" s="15" t="s">
        <v>24</v>
      </c>
      <c r="C21" s="14" t="s">
        <v>11</v>
      </c>
      <c r="D21" s="16">
        <f>+(0.03)*D20</f>
        <v>283.58032500000002</v>
      </c>
      <c r="E21" s="17">
        <v>11395</v>
      </c>
      <c r="F21" s="17">
        <f>ROUND(E21*D21,2)</f>
        <v>3231397.8</v>
      </c>
      <c r="G21" s="13"/>
      <c r="H21" s="2"/>
      <c r="I21" s="45"/>
    </row>
    <row r="22" spans="1:9" x14ac:dyDescent="0.2">
      <c r="A22" s="56" t="s">
        <v>25</v>
      </c>
      <c r="B22" s="57"/>
      <c r="C22" s="57"/>
      <c r="D22" s="57"/>
      <c r="E22" s="58"/>
      <c r="F22" s="10">
        <f>+F3+F4+F8+F19+F13</f>
        <v>285388638.03999996</v>
      </c>
      <c r="G22" s="20"/>
      <c r="H22" s="2"/>
      <c r="I22" s="45"/>
    </row>
    <row r="23" spans="1:9" s="49" customFormat="1" ht="15.6" customHeight="1" x14ac:dyDescent="0.2">
      <c r="A23" s="59" t="s">
        <v>26</v>
      </c>
      <c r="B23" s="60"/>
      <c r="C23" s="60"/>
      <c r="D23" s="60"/>
      <c r="E23" s="61"/>
      <c r="F23" s="53">
        <f>+SUM(F5:F7)</f>
        <v>34192739.5</v>
      </c>
      <c r="G23" s="21"/>
      <c r="H23" s="45"/>
      <c r="I23" s="45"/>
    </row>
    <row r="24" spans="1:9" s="49" customFormat="1" ht="22.2" customHeight="1" x14ac:dyDescent="0.2">
      <c r="A24" s="59" t="s">
        <v>27</v>
      </c>
      <c r="B24" s="60"/>
      <c r="C24" s="60"/>
      <c r="D24" s="60"/>
      <c r="E24" s="61"/>
      <c r="F24" s="53">
        <f>+SUM(F9:F12)</f>
        <v>14323304.969999999</v>
      </c>
      <c r="G24" s="13"/>
      <c r="H24" s="45"/>
      <c r="I24" s="45"/>
    </row>
    <row r="25" spans="1:9" s="49" customFormat="1" ht="22.2" customHeight="1" x14ac:dyDescent="0.2">
      <c r="A25" s="59" t="s">
        <v>28</v>
      </c>
      <c r="B25" s="60"/>
      <c r="C25" s="60"/>
      <c r="D25" s="60"/>
      <c r="E25" s="61"/>
      <c r="F25" s="53">
        <f>+SUM(F14:F18)</f>
        <v>19896087</v>
      </c>
      <c r="G25" s="13"/>
      <c r="H25" s="45"/>
      <c r="I25" s="45"/>
    </row>
    <row r="26" spans="1:9" s="49" customFormat="1" ht="13.8" customHeight="1" x14ac:dyDescent="0.2">
      <c r="A26" s="59" t="s">
        <v>29</v>
      </c>
      <c r="B26" s="60"/>
      <c r="C26" s="60"/>
      <c r="D26" s="60"/>
      <c r="E26" s="61"/>
      <c r="F26" s="53">
        <f>+SUM(F20:F21)</f>
        <v>55429082.959999993</v>
      </c>
      <c r="G26" s="13"/>
      <c r="H26" s="45"/>
      <c r="I26" s="45"/>
    </row>
    <row r="27" spans="1:9" s="49" customFormat="1" ht="13.8" customHeight="1" x14ac:dyDescent="0.2">
      <c r="A27" s="59" t="s">
        <v>30</v>
      </c>
      <c r="B27" s="60"/>
      <c r="C27" s="60"/>
      <c r="D27" s="60"/>
      <c r="E27" s="61"/>
      <c r="F27" s="53">
        <f>+SUM(F23:F26)</f>
        <v>123841214.42999999</v>
      </c>
      <c r="G27" s="13"/>
      <c r="H27" s="45"/>
      <c r="I27" s="45"/>
    </row>
    <row r="28" spans="1:9" ht="38.25" customHeight="1" x14ac:dyDescent="0.2">
      <c r="A28" s="62" t="str">
        <f>$A$1</f>
        <v>MEJORAMIENTO DE VIAS TERCIARIAS MEDIANTE CONSTRUCCION DE PLACA HUELLAS EN EL EJE VIAL QUE COMUNICA LAS VEREDAS MARIA ALTA, CHAVARRO, PANTANILLO, GARBANZAL DEL MUNICIPIO DE ALBAN CUNDINAMARCA</v>
      </c>
      <c r="B28" s="62"/>
      <c r="C28" s="62"/>
      <c r="D28" s="62"/>
      <c r="E28" s="62"/>
      <c r="F28" s="62"/>
      <c r="G28" s="62"/>
      <c r="H28" s="2"/>
      <c r="I28" s="45"/>
    </row>
    <row r="29" spans="1:9" ht="24" customHeight="1" x14ac:dyDescent="0.2">
      <c r="A29" s="22" t="s">
        <v>0</v>
      </c>
      <c r="B29" s="23" t="s">
        <v>1</v>
      </c>
      <c r="C29" s="23" t="s">
        <v>2</v>
      </c>
      <c r="D29" s="24" t="s">
        <v>3</v>
      </c>
      <c r="E29" s="23" t="s">
        <v>4</v>
      </c>
      <c r="F29" s="23" t="s">
        <v>5</v>
      </c>
      <c r="G29" s="25" t="s">
        <v>31</v>
      </c>
      <c r="H29" s="2"/>
      <c r="I29" s="45"/>
    </row>
    <row r="30" spans="1:9" x14ac:dyDescent="0.2">
      <c r="A30" s="51">
        <v>1</v>
      </c>
      <c r="B30" s="15" t="s">
        <v>19</v>
      </c>
      <c r="C30" s="14" t="s">
        <v>8</v>
      </c>
      <c r="D30" s="16">
        <f>+D14</f>
        <v>46.32</v>
      </c>
      <c r="E30" s="17">
        <f>E14</f>
        <v>17856</v>
      </c>
      <c r="F30" s="17">
        <f>ROUND(E30*D30,2)</f>
        <v>827089.92000000004</v>
      </c>
      <c r="G30" s="26">
        <f>+F30/$F$38</f>
        <v>6.6786321673052247E-3</v>
      </c>
      <c r="H30" s="2"/>
      <c r="I30" s="45"/>
    </row>
    <row r="31" spans="1:9" x14ac:dyDescent="0.2">
      <c r="A31" s="51">
        <f>+A30+1</f>
        <v>2</v>
      </c>
      <c r="B31" s="15" t="s">
        <v>10</v>
      </c>
      <c r="C31" s="14" t="s">
        <v>11</v>
      </c>
      <c r="D31" s="16">
        <f>+D5+D9+D15</f>
        <v>62372.2</v>
      </c>
      <c r="E31" s="17">
        <f>E5</f>
        <v>661</v>
      </c>
      <c r="F31" s="17">
        <f>ROUND(E31*D31,2)</f>
        <v>41228024.200000003</v>
      </c>
      <c r="G31" s="26">
        <f>+F31/$F$38</f>
        <v>0.33291036676708413</v>
      </c>
      <c r="H31" s="2"/>
      <c r="I31" s="45"/>
    </row>
    <row r="32" spans="1:9" x14ac:dyDescent="0.2">
      <c r="A32" s="51">
        <f t="shared" ref="A32:A35" si="3">+A31+1</f>
        <v>3</v>
      </c>
      <c r="B32" s="15" t="s">
        <v>12</v>
      </c>
      <c r="C32" s="14" t="s">
        <v>8</v>
      </c>
      <c r="D32" s="16">
        <f>+D6+D10+D16</f>
        <v>123.19739999999999</v>
      </c>
      <c r="E32" s="17">
        <f>E6</f>
        <v>93649</v>
      </c>
      <c r="F32" s="17">
        <f>ROUND(E32*D32,2)</f>
        <v>11537313.310000001</v>
      </c>
      <c r="G32" s="26">
        <f t="shared" ref="G32:G37" si="4">+F32/$F$38</f>
        <v>9.3162145896355159E-2</v>
      </c>
      <c r="H32" s="2"/>
      <c r="I32" s="45"/>
    </row>
    <row r="33" spans="1:9" x14ac:dyDescent="0.2">
      <c r="A33" s="51">
        <f t="shared" si="3"/>
        <v>4</v>
      </c>
      <c r="B33" s="15" t="s">
        <v>13</v>
      </c>
      <c r="C33" s="14" t="s">
        <v>8</v>
      </c>
      <c r="D33" s="16">
        <f>+D7+D11+D17</f>
        <v>159.28799999999998</v>
      </c>
      <c r="E33" s="17">
        <f>+E7</f>
        <v>88031</v>
      </c>
      <c r="F33" s="17">
        <f t="shared" ref="F33" si="5">ROUND(E33*D33,2)</f>
        <v>14022281.93</v>
      </c>
      <c r="G33" s="26">
        <f t="shared" si="4"/>
        <v>0.11322791016086954</v>
      </c>
      <c r="H33" s="2"/>
      <c r="I33" s="45"/>
    </row>
    <row r="34" spans="1:9" x14ac:dyDescent="0.2">
      <c r="A34" s="51">
        <f t="shared" si="3"/>
        <v>5</v>
      </c>
      <c r="B34" s="15" t="s">
        <v>23</v>
      </c>
      <c r="C34" s="14" t="s">
        <v>11</v>
      </c>
      <c r="D34" s="16">
        <f>+D20</f>
        <v>9452.6775000000016</v>
      </c>
      <c r="E34" s="17">
        <f>E20</f>
        <v>5522</v>
      </c>
      <c r="F34" s="17">
        <f>ROUND(E34*D34,2)</f>
        <v>52197685.159999996</v>
      </c>
      <c r="G34" s="26">
        <f t="shared" si="4"/>
        <v>0.42148880156639623</v>
      </c>
      <c r="H34" s="2"/>
      <c r="I34" s="45"/>
    </row>
    <row r="35" spans="1:9" x14ac:dyDescent="0.2">
      <c r="A35" s="51">
        <f t="shared" si="3"/>
        <v>6</v>
      </c>
      <c r="B35" s="15" t="s">
        <v>16</v>
      </c>
      <c r="C35" s="14" t="s">
        <v>8</v>
      </c>
      <c r="D35" s="16">
        <f>D12</f>
        <v>17.768000000000001</v>
      </c>
      <c r="E35" s="17">
        <f>E12</f>
        <v>44117</v>
      </c>
      <c r="F35" s="17">
        <f>ROUND(E35*D35,2)</f>
        <v>783870.86</v>
      </c>
      <c r="G35" s="26">
        <f t="shared" si="4"/>
        <v>6.3296444727668905E-3</v>
      </c>
      <c r="H35" s="2"/>
      <c r="I35" s="45"/>
    </row>
    <row r="36" spans="1:9" x14ac:dyDescent="0.2">
      <c r="A36" s="51">
        <f>+A35+1</f>
        <v>7</v>
      </c>
      <c r="B36" s="15" t="s">
        <v>20</v>
      </c>
      <c r="C36" s="14" t="s">
        <v>11</v>
      </c>
      <c r="D36" s="16">
        <f>D18</f>
        <v>2.895</v>
      </c>
      <c r="E36" s="17">
        <f>E18</f>
        <v>4681</v>
      </c>
      <c r="F36" s="17">
        <f t="shared" ref="F36:F37" si="6">ROUND(E36*D36,2)</f>
        <v>13551.5</v>
      </c>
      <c r="G36" s="26">
        <f t="shared" si="4"/>
        <v>1.0942641377522379E-4</v>
      </c>
      <c r="H36" s="2"/>
      <c r="I36" s="45"/>
    </row>
    <row r="37" spans="1:9" x14ac:dyDescent="0.2">
      <c r="A37" s="52">
        <f t="shared" ref="A37" si="7">+A36+1</f>
        <v>8</v>
      </c>
      <c r="B37" s="27" t="s">
        <v>24</v>
      </c>
      <c r="C37" s="28" t="s">
        <v>11</v>
      </c>
      <c r="D37" s="29">
        <f>D21</f>
        <v>283.58032500000002</v>
      </c>
      <c r="E37" s="30">
        <f>E21</f>
        <v>11395</v>
      </c>
      <c r="F37" s="30">
        <f t="shared" si="6"/>
        <v>3231397.8</v>
      </c>
      <c r="G37" s="31">
        <f t="shared" si="4"/>
        <v>2.6093072555447579E-2</v>
      </c>
      <c r="H37" s="2"/>
      <c r="I37" s="45"/>
    </row>
    <row r="38" spans="1:9" ht="30" customHeight="1" x14ac:dyDescent="0.2">
      <c r="A38" s="64" t="s">
        <v>32</v>
      </c>
      <c r="B38" s="65"/>
      <c r="C38" s="65"/>
      <c r="D38" s="65"/>
      <c r="E38" s="66"/>
      <c r="F38" s="44">
        <f>SUM(F30:F37)</f>
        <v>123841214.68000001</v>
      </c>
      <c r="G38" s="33">
        <f>SUM(G30:G37)</f>
        <v>0.99999999999999989</v>
      </c>
      <c r="H38" s="2"/>
      <c r="I38" s="45"/>
    </row>
    <row r="39" spans="1:9" ht="36.75" customHeight="1" x14ac:dyDescent="0.2">
      <c r="A39" s="62" t="str">
        <f>$A$1</f>
        <v>MEJORAMIENTO DE VIAS TERCIARIAS MEDIANTE CONSTRUCCION DE PLACA HUELLAS EN EL EJE VIAL QUE COMUNICA LAS VEREDAS MARIA ALTA, CHAVARRO, PANTANILLO, GARBANZAL DEL MUNICIPIO DE ALBAN CUNDINAMARCA</v>
      </c>
      <c r="B39" s="62"/>
      <c r="C39" s="62"/>
      <c r="D39" s="62"/>
      <c r="E39" s="62"/>
      <c r="F39" s="62"/>
      <c r="G39" s="62"/>
      <c r="H39" s="62"/>
      <c r="I39" s="45"/>
    </row>
    <row r="40" spans="1:9" ht="35.25" customHeight="1" x14ac:dyDescent="0.2">
      <c r="A40" s="4" t="s">
        <v>0</v>
      </c>
      <c r="B40" s="4" t="s">
        <v>1</v>
      </c>
      <c r="C40" s="4" t="s">
        <v>2</v>
      </c>
      <c r="D40" s="5" t="s">
        <v>3</v>
      </c>
      <c r="E40" s="4" t="s">
        <v>4</v>
      </c>
      <c r="F40" s="4" t="s">
        <v>5</v>
      </c>
      <c r="G40" s="4" t="s">
        <v>31</v>
      </c>
      <c r="H40" s="4" t="s">
        <v>33</v>
      </c>
      <c r="I40" s="4" t="s">
        <v>34</v>
      </c>
    </row>
    <row r="41" spans="1:9" x14ac:dyDescent="0.2">
      <c r="A41" s="50" cm="1">
        <f t="array" ref="A41:G48">+_xlfn._xlws.SORT(Items[],6,-1,FALSE)</f>
        <v>5</v>
      </c>
      <c r="B41" s="15" t="str">
        <v>Acero de Refuerzo 60000 PSI</v>
      </c>
      <c r="C41" s="14" t="str">
        <v>KG</v>
      </c>
      <c r="D41" s="16">
        <v>9452.6775000000016</v>
      </c>
      <c r="E41" s="17">
        <v>5522</v>
      </c>
      <c r="F41" s="19">
        <v>52197685.159999996</v>
      </c>
      <c r="G41" s="34">
        <v>0.42148880156639623</v>
      </c>
      <c r="H41" s="35">
        <f>+G41</f>
        <v>0.42148880156639623</v>
      </c>
      <c r="I41" s="46">
        <f>AVERAGE(G41:G42)</f>
        <v>0.37719958416674015</v>
      </c>
    </row>
    <row r="42" spans="1:9" x14ac:dyDescent="0.2">
      <c r="A42" s="50">
        <v>2</v>
      </c>
      <c r="B42" s="15" t="str">
        <v>Cemento Gris</v>
      </c>
      <c r="C42" s="14" t="str">
        <v>KG</v>
      </c>
      <c r="D42" s="16">
        <v>62372.2</v>
      </c>
      <c r="E42" s="17">
        <v>661</v>
      </c>
      <c r="F42" s="19">
        <v>41228024.200000003</v>
      </c>
      <c r="G42" s="34">
        <v>0.33291036676708413</v>
      </c>
      <c r="H42" s="35">
        <f>+H41+G42</f>
        <v>0.75439916833348031</v>
      </c>
      <c r="I42" s="47"/>
    </row>
    <row r="43" spans="1:9" x14ac:dyDescent="0.2">
      <c r="A43" s="50">
        <v>4</v>
      </c>
      <c r="B43" s="15" t="str">
        <v>Triturado de Municipio</v>
      </c>
      <c r="C43" s="14" t="str">
        <v>M3</v>
      </c>
      <c r="D43" s="16">
        <v>159.28799999999998</v>
      </c>
      <c r="E43" s="17">
        <v>88031</v>
      </c>
      <c r="F43" s="19">
        <v>14022281.93</v>
      </c>
      <c r="G43" s="34">
        <v>0.11322791016086954</v>
      </c>
      <c r="H43" s="35">
        <f>+H42+G43</f>
        <v>0.86762707849434983</v>
      </c>
      <c r="I43" s="47"/>
    </row>
    <row r="44" spans="1:9" x14ac:dyDescent="0.2">
      <c r="A44" s="50">
        <v>3</v>
      </c>
      <c r="B44" s="15" t="str">
        <v>Arena Lavada de Rio en Municipio</v>
      </c>
      <c r="C44" s="14" t="str">
        <v>M3</v>
      </c>
      <c r="D44" s="16">
        <v>123.19739999999999</v>
      </c>
      <c r="E44" s="17">
        <v>93649</v>
      </c>
      <c r="F44" s="19">
        <v>11537313.310000001</v>
      </c>
      <c r="G44" s="34">
        <v>9.3162145896355159E-2</v>
      </c>
      <c r="H44" s="35">
        <f>+H43+G44</f>
        <v>0.96078922439070502</v>
      </c>
      <c r="I44" s="47"/>
    </row>
    <row r="45" spans="1:9" x14ac:dyDescent="0.2">
      <c r="A45" s="50">
        <v>8</v>
      </c>
      <c r="B45" s="15" t="str">
        <v>Alambre Negro No. 18</v>
      </c>
      <c r="C45" s="14" t="str">
        <v>KG</v>
      </c>
      <c r="D45" s="16">
        <v>283.58032500000002</v>
      </c>
      <c r="E45" s="17">
        <v>11395</v>
      </c>
      <c r="F45" s="19">
        <v>3231397.8</v>
      </c>
      <c r="G45" s="34">
        <v>2.6093072555447579E-2</v>
      </c>
      <c r="H45" s="35">
        <f t="shared" ref="H45:H48" si="8">+H44+G45</f>
        <v>0.98688229694615259</v>
      </c>
      <c r="I45" s="47"/>
    </row>
    <row r="46" spans="1:9" x14ac:dyDescent="0.2">
      <c r="A46" s="50">
        <v>1</v>
      </c>
      <c r="B46" s="15" t="str">
        <v>Material de afirmado</v>
      </c>
      <c r="C46" s="14" t="str">
        <v>M3</v>
      </c>
      <c r="D46" s="16">
        <v>46.32</v>
      </c>
      <c r="E46" s="17">
        <v>17856</v>
      </c>
      <c r="F46" s="19">
        <v>827089.92000000004</v>
      </c>
      <c r="G46" s="34">
        <v>6.6786321673052247E-3</v>
      </c>
      <c r="H46" s="35">
        <f t="shared" si="8"/>
        <v>0.99356092911345784</v>
      </c>
      <c r="I46" s="45"/>
    </row>
    <row r="47" spans="1:9" x14ac:dyDescent="0.2">
      <c r="A47" s="50">
        <v>6</v>
      </c>
      <c r="B47" s="15" t="str">
        <v>Rajon</v>
      </c>
      <c r="C47" s="37" t="str">
        <v>M3</v>
      </c>
      <c r="D47" s="16">
        <v>17.768000000000001</v>
      </c>
      <c r="E47" s="17">
        <v>44117</v>
      </c>
      <c r="F47" s="19">
        <v>783870.86</v>
      </c>
      <c r="G47" s="34">
        <v>6.3296444727668905E-3</v>
      </c>
      <c r="H47" s="35">
        <f t="shared" si="8"/>
        <v>0.99989057358622468</v>
      </c>
      <c r="I47" s="45"/>
    </row>
    <row r="48" spans="1:9" x14ac:dyDescent="0.2">
      <c r="A48" s="50">
        <v>7</v>
      </c>
      <c r="B48" s="27" t="str">
        <v>Asfalto Tipo 190/220 200 Kg</v>
      </c>
      <c r="C48" s="28" t="str">
        <v>KG</v>
      </c>
      <c r="D48" s="29">
        <v>2.895</v>
      </c>
      <c r="E48" s="30">
        <v>4681</v>
      </c>
      <c r="F48" s="19">
        <v>13551.5</v>
      </c>
      <c r="G48" s="34">
        <v>1.0942641377522379E-4</v>
      </c>
      <c r="H48" s="35">
        <f t="shared" si="8"/>
        <v>0.99999999999999989</v>
      </c>
      <c r="I48" s="45"/>
    </row>
    <row r="49" spans="1:9" x14ac:dyDescent="0.2">
      <c r="A49" s="63" t="s">
        <v>35</v>
      </c>
      <c r="B49" s="63"/>
      <c r="C49" s="63"/>
      <c r="D49" s="63"/>
      <c r="E49" s="63"/>
      <c r="F49" s="38">
        <f>SUM(F41:F48)</f>
        <v>123841214.67999999</v>
      </c>
      <c r="G49" s="39">
        <f>SUM(G41:G48)</f>
        <v>0.99999999999999989</v>
      </c>
      <c r="H49" s="40"/>
      <c r="I49" s="1"/>
    </row>
    <row r="50" spans="1:9" ht="26.25" customHeight="1" x14ac:dyDescent="0.2">
      <c r="A50" s="62" t="str">
        <f t="shared" ref="A50" si="9">$A$1</f>
        <v>MEJORAMIENTO DE VIAS TERCIARIAS MEDIANTE CONSTRUCCION DE PLACA HUELLAS EN EL EJE VIAL QUE COMUNICA LAS VEREDAS MARIA ALTA, CHAVARRO, PANTANILLO, GARBANZAL DEL MUNICIPIO DE ALBAN CUNDINAMARCA</v>
      </c>
      <c r="B50" s="62"/>
      <c r="C50" s="62"/>
      <c r="D50" s="62"/>
      <c r="E50" s="62"/>
      <c r="F50" s="62"/>
      <c r="G50" s="62"/>
      <c r="H50" s="62"/>
      <c r="I50" s="62"/>
    </row>
    <row r="51" spans="1:9" ht="28.5" customHeight="1" x14ac:dyDescent="0.2">
      <c r="A51" s="4" t="s">
        <v>0</v>
      </c>
      <c r="B51" s="4" t="s">
        <v>1</v>
      </c>
      <c r="C51" s="4" t="s">
        <v>2</v>
      </c>
      <c r="D51" s="5" t="s">
        <v>3</v>
      </c>
      <c r="E51" s="4" t="s">
        <v>4</v>
      </c>
      <c r="F51" s="4" t="s">
        <v>5</v>
      </c>
      <c r="G51" s="41" t="s">
        <v>31</v>
      </c>
      <c r="H51" s="4" t="s">
        <v>36</v>
      </c>
      <c r="I51" s="4" t="s">
        <v>37</v>
      </c>
    </row>
    <row r="52" spans="1:9" ht="20.399999999999999" x14ac:dyDescent="0.2">
      <c r="A52" s="50" cm="1">
        <f t="array" ref="A52:G59">+_xlfn._xlws.SORT(Items[],6,-1,FALSE)</f>
        <v>5</v>
      </c>
      <c r="B52" s="15" t="str">
        <v>Acero de Refuerzo 60000 PSI</v>
      </c>
      <c r="C52" s="14" t="str">
        <v>KG</v>
      </c>
      <c r="D52" s="16">
        <v>9452.6775000000016</v>
      </c>
      <c r="E52" s="17">
        <v>5522</v>
      </c>
      <c r="F52" s="19">
        <v>52197685.159999996</v>
      </c>
      <c r="G52" s="34">
        <v>0.42148880156639623</v>
      </c>
      <c r="H52" s="42">
        <f>I41</f>
        <v>0.37719958416674015</v>
      </c>
      <c r="I52" s="34" t="str">
        <f>IF(G52&gt;=$H$52,"ES BIEN RELEVANTE",IF(G52&lt;=$H$52,"NO ES BIEN RELEVANTE"))</f>
        <v>ES BIEN RELEVANTE</v>
      </c>
    </row>
    <row r="53" spans="1:9" ht="20.399999999999999" x14ac:dyDescent="0.2">
      <c r="A53" s="50">
        <v>2</v>
      </c>
      <c r="B53" s="15" t="str">
        <v>Cemento Gris</v>
      </c>
      <c r="C53" s="14" t="str">
        <v>KG</v>
      </c>
      <c r="D53" s="16">
        <v>62372.2</v>
      </c>
      <c r="E53" s="17">
        <v>661</v>
      </c>
      <c r="F53" s="19">
        <v>41228024.200000003</v>
      </c>
      <c r="G53" s="34">
        <v>0.33291036676708413</v>
      </c>
      <c r="H53" s="34" t="s">
        <v>38</v>
      </c>
      <c r="I53" s="34" t="str">
        <f>IF(G53&gt;=$H$52,"ES BIEN RELEVANTE",IF(G53&lt;=$H$52,"NO ES BIEN RELEVANTE"))</f>
        <v>NO ES BIEN RELEVANTE</v>
      </c>
    </row>
    <row r="54" spans="1:9" ht="20.399999999999999" x14ac:dyDescent="0.2">
      <c r="A54" s="50">
        <v>4</v>
      </c>
      <c r="B54" s="15" t="str">
        <v>Triturado de Municipio</v>
      </c>
      <c r="C54" s="14" t="str">
        <v>M3</v>
      </c>
      <c r="D54" s="16">
        <v>159.28799999999998</v>
      </c>
      <c r="E54" s="17">
        <v>88031</v>
      </c>
      <c r="F54" s="19">
        <v>14022281.93</v>
      </c>
      <c r="G54" s="34">
        <v>0.11322791016086954</v>
      </c>
      <c r="H54" s="34" t="s">
        <v>38</v>
      </c>
      <c r="I54" s="34" t="str">
        <f t="shared" ref="I54:I56" si="10">IF(G54&gt;=$H$52,"ES BIEN RELEVANTE",IF(G54&lt;=$H$52,"NO ES BIEN RELEVANTE"))</f>
        <v>NO ES BIEN RELEVANTE</v>
      </c>
    </row>
    <row r="55" spans="1:9" ht="20.399999999999999" x14ac:dyDescent="0.2">
      <c r="A55" s="50">
        <v>3</v>
      </c>
      <c r="B55" s="15" t="str">
        <v>Arena Lavada de Rio en Municipio</v>
      </c>
      <c r="C55" s="14" t="str">
        <v>M3</v>
      </c>
      <c r="D55" s="16">
        <v>123.19739999999999</v>
      </c>
      <c r="E55" s="17">
        <v>93649</v>
      </c>
      <c r="F55" s="19">
        <v>11537313.310000001</v>
      </c>
      <c r="G55" s="34">
        <v>9.3162145896355159E-2</v>
      </c>
      <c r="H55" s="34" t="s">
        <v>38</v>
      </c>
      <c r="I55" s="34" t="str">
        <f t="shared" si="10"/>
        <v>NO ES BIEN RELEVANTE</v>
      </c>
    </row>
    <row r="56" spans="1:9" ht="20.399999999999999" x14ac:dyDescent="0.2">
      <c r="A56" s="50">
        <v>8</v>
      </c>
      <c r="B56" s="15" t="str">
        <v>Alambre Negro No. 18</v>
      </c>
      <c r="C56" s="14" t="str">
        <v>KG</v>
      </c>
      <c r="D56" s="16">
        <v>283.58032500000002</v>
      </c>
      <c r="E56" s="17">
        <v>11395</v>
      </c>
      <c r="F56" s="19">
        <v>3231397.8</v>
      </c>
      <c r="G56" s="34">
        <v>2.6093072555447579E-2</v>
      </c>
      <c r="H56" s="34" t="s">
        <v>38</v>
      </c>
      <c r="I56" s="34" t="str">
        <f t="shared" si="10"/>
        <v>NO ES BIEN RELEVANTE</v>
      </c>
    </row>
    <row r="57" spans="1:9" ht="20.399999999999999" x14ac:dyDescent="0.2">
      <c r="A57" s="50">
        <v>1</v>
      </c>
      <c r="B57" s="15" t="str">
        <v>Material de afirmado</v>
      </c>
      <c r="C57" s="14" t="str">
        <v>M3</v>
      </c>
      <c r="D57" s="16">
        <v>46.32</v>
      </c>
      <c r="E57" s="17">
        <v>17856</v>
      </c>
      <c r="F57" s="19">
        <v>827089.92000000004</v>
      </c>
      <c r="G57" s="34">
        <v>6.6786321673052247E-3</v>
      </c>
      <c r="H57" s="34" t="s">
        <v>38</v>
      </c>
      <c r="I57" s="34" t="str">
        <f t="shared" ref="I57:I59" si="11">IF(G57&gt;=$H$52,"ES BIEN RELEVANTE",IF(G57&lt;=$H$52,"NO ES BIEN RELEVANTE"))</f>
        <v>NO ES BIEN RELEVANTE</v>
      </c>
    </row>
    <row r="58" spans="1:9" ht="20.399999999999999" x14ac:dyDescent="0.2">
      <c r="A58" s="50">
        <v>6</v>
      </c>
      <c r="B58" s="15" t="str">
        <v>Rajon</v>
      </c>
      <c r="C58" s="37" t="str">
        <v>M3</v>
      </c>
      <c r="D58" s="16">
        <v>17.768000000000001</v>
      </c>
      <c r="E58" s="17">
        <v>44117</v>
      </c>
      <c r="F58" s="19">
        <v>783870.86</v>
      </c>
      <c r="G58" s="34">
        <v>6.3296444727668905E-3</v>
      </c>
      <c r="H58" s="34" t="s">
        <v>38</v>
      </c>
      <c r="I58" s="34" t="str">
        <f t="shared" si="11"/>
        <v>NO ES BIEN RELEVANTE</v>
      </c>
    </row>
    <row r="59" spans="1:9" ht="20.399999999999999" x14ac:dyDescent="0.2">
      <c r="A59" s="50">
        <v>7</v>
      </c>
      <c r="B59" s="27" t="str">
        <v>Asfalto Tipo 190/220 200 Kg</v>
      </c>
      <c r="C59" s="28" t="str">
        <v>KG</v>
      </c>
      <c r="D59" s="29">
        <v>2.895</v>
      </c>
      <c r="E59" s="30">
        <v>4681</v>
      </c>
      <c r="F59" s="19">
        <v>13551.5</v>
      </c>
      <c r="G59" s="34">
        <v>1.0942641377522379E-4</v>
      </c>
      <c r="H59" s="34" t="s">
        <v>38</v>
      </c>
      <c r="I59" s="34" t="str">
        <f t="shared" si="11"/>
        <v>NO ES BIEN RELEVANTE</v>
      </c>
    </row>
    <row r="60" spans="1:9" x14ac:dyDescent="0.2">
      <c r="A60" s="54" t="s">
        <v>35</v>
      </c>
      <c r="B60" s="54"/>
      <c r="C60" s="54"/>
      <c r="D60" s="54"/>
      <c r="E60" s="54"/>
      <c r="F60" s="32">
        <f>SUM(F52:F59)</f>
        <v>123841214.67999999</v>
      </c>
      <c r="G60" s="36">
        <f>SUM(G52:G59)</f>
        <v>0.99999999999999989</v>
      </c>
      <c r="H60" s="43"/>
      <c r="I60" s="48"/>
    </row>
  </sheetData>
  <mergeCells count="13">
    <mergeCell ref="A60:E60"/>
    <mergeCell ref="A1:F1"/>
    <mergeCell ref="A22:E22"/>
    <mergeCell ref="A23:E23"/>
    <mergeCell ref="A24:E24"/>
    <mergeCell ref="A25:E25"/>
    <mergeCell ref="A26:E26"/>
    <mergeCell ref="A27:E27"/>
    <mergeCell ref="A28:G28"/>
    <mergeCell ref="A39:H39"/>
    <mergeCell ref="A49:E49"/>
    <mergeCell ref="A50:I50"/>
    <mergeCell ref="A38:E38"/>
  </mergeCells>
  <pageMargins left="0.7" right="0.7" top="0.75" bottom="0.75" header="0.3" footer="0.3"/>
  <pageSetup paperSize="122" scale="82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MATRIZ BIENES RELEV</vt:lpstr>
      <vt:lpstr>'MATRIZ BIENES RELEV'!Área_de_impresión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Andrés</dc:creator>
  <cp:lastModifiedBy>Morris Miguel Chuquino Capa</cp:lastModifiedBy>
  <dcterms:created xsi:type="dcterms:W3CDTF">2023-07-21T20:55:57Z</dcterms:created>
  <dcterms:modified xsi:type="dcterms:W3CDTF">2025-08-13T20:39:45Z</dcterms:modified>
</cp:coreProperties>
</file>