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defaultThemeVersion="166925"/>
  <mc:AlternateContent xmlns:mc="http://schemas.openxmlformats.org/markup-compatibility/2006">
    <mc:Choice Requires="x15">
      <x15ac:absPath xmlns:x15ac="http://schemas.microsoft.com/office/spreadsheetml/2010/11/ac" url="C:\Users\jmcepeda\Downloads\"/>
    </mc:Choice>
  </mc:AlternateContent>
  <xr:revisionPtr revIDLastSave="0" documentId="13_ncr:1_{9577592D-0C3E-4414-B00B-03B4EDCF7FD7}" xr6:coauthVersionLast="47" xr6:coauthVersionMax="47" xr10:uidLastSave="{00000000-0000-0000-0000-000000000000}"/>
  <bookViews>
    <workbookView xWindow="20370" yWindow="-120" windowWidth="29040" windowHeight="15840" tabRatio="929" firstSheet="5" activeTab="5" xr2:uid="{7BABF441-2E49-46C7-9E3E-B6DD4F5D500A}"/>
  </bookViews>
  <sheets>
    <sheet name="Procesos" sheetId="21" r:id="rId1"/>
    <sheet name="Mano de Obra" sheetId="4" r:id="rId2"/>
    <sheet name="PreciosWEBReferencias" sheetId="15" r:id="rId3"/>
    <sheet name="AIU" sheetId="371" r:id="rId4"/>
    <sheet name="precios" sheetId="370" r:id="rId5"/>
    <sheet name="Items" sheetId="2" r:id="rId6"/>
  </sheets>
  <definedNames>
    <definedName name="_________PJ50">#REF!</definedName>
    <definedName name="________PJ50">#REF!</definedName>
    <definedName name="_______PJ50">#REF!</definedName>
    <definedName name="______inf1">#REF!</definedName>
    <definedName name="______PJ50">#REF!</definedName>
    <definedName name="______xlnm._FilterDatabase">#REF!</definedName>
    <definedName name="______xlnm._FilterDatabase_1">#REF!</definedName>
    <definedName name="______xlnm._FilterDatabase_1_1">#REF!</definedName>
    <definedName name="______xlnm._FilterDatabase_2">#REF!</definedName>
    <definedName name="______xlnm._FilterDatabase_2_1">#REF!</definedName>
    <definedName name="______xlnm._FilterDatabase_3">#REF!</definedName>
    <definedName name="______xlnm.Print_Area">#REF!</definedName>
    <definedName name="______xlnm.Print_Area_1">#REF!</definedName>
    <definedName name="______xlnm.Print_Area_2">#REF!</definedName>
    <definedName name="______xlnm.Print_Area_2_1">#REF!</definedName>
    <definedName name="______xlnm.Print_Area_3">#REF!</definedName>
    <definedName name="______xlnm.Print_Titles">#REF!</definedName>
    <definedName name="______xlnm.Print_Titles_1">#REF!</definedName>
    <definedName name="______xlnm.Print_Titles_2">#REF!</definedName>
    <definedName name="______xlnm.Print_Titles_2_1">#REF!</definedName>
    <definedName name="_____key3">#REF!</definedName>
    <definedName name="_____PJ50">#REF!</definedName>
    <definedName name="_____pj51">#REF!</definedName>
    <definedName name="_____xlnm._FilterDatabase">#REF!</definedName>
    <definedName name="_____xlnm._FilterDatabase_1">#REF!</definedName>
    <definedName name="_____xlnm._FilterDatabase_1_1">#REF!</definedName>
    <definedName name="_____xlnm._FilterDatabase_2">#REF!</definedName>
    <definedName name="_____xlnm._FilterDatabase_2_1">#REF!</definedName>
    <definedName name="_____xlnm._FilterDatabase_3">#REF!</definedName>
    <definedName name="_____xlnm.Print_Area">#REF!</definedName>
    <definedName name="_____xlnm.Print_Area_1">#REF!</definedName>
    <definedName name="_____xlnm.Print_Area_2">#REF!</definedName>
    <definedName name="_____xlnm.Print_Area_2_1">#REF!</definedName>
    <definedName name="_____xlnm.Print_Area_3">#REF!</definedName>
    <definedName name="_____xlnm.Print_Titles">#REF!</definedName>
    <definedName name="_____xlnm.Print_Titles_1">#REF!</definedName>
    <definedName name="_____xlnm.Print_Titles_2">#REF!</definedName>
    <definedName name="_____xlnm.Print_Titles_2_1">#REF!</definedName>
    <definedName name="____key3">#REF!</definedName>
    <definedName name="____PJ50">#REF!</definedName>
    <definedName name="____pj51">#REF!</definedName>
    <definedName name="____xlnm._FilterDatabase">#REF!</definedName>
    <definedName name="____xlnm._FilterDatabase_1">#REF!</definedName>
    <definedName name="____xlnm._FilterDatabase_1_1">#REF!</definedName>
    <definedName name="____xlnm._FilterDatabase_2">#REF!</definedName>
    <definedName name="____xlnm._FilterDatabase_2_1">#REF!</definedName>
    <definedName name="____xlnm._FilterDatabase_3">#REF!</definedName>
    <definedName name="____xlnm.Print_Area">#REF!</definedName>
    <definedName name="____xlnm.Print_Area_1">#REF!</definedName>
    <definedName name="____xlnm.Print_Area_2">#REF!</definedName>
    <definedName name="____xlnm.Print_Area_2_1">#REF!</definedName>
    <definedName name="____xlnm.Print_Area_3">#REF!</definedName>
    <definedName name="____xlnm.Print_Titles">#REF!</definedName>
    <definedName name="____xlnm.Print_Titles_1">#REF!</definedName>
    <definedName name="____xlnm.Print_Titles_2">#REF!</definedName>
    <definedName name="____xlnm.Print_Titles_2_1">#REF!</definedName>
    <definedName name="___1Sin_nombre">#REF!</definedName>
    <definedName name="___inf1">#REF!</definedName>
    <definedName name="___key2">#REF!</definedName>
    <definedName name="___key3">#REF!</definedName>
    <definedName name="___PJ50">#REF!</definedName>
    <definedName name="___pj51">#REF!</definedName>
    <definedName name="___xlnm._FilterDatabase">#REF!</definedName>
    <definedName name="___xlnm._FilterDatabase_1">#REF!</definedName>
    <definedName name="___xlnm._FilterDatabase_1_1">#REF!</definedName>
    <definedName name="___xlnm._FilterDatabase_2">#REF!</definedName>
    <definedName name="___xlnm._FilterDatabase_2_1">#REF!</definedName>
    <definedName name="___xlnm._FilterDatabase_3">#REF!</definedName>
    <definedName name="___xlnm.Print_Area">#REF!</definedName>
    <definedName name="___xlnm.Print_Area_1">#REF!</definedName>
    <definedName name="___xlnm.Print_Area_2">#REF!</definedName>
    <definedName name="___xlnm.Print_Area_2_1">#REF!</definedName>
    <definedName name="___xlnm.Print_Area_3">#REF!</definedName>
    <definedName name="___xlnm.Print_Titles">#REF!</definedName>
    <definedName name="___xlnm.Print_Titles_1">#REF!</definedName>
    <definedName name="___xlnm.Print_Titles_2">#REF!</definedName>
    <definedName name="___xlnm.Print_Titles_2_1">#REF!</definedName>
    <definedName name="__123Graph_A">#REF!</definedName>
    <definedName name="__123Graph_AGraph2">#REF!</definedName>
    <definedName name="__123Graph_B">#REF!</definedName>
    <definedName name="__123Graph_X">#REF!</definedName>
    <definedName name="__J2">#REF!</definedName>
    <definedName name="__key2">#REF!</definedName>
    <definedName name="__key3">#REF!</definedName>
    <definedName name="__PJ50">#REF!</definedName>
    <definedName name="__pj51">#REF!</definedName>
    <definedName name="__xlnm._FilterDatabase">#REF!</definedName>
    <definedName name="__xlnm._FilterDatabase_1">#REF!</definedName>
    <definedName name="__xlnm._FilterDatabase_1_1">#REF!</definedName>
    <definedName name="__xlnm._FilterDatabase_2">#REF!</definedName>
    <definedName name="__xlnm._FilterDatabase_2_1">#REF!</definedName>
    <definedName name="__xlnm._FilterDatabase_3">#REF!</definedName>
    <definedName name="__xlnm.Print_Area">#REF!</definedName>
    <definedName name="__xlnm.Print_Area_1">#REF!</definedName>
    <definedName name="__xlnm.Print_Area_2">#REF!</definedName>
    <definedName name="__xlnm.Print_Area_2_1">#REF!</definedName>
    <definedName name="__xlnm.Print_Area_3">#REF!</definedName>
    <definedName name="__xlnm.Print_Titles">#REF!</definedName>
    <definedName name="__xlnm.Print_Titles_1">#REF!</definedName>
    <definedName name="__xlnm.Print_Titles_2">#REF!</definedName>
    <definedName name="__xlnm.Print_Titles_2_1">#REF!</definedName>
    <definedName name="_01">#REF!</definedName>
    <definedName name="_13_1_6">#REF!</definedName>
    <definedName name="_A17000">#REF!</definedName>
    <definedName name="_A20000">#REF!</definedName>
    <definedName name="_A30000">#REF!</definedName>
    <definedName name="_APU221">#REF!</definedName>
    <definedName name="_f">#REF!</definedName>
    <definedName name="_Fill">#REF!</definedName>
    <definedName name="_xlnm._FilterDatabase" localSheetId="5" hidden="1">Items!$A$6:$O$75</definedName>
    <definedName name="_inf1">#REF!</definedName>
    <definedName name="_IPC2002">#REF!</definedName>
    <definedName name="_Key1">#REF!</definedName>
    <definedName name="_Key2">#REF!</definedName>
    <definedName name="_key3">#REF!</definedName>
    <definedName name="_mop1">#REF!</definedName>
    <definedName name="_MOVIMIENTOTIERRAS">#REF!</definedName>
    <definedName name="_Parse_Out">#REF!</definedName>
    <definedName name="_PJ50">#REF!</definedName>
    <definedName name="_pj51">#REF!</definedName>
    <definedName name="_PRELIMINARES">#REF!</definedName>
    <definedName name="_Sort">#REF!</definedName>
    <definedName name="_Table1_In1">#REF!</definedName>
    <definedName name="_Table1_Out">#REF!</definedName>
    <definedName name="_Wt27">#REF!</definedName>
    <definedName name="A">#REF!</definedName>
    <definedName name="A_0">#REF!</definedName>
    <definedName name="A_1">#REF!</definedName>
    <definedName name="A_1___0">#REF!</definedName>
    <definedName name="A_1___1">#REF!</definedName>
    <definedName name="A_1___2">#REF!</definedName>
    <definedName name="A_1___3">#REF!</definedName>
    <definedName name="A_1___4">#REF!</definedName>
    <definedName name="A_1000">#REF!</definedName>
    <definedName name="A_2">#REF!</definedName>
    <definedName name="A_2___0">#REF!</definedName>
    <definedName name="A_2___1">#REF!</definedName>
    <definedName name="A_2___2">#REF!</definedName>
    <definedName name="A_2___3">#REF!</definedName>
    <definedName name="A_2___4">#REF!</definedName>
    <definedName name="A_IMPRESIÓN_IM">#REF!</definedName>
    <definedName name="a1_Y1">#REF!</definedName>
    <definedName name="a1_Y2">#REF!</definedName>
    <definedName name="a10_Y10">#REF!</definedName>
    <definedName name="a10_Y11">#REF!</definedName>
    <definedName name="a2_Y2">#REF!</definedName>
    <definedName name="a2_Y3">#REF!</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#REF!</definedName>
    <definedName name="AAA">#REF!</definedName>
    <definedName name="aaaaa">#REF!</definedName>
    <definedName name="absc">#N/A</definedName>
    <definedName name="AC">#REF!</definedName>
    <definedName name="ac_salfa">#REF!</definedName>
    <definedName name="ACADEMIA">#REF!</definedName>
    <definedName name="ACALZADA">#REF!</definedName>
    <definedName name="acarg1">#REF!</definedName>
    <definedName name="acarg2">#REF!</definedName>
    <definedName name="acarg3">#REF!</definedName>
    <definedName name="AccessDatabase" hidden="1">"A:\SAIN.mdb"</definedName>
    <definedName name="Acero">#REF!</definedName>
    <definedName name="Activo_corriente">#REF!</definedName>
    <definedName name="Activo_total">#REF!</definedName>
    <definedName name="actualizacion">#REF!</definedName>
    <definedName name="actualización">#REF!</definedName>
    <definedName name="acueductos">#REF!</definedName>
    <definedName name="AD">#REF!</definedName>
    <definedName name="AE">#REF!</definedName>
    <definedName name="AEL">#REF!</definedName>
    <definedName name="AFI">#REF!</definedName>
    <definedName name="AFN">#REF!</definedName>
    <definedName name="AFNIT">#REF!</definedName>
    <definedName name="AFP">#REF!</definedName>
    <definedName name="AFPYN">#REF!</definedName>
    <definedName name="Agregados">#REF!</definedName>
    <definedName name="AHS">#REF!</definedName>
    <definedName name="AIE">#REF!</definedName>
    <definedName name="AIRE_ACOND_ITEM">#REF!</definedName>
    <definedName name="AIRE_ACOND_VALOR">#REF!</definedName>
    <definedName name="AIRE_ACONDICIONADO">#REF!</definedName>
    <definedName name="AIU">#REF!</definedName>
    <definedName name="almacen.sanitario">#REF!</definedName>
    <definedName name="altillo">#REF!</definedName>
    <definedName name="altillo_salfa">#REF!</definedName>
    <definedName name="AMI">#REF!</definedName>
    <definedName name="AN">#REF!</definedName>
    <definedName name="ANAC">#REF!</definedName>
    <definedName name="anden">#REF!</definedName>
    <definedName name="anden_salfa">#REF!</definedName>
    <definedName name="ANDINO">#REF!</definedName>
    <definedName name="ANEXO3A1">#REF!</definedName>
    <definedName name="ANEXO3A2">#REF!</definedName>
    <definedName name="Angebotsdatum">#REF!</definedName>
    <definedName name="Ant_1">#REF!</definedName>
    <definedName name="Ant_10">#REF!</definedName>
    <definedName name="Ant_2">#REF!</definedName>
    <definedName name="Ant_3">#REF!</definedName>
    <definedName name="Ant_4">#REF!</definedName>
    <definedName name="Ant_5">#REF!</definedName>
    <definedName name="Ant_6">#REF!</definedName>
    <definedName name="Ant_7">#REF!</definedName>
    <definedName name="Ant_9">#REF!</definedName>
    <definedName name="año1">#REF!</definedName>
    <definedName name="AÑO1988">#REF!</definedName>
    <definedName name="AÑO1996">#REF!</definedName>
    <definedName name="AÑO1997">#REF!</definedName>
    <definedName name="AÑO1999">#REF!</definedName>
    <definedName name="AÑO2000">#REF!</definedName>
    <definedName name="AÑO2001">#REF!</definedName>
    <definedName name="AÑOWUIE">#REF!</definedName>
    <definedName name="Apar.Sanitarios">#REF!</definedName>
    <definedName name="APARAT_SAN_INCRUST_ITEM">#REF!</definedName>
    <definedName name="APARAT_SANIT_ITEM">#REF!</definedName>
    <definedName name="APARATOS_MUEBLES_MESONES_ESPEJOS">#REF!</definedName>
    <definedName name="APARATOSSAN">#REF!</definedName>
    <definedName name="Aportes">#REF!</definedName>
    <definedName name="APOYONAL">#REF!</definedName>
    <definedName name="APU221.1">#REF!</definedName>
    <definedName name="APU221.2">#REF!</definedName>
    <definedName name="area">#REF!</definedName>
    <definedName name="_xlnm.Print_Area" localSheetId="3">AIU!$A$6:$G$64</definedName>
    <definedName name="_xlnm.Print_Area" localSheetId="5">Items!$A$1:$O$75</definedName>
    <definedName name="_xlnm.Print_Area" localSheetId="0">Procesos!$A$1:$I$33</definedName>
    <definedName name="ARHS">#REF!</definedName>
    <definedName name="ARTIMFER">#REF!</definedName>
    <definedName name="AS">#REF!</definedName>
    <definedName name="ASCENSORES_ITEM">#REF!</definedName>
    <definedName name="ASDF">#REF!</definedName>
    <definedName name="asdfñk">#N/A</definedName>
    <definedName name="ASF">#REF!</definedName>
    <definedName name="AUFTRAGTIT">#REF!</definedName>
    <definedName name="auto1">#REF!</definedName>
    <definedName name="auto2">#REF!</definedName>
    <definedName name="ax">#REF!</definedName>
    <definedName name="AZ">#REF!</definedName>
    <definedName name="B">#REF!</definedName>
    <definedName name="B_1">#REF!</definedName>
    <definedName name="B_1___0">#REF!</definedName>
    <definedName name="B_1___1">#REF!</definedName>
    <definedName name="B_1___2">#REF!</definedName>
    <definedName name="B_1___3">#REF!</definedName>
    <definedName name="B_1___4">#REF!</definedName>
    <definedName name="B_2">#REF!</definedName>
    <definedName name="B_2___0">#REF!</definedName>
    <definedName name="B_2___1">#REF!</definedName>
    <definedName name="B_2___2">#REF!</definedName>
    <definedName name="B_2___3">#REF!</definedName>
    <definedName name="B_2___4">#REF!</definedName>
    <definedName name="B01_">#REF!</definedName>
    <definedName name="B01____0">#REF!</definedName>
    <definedName name="B01____1">#REF!</definedName>
    <definedName name="B01____2">#REF!</definedName>
    <definedName name="B01____3">#REF!</definedName>
    <definedName name="B01____4">#REF!</definedName>
    <definedName name="B02_">#REF!</definedName>
    <definedName name="B02____0">#REF!</definedName>
    <definedName name="B02____1">#REF!</definedName>
    <definedName name="B02____2">#REF!</definedName>
    <definedName name="B02____3">#REF!</definedName>
    <definedName name="B02____4">#REF!</definedName>
    <definedName name="B03_">#REF!</definedName>
    <definedName name="B03____0">#REF!</definedName>
    <definedName name="B03____1">#REF!</definedName>
    <definedName name="B03____2">#REF!</definedName>
    <definedName name="B03____3">#REF!</definedName>
    <definedName name="B03____4">#REF!</definedName>
    <definedName name="B04_">#REF!</definedName>
    <definedName name="B04____0">#REF!</definedName>
    <definedName name="B04____1">#REF!</definedName>
    <definedName name="B04____2">#REF!</definedName>
    <definedName name="B04____3">#REF!</definedName>
    <definedName name="B04____4">#REF!</definedName>
    <definedName name="B05_">#REF!</definedName>
    <definedName name="B05____0">#REF!</definedName>
    <definedName name="B05____1">#REF!</definedName>
    <definedName name="B05____2">#REF!</definedName>
    <definedName name="B05____3">#REF!</definedName>
    <definedName name="B05____4">#REF!</definedName>
    <definedName name="B06_">#REF!</definedName>
    <definedName name="B06____0">#REF!</definedName>
    <definedName name="B06____1">#REF!</definedName>
    <definedName name="B06____2">#REF!</definedName>
    <definedName name="B06____3">#REF!</definedName>
    <definedName name="B06____4">#REF!</definedName>
    <definedName name="B07_">#REF!</definedName>
    <definedName name="B07____0">#REF!</definedName>
    <definedName name="B07____1">#REF!</definedName>
    <definedName name="B07____2">#REF!</definedName>
    <definedName name="B07____3">#REF!</definedName>
    <definedName name="B07____4">#REF!</definedName>
    <definedName name="B08_">#REF!</definedName>
    <definedName name="B08____0">#REF!</definedName>
    <definedName name="B08____1">#REF!</definedName>
    <definedName name="B08____2">#REF!</definedName>
    <definedName name="B08____3">#REF!</definedName>
    <definedName name="B08____4">#REF!</definedName>
    <definedName name="BASE">#REF!</definedName>
    <definedName name="Base_datos_IM">#REF!</definedName>
    <definedName name="BASE_POAI">#REF!</definedName>
    <definedName name="BASES">#REF!</definedName>
    <definedName name="BB">#REF!</definedName>
    <definedName name="bcarg1">#REF!</definedName>
    <definedName name="bcarg2">#REF!</definedName>
    <definedName name="bcarg3">#REF!</definedName>
    <definedName name="BJHFYFYJLJK">#REF!</definedName>
    <definedName name="bodega">#REF!</definedName>
    <definedName name="bodegas_salfa">#REF!</definedName>
    <definedName name="BOLIVAR">#REF!</definedName>
    <definedName name="BOLIVAX">#REF!</definedName>
    <definedName name="bomel">#REF!</definedName>
    <definedName name="BuiltIn_AutoFilter___1">#REF!</definedName>
    <definedName name="BuiltIn_AutoFilter___2">#REF!</definedName>
    <definedName name="BuiltIn_AutoFilter___3">#REF!</definedName>
    <definedName name="BuiltIn_AutoFilter___4">#REF!</definedName>
    <definedName name="BuiltIn_AutoFilter___5">#REF!</definedName>
    <definedName name="BuiltIn_autofilter__22">#REF!</definedName>
    <definedName name="BuiltIn_Print_Area">#REF!</definedName>
    <definedName name="BuiltIn_Print_Area___0">#REF!</definedName>
    <definedName name="BuiltIn_Print_Area___0___0">#REF!</definedName>
    <definedName name="BuiltIn_Print_Area___0___0___0">#REF!</definedName>
    <definedName name="BuiltIn_Print_Area___0___0___1">#REF!</definedName>
    <definedName name="BuiltIn_Print_Area___0___0___2">#REF!</definedName>
    <definedName name="BuiltIn_Print_Area___0___1">#REF!</definedName>
    <definedName name="BuiltIn_Print_Area___0___2">#REF!</definedName>
    <definedName name="BuiltIn_Print_Titles">#REF!</definedName>
    <definedName name="BuiltIn_Print_Titles___0">#REF!</definedName>
    <definedName name="BuiltIn_Print_Titles___1___1">#REF!</definedName>
    <definedName name="BVCBCVBCVB">#REF!</definedName>
    <definedName name="C_">#REF!</definedName>
    <definedName name="C_1">#REF!</definedName>
    <definedName name="C_1___0">#REF!</definedName>
    <definedName name="C_1___1">#REF!</definedName>
    <definedName name="C_1___2">#REF!</definedName>
    <definedName name="C_1___3">#REF!</definedName>
    <definedName name="C_1___4">#REF!</definedName>
    <definedName name="C_2">#REF!</definedName>
    <definedName name="C_2___0">#REF!</definedName>
    <definedName name="C_2___1">#REF!</definedName>
    <definedName name="C_2___2">#REF!</definedName>
    <definedName name="C_2___3">#REF!</definedName>
    <definedName name="C_2___4">#REF!</definedName>
    <definedName name="CALCULO">#REF!</definedName>
    <definedName name="CALENDARIO">#REF!</definedName>
    <definedName name="CALENTADOR">#REF!</definedName>
    <definedName name="Cant">#REF!</definedName>
    <definedName name="CANT_">#REF!</definedName>
    <definedName name="CANT____0">#REF!</definedName>
    <definedName name="CANT____1">#REF!</definedName>
    <definedName name="CANT____2">#REF!</definedName>
    <definedName name="CANT__1">#REF!</definedName>
    <definedName name="cañ">#REF!</definedName>
    <definedName name="Capacitación_administrativa">#REF!</definedName>
    <definedName name="Capacitación_operativa">#REF!</definedName>
    <definedName name="CARGO1">#REF!</definedName>
    <definedName name="CARGO2">#REF!</definedName>
    <definedName name="CARGO3">#REF!</definedName>
    <definedName name="Carp.Aluminio">#REF!</definedName>
    <definedName name="Carp.Metalica">#REF!</definedName>
    <definedName name="Cartera_vencida_oficial">#REF!</definedName>
    <definedName name="Cartera_vencida_particular">#REF!</definedName>
    <definedName name="Cartera_vencida_total">#REF!</definedName>
    <definedName name="CASAVAL">#REF!</definedName>
    <definedName name="casco">#REF!</definedName>
    <definedName name="casco_salfa">#REF!</definedName>
    <definedName name="CBCVB">#REF!</definedName>
    <definedName name="cc">#REF!</definedName>
    <definedName name="cc___0">#REF!</definedName>
    <definedName name="cc___1">#REF!</definedName>
    <definedName name="ccarg1">#REF!</definedName>
    <definedName name="ccarg2">#REF!</definedName>
    <definedName name="ccarg3">#REF!</definedName>
    <definedName name="ccc">#REF!</definedName>
    <definedName name="ccc___0">#REF!</definedName>
    <definedName name="ccc___1">#REF!</definedName>
    <definedName name="cccc">#REF!</definedName>
    <definedName name="cccc___0">#REF!</definedName>
    <definedName name="cccc___1">#REF!</definedName>
    <definedName name="CCCCCC">#REF!</definedName>
    <definedName name="ccto210">#REF!</definedName>
    <definedName name="CD">#REF!</definedName>
    <definedName name="CDLL">#REF!</definedName>
    <definedName name="CEMENTO">#REF!</definedName>
    <definedName name="Cerrajeria">#REF!</definedName>
    <definedName name="CERRAMIENTO_PROVISIONAL">#REF!</definedName>
    <definedName name="cerramientoprovisional">#REF!</definedName>
    <definedName name="Cert_1">#REF!</definedName>
    <definedName name="Cert_10">#REF!</definedName>
    <definedName name="Cert_2">#REF!</definedName>
    <definedName name="Cert_3">#REF!</definedName>
    <definedName name="Cert_4">#REF!</definedName>
    <definedName name="Cert_5">#REF!</definedName>
    <definedName name="Cert_6">#REF!</definedName>
    <definedName name="Cert_7">#REF!</definedName>
    <definedName name="Cert_8">#REF!</definedName>
    <definedName name="Cert_9">#REF!</definedName>
    <definedName name="CH.1.1.1">#REF!</definedName>
    <definedName name="CIF">#REF!</definedName>
    <definedName name="CIFUS">#REF!</definedName>
    <definedName name="Cll_4N__15_AE_40_San_Eduardo_II_Etapa._Tel_750372._Cúcuta_Colombia.">#REF!</definedName>
    <definedName name="CNI">#REF!</definedName>
    <definedName name="CODIGO">#REF!</definedName>
    <definedName name="COGA71">#REF!</definedName>
    <definedName name="COLFRISER">#REF!</definedName>
    <definedName name="COLP">#REF!</definedName>
    <definedName name="COLREJILLAS">#REF!</definedName>
    <definedName name="Combustible">#REF!</definedName>
    <definedName name="CONCRETOS">#REF!</definedName>
    <definedName name="CONCRETOS_OBRAS_VARIAS">#REF!</definedName>
    <definedName name="CONDUFLEX">#REF!</definedName>
    <definedName name="ConsMaestro">#REF!</definedName>
    <definedName name="CONSORCIO">#REF!</definedName>
    <definedName name="consulta_pot_dec_MP_LP">#REF!</definedName>
    <definedName name="Consumo_estimado_por_facturar">#REF!</definedName>
    <definedName name="CONTROL1">#REF!</definedName>
    <definedName name="COPIA1">#REF!</definedName>
    <definedName name="COPIA2">#REF!</definedName>
    <definedName name="CORRUGADA">#REF!</definedName>
    <definedName name="CORSUE">#REF!</definedName>
    <definedName name="COSBNK">#REF!</definedName>
    <definedName name="COSTDIREC">#REF!</definedName>
    <definedName name="COSTES">#REF!</definedName>
    <definedName name="COSTMONEOR">#REF!</definedName>
    <definedName name="Costo">#REF!</definedName>
    <definedName name="Costo_de_ventas">#REF!</definedName>
    <definedName name="Costo_de_ventas_efectivo">#REF!</definedName>
    <definedName name="Costo_pensionados">#REF!</definedName>
    <definedName name="COSTOSUS">#REF!</definedName>
    <definedName name="COSTOT">#REF!</definedName>
    <definedName name="COSTOTUS">#REF!</definedName>
    <definedName name="COVAL">#REF!</definedName>
    <definedName name="credito_completa">#REF!</definedName>
    <definedName name="CRIT1">#REF!</definedName>
    <definedName name="CRITERIOCUMPLE">#REF!</definedName>
    <definedName name="Criterios_IM">#REF!</definedName>
    <definedName name="Criticos">#REF!</definedName>
    <definedName name="CU.ARTIMFER">#REF!</definedName>
    <definedName name="Cuadrillas">#REF!</definedName>
    <definedName name="CuadroIntermedio">#REF!</definedName>
    <definedName name="CuadroIntermedio1">#REF!</definedName>
    <definedName name="cubierta">#REF!</definedName>
    <definedName name="CUBS">#REF!</definedName>
    <definedName name="Cuentas_facturadas_acued_prom_vig">#REF!</definedName>
    <definedName name="CUMPLE_NO_CUMPLE">#REF!</definedName>
    <definedName name="CUMPLENOCUMPLE">#REF!</definedName>
    <definedName name="D">#REF!</definedName>
    <definedName name="D___0">#REF!</definedName>
    <definedName name="D___1">#REF!</definedName>
    <definedName name="D___2">#REF!</definedName>
    <definedName name="D___3">#REF!</definedName>
    <definedName name="D___4">#REF!</definedName>
    <definedName name="DARIPAVA_SOFTWARE_INC">#REF!</definedName>
    <definedName name="Database">#REF!</definedName>
    <definedName name="DC">#REF!</definedName>
    <definedName name="dcarg1">#REF!</definedName>
    <definedName name="dcarg2">#REF!</definedName>
    <definedName name="dcarg3">#REF!</definedName>
    <definedName name="DD">#REF!</definedName>
    <definedName name="DDSDSDSDSD">#REF!</definedName>
    <definedName name="Decision">#REF!</definedName>
    <definedName name="Desc_F">#REF!</definedName>
    <definedName name="Desc_F_Acc">#REF!</definedName>
    <definedName name="DESCAPOTE">#REF!</definedName>
    <definedName name="DESPERDICIOS">#REF!</definedName>
    <definedName name="Deudores_Corto_plazo">#REF!</definedName>
    <definedName name="Deudores_largo_plazo">#REF!</definedName>
    <definedName name="Deudores_Servicios_públicos">#REF!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F">#REF!</definedName>
    <definedName name="DH">#REF!</definedName>
    <definedName name="DICOL">#REF!</definedName>
    <definedName name="diego">#REF!</definedName>
    <definedName name="diego1">#REF!</definedName>
    <definedName name="Diferencia_de_estimados_año_ant_año_act">#REF!</definedName>
    <definedName name="DITEC">#REF!</definedName>
    <definedName name="DM">#REF!</definedName>
    <definedName name="DNT">#REF!</definedName>
    <definedName name="DNTI">#REF!</definedName>
    <definedName name="do">#REF!</definedName>
    <definedName name="DOA">#REF!</definedName>
    <definedName name="DOCUMENTOCARGOAPROBACION">#REF!</definedName>
    <definedName name="DOCUMENTOCODIGO">#REF!</definedName>
    <definedName name="DOCUMENTOFECHAREVISION">#REF!</definedName>
    <definedName name="DOCUMENTOUSUARIOAPROBACION">#REF!</definedName>
    <definedName name="DOCUMENTOVERSION">#REF!</definedName>
    <definedName name="dolar">#REF!</definedName>
    <definedName name="dólar">#REF!</definedName>
    <definedName name="dolartyco">#REF!</definedName>
    <definedName name="DOLCAN">#REF!</definedName>
    <definedName name="dollar">#REF!</definedName>
    <definedName name="dos">#REF!</definedName>
    <definedName name="DOTACION_SOLICITADA_POR_SECRETARIA_DE_SALUD___ASCENSORES">#REF!</definedName>
    <definedName name="Drywall">#REF!</definedName>
    <definedName name="DSDS">#REF!</definedName>
    <definedName name="Dt___0">#REF!</definedName>
    <definedName name="Dt___1">#REF!</definedName>
    <definedName name="Dt___2">#REF!</definedName>
    <definedName name="Dt___3">#REF!</definedName>
    <definedName name="Dt___4">#REF!</definedName>
    <definedName name="dta">#REF!</definedName>
    <definedName name="dtot">#REF!</definedName>
    <definedName name="dun">#REF!</definedName>
    <definedName name="DWQ">#REF!</definedName>
    <definedName name="dx">#REF!</definedName>
    <definedName name="e">#REF!</definedName>
    <definedName name="Ebdita">#REF!</definedName>
    <definedName name="ed_ext_salfa">#REF!</definedName>
    <definedName name="ed_salfa">#REF!</definedName>
    <definedName name="eeeeee">#REF!</definedName>
    <definedName name="eeeeee___0">#REF!</definedName>
    <definedName name="eeeeee___1">#REF!</definedName>
    <definedName name="ELECTRICO">#REF!</definedName>
    <definedName name="ELECTRICO_ITEM_ESTIMADO">#REF!</definedName>
    <definedName name="ENCHAPES">#REF!</definedName>
    <definedName name="ENCHAPES__REVOQUES_Y_PINTURA">#REF!</definedName>
    <definedName name="ENCHAPES_1">#REF!</definedName>
    <definedName name="ENCHAPES_ITEM">#REF!</definedName>
    <definedName name="Ensayo">#REF!</definedName>
    <definedName name="ENT1_SEPT25">#REF!</definedName>
    <definedName name="eq">#REF!</definedName>
    <definedName name="EQU">#REF!</definedName>
    <definedName name="EQUIPO">#REF!</definedName>
    <definedName name="EQUIPOS">#REF!</definedName>
    <definedName name="EquiposEspeciales">#REF!</definedName>
    <definedName name="EQUIPOTIT">#REF!</definedName>
    <definedName name="EQWDEWQDE">#REF!</definedName>
    <definedName name="ESP_PUB_VAR_CARP_MET_ITEM">#REF!</definedName>
    <definedName name="ESP_PUB_VIAS_YPARQ_ITEM">#REF!</definedName>
    <definedName name="ESP_PUBLICO_EXT_ITEM">#REF!</definedName>
    <definedName name="ESPECIALES">#REF!</definedName>
    <definedName name="ESPECIFICACION">#REF!</definedName>
    <definedName name="Especificación">#REF!</definedName>
    <definedName name="ESPEJOS_ITEM">#REF!</definedName>
    <definedName name="ESTACION">#REF!</definedName>
    <definedName name="estacionamientos">#REF!</definedName>
    <definedName name="Estado1">#REF!</definedName>
    <definedName name="ESTRUCT_ITEM">#REF!</definedName>
    <definedName name="ESTRUCTURA">#REF!</definedName>
    <definedName name="ESTRUCTURAL">#REF!</definedName>
    <definedName name="ESTUDIOS">#REF!</definedName>
    <definedName name="EUR">#REF!</definedName>
    <definedName name="EVW">#REF!</definedName>
    <definedName name="ewfrw">#REF!</definedName>
    <definedName name="EX">#REF!</definedName>
    <definedName name="EXCAVACION_Y_RETIRO_DE_MATERIAL">#REF!</definedName>
    <definedName name="Excel_BuiltIn__FilterDatabase_1">#REF!</definedName>
    <definedName name="Excel_BuiltIn__FilterDatabase_2">#REF!</definedName>
    <definedName name="Excel_BuiltIn__FilterDatabase_3">#REF!</definedName>
    <definedName name="Excel_BuiltIn_Print_Area_1">#REF!</definedName>
    <definedName name="Excel_BuiltIn_Recorder">#REF!</definedName>
    <definedName name="EXCROC">#REF!</definedName>
    <definedName name="exespcargo1">#REF!</definedName>
    <definedName name="exespcargo2">#REF!</definedName>
    <definedName name="exespcargo3">#REF!</definedName>
    <definedName name="exgencargo1">#REF!</definedName>
    <definedName name="exgencargo2">#REF!</definedName>
    <definedName name="exgencargo3">#REF!</definedName>
    <definedName name="EXPGEN">#REF!</definedName>
    <definedName name="ext_salfa">#REF!</definedName>
    <definedName name="exteriores">#REF!</definedName>
    <definedName name="exteriores_salfa">#REF!</definedName>
    <definedName name="Extracción_IM">#REF!</definedName>
    <definedName name="FA">#REF!</definedName>
    <definedName name="FACHADA_ITEM">#REF!</definedName>
    <definedName name="FACN">#REF!</definedName>
    <definedName name="factor">#REF!</definedName>
    <definedName name="Factor_deflactación_pesosde_1995">#REF!</definedName>
    <definedName name="Factor_NAL">#REF!</definedName>
    <definedName name="Factor_Sonic">#REF!</definedName>
    <definedName name="fad">#REF!</definedName>
    <definedName name="fado">#REF!</definedName>
    <definedName name="fati">#REF!</definedName>
    <definedName name="fbd">#REF!</definedName>
    <definedName name="fbi">#REF!</definedName>
    <definedName name="fcierre">#REF!</definedName>
    <definedName name="fcierrecal">#REF!</definedName>
    <definedName name="fcierrepre">#REF!</definedName>
    <definedName name="fd">#REF!</definedName>
    <definedName name="FDB">#REF!</definedName>
    <definedName name="fds">#REF!</definedName>
    <definedName name="fecha">#REF!</definedName>
    <definedName name="fecha_fin_servicio">#REF!</definedName>
    <definedName name="fecha_inicio_servicio">#REF!</definedName>
    <definedName name="Ferreteria">#REF!</definedName>
    <definedName name="FF">#REF!</definedName>
    <definedName name="fhh">#REF!</definedName>
    <definedName name="Final">#REF!</definedName>
    <definedName name="FINANC">#REF!</definedName>
    <definedName name="FinEVW">#REF!</definedName>
    <definedName name="Finitems">#REF!</definedName>
    <definedName name="FINMOV">#REF!</definedName>
    <definedName name="FLEXILATINA">#REF!</definedName>
    <definedName name="FM">#REF!</definedName>
    <definedName name="FMINEXP">#REF!</definedName>
    <definedName name="FN">#REF!</definedName>
    <definedName name="fobb">#REF!</definedName>
    <definedName name="FORMACION_ACADEMICA">#REF!</definedName>
    <definedName name="Formaletas">#REF!</definedName>
    <definedName name="FRANCO">#REF!</definedName>
    <definedName name="FS">#REF!</definedName>
    <definedName name="fvic">#REF!</definedName>
    <definedName name="g">#REF!</definedName>
    <definedName name="G._Importación">#REF!</definedName>
    <definedName name="GAS_MEDICINAL">#REF!</definedName>
    <definedName name="Gastos_financieros">#REF!</definedName>
    <definedName name="GASTOS_GENERALES">#REF!</definedName>
    <definedName name="Gastos_operacionales">#REF!</definedName>
    <definedName name="Gastos_operacionales_efectivos">#REF!</definedName>
    <definedName name="Generación_de_análisis_de_precios_Unitarios.">#REF!</definedName>
    <definedName name="Generación_interna_de_fondos">#REF!</definedName>
    <definedName name="GENERAL">#REF!</definedName>
    <definedName name="Geosinteticos">#REF!</definedName>
    <definedName name="GEOTEXTIL">#REF!</definedName>
    <definedName name="ges">#REF!</definedName>
    <definedName name="gg">#REF!</definedName>
    <definedName name="GGE">#REF!</definedName>
    <definedName name="GGE_rj">#REF!</definedName>
    <definedName name="GI">#REF!</definedName>
    <definedName name="Giros_inversión_directa">#REF!</definedName>
    <definedName name="GKJDGDIJZ">"Imagen 3"</definedName>
    <definedName name="GRIFERIAS_ITEM">#REF!</definedName>
    <definedName name="GRUPO1">#REF!</definedName>
    <definedName name="GRUPO2">#REF!</definedName>
    <definedName name="gsdf">#REF!</definedName>
    <definedName name="gsdf___0">#REF!</definedName>
    <definedName name="gsdf___1">#REF!</definedName>
    <definedName name="GU">#REF!</definedName>
    <definedName name="HELBERT">#REF!</definedName>
    <definedName name="Herr">#REF!</definedName>
    <definedName name="HERRAMIENTAS">#REF!</definedName>
    <definedName name="HF.PVMETAL">#REF!</definedName>
    <definedName name="HGF">#REF!</definedName>
    <definedName name="HGGG">#REF!</definedName>
    <definedName name="HIDROSANITARIO_RED_DE_GAS">#REF!</definedName>
    <definedName name="HIDROSANITYGAS_ITEM">#REF!</definedName>
    <definedName name="HJFGHFBM">#REF!</definedName>
    <definedName name="HOA">#REF!</definedName>
    <definedName name="HOJA1">#REF!</definedName>
    <definedName name="HOJACALCULO">#REF!</definedName>
    <definedName name="Honorarios_operativos">#REF!</definedName>
    <definedName name="Honorarios1__administrativo">#REF!</definedName>
    <definedName name="Honorarios2_administrativo">#REF!</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SA">#REF!</definedName>
    <definedName name="HT">#REF!</definedName>
    <definedName name="HTA">#REF!</definedName>
    <definedName name="HVAC01">#REF!</definedName>
    <definedName name="I">#REF!</definedName>
    <definedName name="ICNI">#REF!</definedName>
    <definedName name="IF">#REF!</definedName>
    <definedName name="ILNI">#REF!</definedName>
    <definedName name="IMP">#REF!</definedName>
    <definedName name="Impermeabilizantes">#REF!</definedName>
    <definedName name="impresion">#REF!</definedName>
    <definedName name="Imprimir_área_IM">#REF!</definedName>
    <definedName name="Imprimir_títulos_IM">#REF!</definedName>
    <definedName name="Incendio">#REF!</definedName>
    <definedName name="incr">#REF!</definedName>
    <definedName name="INCRUST">#REF!</definedName>
    <definedName name="INDI">#REF!</definedName>
    <definedName name="inf">#REF!</definedName>
    <definedName name="INFG">#REF!</definedName>
    <definedName name="Info_Prazo_do_contrato">#REF!</definedName>
    <definedName name="INGENIERIA1">#REF!</definedName>
    <definedName name="Ingreso_por_unidad_pago_por_capitación">#REF!</definedName>
    <definedName name="Ingresos_de_operación_causados">#REF!</definedName>
    <definedName name="Inst.Electricas">#REF!</definedName>
    <definedName name="Inst.Hidrosanitarias">#REF!</definedName>
    <definedName name="Instalacion">#REF!</definedName>
    <definedName name="INSUMOS">#REF!</definedName>
    <definedName name="Intereses_financiación_a_usuarios">#REF!</definedName>
    <definedName name="INV">#REF!</definedName>
    <definedName name="INV_11">#REF!</definedName>
    <definedName name="ITEM">#REF!</definedName>
    <definedName name="ITEMS">#REF!</definedName>
    <definedName name="IVA">#REF!</definedName>
    <definedName name="J">#REF!</definedName>
    <definedName name="jairo">#REF!</definedName>
    <definedName name="jairo2">#REF!</definedName>
    <definedName name="JJ">#REF!</definedName>
    <definedName name="JJJJJJJJJJJJJJJJJJJJ">#REF!</definedName>
    <definedName name="JJKJKJK">#REF!</definedName>
    <definedName name="JKJKJKJK">#REF!</definedName>
    <definedName name="JUCtes.Débiles">#REF!</definedName>
    <definedName name="jumbo_salfa">#REF!</definedName>
    <definedName name="K">#REF!</definedName>
    <definedName name="K_90">#REF!</definedName>
    <definedName name="KFOBUS">#REF!</definedName>
    <definedName name="KUOIUIUIYIO">#REF!</definedName>
    <definedName name="Ladrillos">#REF!</definedName>
    <definedName name="LE">#REF!</definedName>
    <definedName name="LICITACION">#REF!</definedName>
    <definedName name="lily">#REF!</definedName>
    <definedName name="LISTA_EQ">#REF!</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LLENOS">#REF!</definedName>
    <definedName name="LosPreciosTit">#REF!</definedName>
    <definedName name="lu">#REF!</definedName>
    <definedName name="M">#REF!</definedName>
    <definedName name="M.O.">#REF!</definedName>
    <definedName name="M.O.alcantarillado">#REF!</definedName>
    <definedName name="M.O.CIVIL">#REF!</definedName>
    <definedName name="ma">#REF!</definedName>
    <definedName name="MACO">#REF!</definedName>
    <definedName name="Maderas">#REF!</definedName>
    <definedName name="Makro1">#REF!</definedName>
    <definedName name="MAL">#REF!&lt;2.5</definedName>
    <definedName name="MALO">#REF!&lt;2.5</definedName>
    <definedName name="MAN">#REF!</definedName>
    <definedName name="MANO_DE_OBRA">#REF!</definedName>
    <definedName name="Mantenimiento_tanques_y_redes_distribución">#REF!</definedName>
    <definedName name="MAQUINAR">#REF!</definedName>
    <definedName name="margen">#REF!</definedName>
    <definedName name="Márgen">#REF!</definedName>
    <definedName name="margentyco">#REF!</definedName>
    <definedName name="MARIO">#REF!</definedName>
    <definedName name="markup_infra">#REF!</definedName>
    <definedName name="masss">#REF!</definedName>
    <definedName name="MAT">#REF!</definedName>
    <definedName name="MATERIALES">#REF!</definedName>
    <definedName name="MDC">#REF!</definedName>
    <definedName name="MDDH">#REF!</definedName>
    <definedName name="MDM">#REF!</definedName>
    <definedName name="mes_inicio_servicio">MONTH(#REF!)</definedName>
    <definedName name="meses">#REF!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ETACOL">#REF!</definedName>
    <definedName name="mg">#REF!</definedName>
    <definedName name="MGG">#REF!</definedName>
    <definedName name="MIO">#REF!</definedName>
    <definedName name="MIT">#REF!</definedName>
    <definedName name="MNI">#REF!</definedName>
    <definedName name="MO">#REF!</definedName>
    <definedName name="mob">#REF!</definedName>
    <definedName name="MOBILIARIO_SEG_ELECTRON_ITEM">#REF!</definedName>
    <definedName name="MOBILIARIOOFIC_ITEM">#REF!</definedName>
    <definedName name="moe">#REF!</definedName>
    <definedName name="Moneda">#REF!</definedName>
    <definedName name="moneda_uf">#REF!</definedName>
    <definedName name="Monto_Anticipo">#REF!</definedName>
    <definedName name="Monto_Contrato">#REF!</definedName>
    <definedName name="Monto_Total">#REF!</definedName>
    <definedName name="MOORE">#REF!</definedName>
    <definedName name="mop">#REF!</definedName>
    <definedName name="MOV_TIERRA_ITEM">#REF!</definedName>
    <definedName name="MOVIMIENTOS_DE_TIERRA">#REF!</definedName>
    <definedName name="MTC">#REF!</definedName>
    <definedName name="MUEBLES_BAÑOS_ITEM">#REF!</definedName>
    <definedName name="MUEBLES_COC_ITEM">#REF!</definedName>
    <definedName name="MUEBLES_COC_VALOR">#REF!</definedName>
    <definedName name="MUEBLES_MADERA_FIJ_ITEM">#REF!</definedName>
    <definedName name="MUEBLES_Y_CARPINTERIA">#REF!</definedName>
    <definedName name="MULA">#REF!</definedName>
    <definedName name="MUROS">#REF!</definedName>
    <definedName name="MUROS_BLOQ_PLOMO_ITEM">#REF!</definedName>
    <definedName name="MYC_DRYWALLITEM">#REF!</definedName>
    <definedName name="MYCIELOS_DRYWALLVALOR">#REF!</definedName>
    <definedName name="MyH">#REF!</definedName>
    <definedName name="MYPUERTAS_MAD_ITEM">#REF!</definedName>
    <definedName name="MYPUERTAS_MET_ITEM">#REF!</definedName>
    <definedName name="myuyuyuy">#REF!</definedName>
    <definedName name="n.p.4">#REF!</definedName>
    <definedName name="N__FUND_">#REF!</definedName>
    <definedName name="N__FUND____0">#REF!</definedName>
    <definedName name="N__FUND____1">#REF!</definedName>
    <definedName name="N__FUND____2">#REF!</definedName>
    <definedName name="N__FUND__1">#REF!</definedName>
    <definedName name="NACI">#REF!</definedName>
    <definedName name="nacionalizacion">#REF!</definedName>
    <definedName name="nacionalizaciontyco">#REF!</definedName>
    <definedName name="NCRITCUMPLE">#REF!</definedName>
    <definedName name="ndto">#REF!</definedName>
    <definedName name="NETO">#REF!</definedName>
    <definedName name="NIVEL">#REF!</definedName>
    <definedName name="NIVEL_ACADEMICO">#REF!</definedName>
    <definedName name="NIVEL_PROFESIONAL">#REF!</definedName>
    <definedName name="NIVELACADEMICO">#REF!</definedName>
    <definedName name="NKJGHNM">#REF!</definedName>
    <definedName name="NM">#REF!</definedName>
    <definedName name="nmop">#REF!</definedName>
    <definedName name="NN">#REF!</definedName>
    <definedName name="nnnnnn">#REF!</definedName>
    <definedName name="NO">#REF!</definedName>
    <definedName name="NOMBRE">#REF!</definedName>
    <definedName name="NOMPROY">#REF!</definedName>
    <definedName name="NOTAS">#REF!</definedName>
    <definedName name="NOVAFORT">#REF!</definedName>
    <definedName name="NRUBRO">#REF!</definedName>
    <definedName name="NUMMOD">#REF!</definedName>
    <definedName name="NUMPRO">#REF!</definedName>
    <definedName name="numproceso">#REF!</definedName>
    <definedName name="objproceso">#REF!</definedName>
    <definedName name="Obligaciones_financieras">#REF!</definedName>
    <definedName name="Obra">#REF!</definedName>
    <definedName name="OBRAS">#REF!</definedName>
    <definedName name="OBRAS_VARIAS">#REF!</definedName>
    <definedName name="OCIFICINAS">#REF!</definedName>
    <definedName name="OFICINAS">#REF!</definedName>
    <definedName name="OJO">#REF!</definedName>
    <definedName name="OLE_LINK1">#REF!</definedName>
    <definedName name="ooo">#REF!</definedName>
    <definedName name="oookoo">#REF!</definedName>
    <definedName name="op">#REF!</definedName>
    <definedName name="otr">#REF!</definedName>
    <definedName name="OTRUP">#REF!</definedName>
    <definedName name="P">#REF!</definedName>
    <definedName name="P.A.C_inversión_directa">#REF!</definedName>
    <definedName name="P_1">#REF!</definedName>
    <definedName name="pacd">#REF!</definedName>
    <definedName name="paisajismo_salfa">#REF!</definedName>
    <definedName name="PAISCONTRATOS">#REF!</definedName>
    <definedName name="PANEL_SOLARITEM">#REF!</definedName>
    <definedName name="PANELES_SISTEMA_SOLAR">#REF!</definedName>
    <definedName name="PAO">#REF!</definedName>
    <definedName name="PARTICIPACION">#REF!</definedName>
    <definedName name="Pasivo_corriente">#REF!</definedName>
    <definedName name="Pasivo_total">#REF!</definedName>
    <definedName name="Patrimonio">#REF!</definedName>
    <definedName name="PAVCO">#REF!</definedName>
    <definedName name="peat">#REF!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ICO">#REF!</definedName>
    <definedName name="pihnhn">#REF!</definedName>
    <definedName name="PINT_EXT_ITEM">#REF!</definedName>
    <definedName name="Pinturas">#REF!</definedName>
    <definedName name="PISOS">#REF!</definedName>
    <definedName name="PISOS_CONC_ESP_PUBL_ITEM">#REF!</definedName>
    <definedName name="PISOS_CONC_GRAN_ITEM">#REF!</definedName>
    <definedName name="PisosEnchapes">#REF!</definedName>
    <definedName name="pk">#REF!</definedName>
    <definedName name="Planta_Administrativa">#REF!</definedName>
    <definedName name="Planta_Comercial">#REF!</definedName>
    <definedName name="Planta_operativa">#REF!</definedName>
    <definedName name="Planta_personal_activo">#REF!</definedName>
    <definedName name="PMM">#REF!</definedName>
    <definedName name="PO">#REF!</definedName>
    <definedName name="POM">#REF!</definedName>
    <definedName name="PORC.AIU">#REF!</definedName>
    <definedName name="Porc_Retencion">#REF!</definedName>
    <definedName name="PORIGEN">#REF!</definedName>
    <definedName name="PORPO">#REF!</definedName>
    <definedName name="PORPOM">#REF!</definedName>
    <definedName name="PORPREGRADO">#REF!</definedName>
    <definedName name="POSMML">#REF!</definedName>
    <definedName name="POSTGRADOS">#REF!</definedName>
    <definedName name="POSTPREGRADO">#REF!</definedName>
    <definedName name="POZOS_CAJAS_SUM_ITEM">#REF!</definedName>
    <definedName name="PPTO">#REF!</definedName>
    <definedName name="PPTOmovtierra">#REF!</definedName>
    <definedName name="PPTOpreliminar">#REF!</definedName>
    <definedName name="PRE">#REF!</definedName>
    <definedName name="PRECIO">#REF!</definedName>
    <definedName name="Predios_con_medidor_trabado_confirmado">#REF!</definedName>
    <definedName name="Predios_fuera_de_servicio">#REF!</definedName>
    <definedName name="Predios_sin_medidor_obligatorio">#REF!</definedName>
    <definedName name="Prefabricados">#REF!</definedName>
    <definedName name="PRELIM_ITEM">#REF!</definedName>
    <definedName name="PRELIMINARES">#REF!</definedName>
    <definedName name="preliminares1">#REF!</definedName>
    <definedName name="PREPARACIO">#REF!</definedName>
    <definedName name="preparacion">#REF!</definedName>
    <definedName name="PREPARACION_POSTGRADUADA">#REF!</definedName>
    <definedName name="PresuDerivGuatDef">#REF!</definedName>
    <definedName name="PresuPresaDef">#REF!</definedName>
    <definedName name="Presupuesto">#REF!</definedName>
    <definedName name="Presupuesto_definitivo_inversión_directa">#REF!</definedName>
    <definedName name="Presupuesto_inicial_inversión_directa">#REF!</definedName>
    <definedName name="Print_Area_MI">#REF!</definedName>
    <definedName name="Print_Titles_MI">#REF!</definedName>
    <definedName name="Procedencia">#REF!</definedName>
    <definedName name="Procesos">#REF!</definedName>
    <definedName name="PRODESEG">#REF!</definedName>
    <definedName name="PROFESION">#REF!</definedName>
    <definedName name="PROFESIONES">#REF!</definedName>
    <definedName name="Proponente">#REF!</definedName>
    <definedName name="proyecto">#REF!</definedName>
    <definedName name="PRUEBA2">#REF!</definedName>
    <definedName name="PTA">#REF!</definedName>
    <definedName name="PTG">#REF!</definedName>
    <definedName name="PTO_PAC_FTES">#REF!</definedName>
    <definedName name="PUERTAS_ESP_ITEM">#REF!</definedName>
    <definedName name="PUERTAS_VIDRIERAS_VENTANAS_CARPINTERIA">#REF!</definedName>
    <definedName name="PV.ABRAZADERAS">#REF!</definedName>
    <definedName name="PV.SPRINKLER">#REF!</definedName>
    <definedName name="PVC">#REF!</definedName>
    <definedName name="PVIDRIERAS_ITEM">#REF!</definedName>
    <definedName name="PVMETAL">#REF!</definedName>
    <definedName name="PXFRU">#REF!</definedName>
    <definedName name="PYRO">#REF!</definedName>
    <definedName name="Q">#REF!</definedName>
    <definedName name="QUIPOTIT">#REF!</definedName>
    <definedName name="RangoSAP">#REF!</definedName>
    <definedName name="RANURADO.ARTIMFER">#REF!</definedName>
    <definedName name="RBAH">#REF!</definedName>
    <definedName name="REAJUSTE">#REF!</definedName>
    <definedName name="REAJUSTES">#REF!</definedName>
    <definedName name="Recargo_por_mora">#REF!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UBRIM_ESP_ITEM">#REF!</definedName>
    <definedName name="REG">#REF!&gt;2.5</definedName>
    <definedName name="REGULAR">#REF!&gt;2.5</definedName>
    <definedName name="REINA">#REF!</definedName>
    <definedName name="rell">#REF!</definedName>
    <definedName name="RELL.">#REF!</definedName>
    <definedName name="RELLG">#REF!</definedName>
    <definedName name="REPLANTEO">#REF!</definedName>
    <definedName name="RES_PRG_FTE">#REF!</definedName>
    <definedName name="Reservas_Inversión_directa">#REF!</definedName>
    <definedName name="RESPUESTAS">#REF!</definedName>
    <definedName name="Ret_1">#REF!</definedName>
    <definedName name="Ret_10">#REF!</definedName>
    <definedName name="Ret_2">#REF!</definedName>
    <definedName name="Ret_3">#REF!</definedName>
    <definedName name="Ret_4">#REF!</definedName>
    <definedName name="Ret_5">#REF!</definedName>
    <definedName name="Ret_6">#REF!</definedName>
    <definedName name="Ret_7">#REF!</definedName>
    <definedName name="Ret_9">#REF!</definedName>
    <definedName name="REVEST_ESP_ITEM">#REF!</definedName>
    <definedName name="rewq">#REF!</definedName>
    <definedName name="RinconJumbo">#REF!</definedName>
    <definedName name="rj">#REF!</definedName>
    <definedName name="rj_salfa">#REF!</definedName>
    <definedName name="RPHA">#REF!</definedName>
    <definedName name="RRRRRRRRRRRRRRRRRR">#REF!</definedName>
    <definedName name="rrrrrrrrrrrrrrrrrrrrrrrrrrrrrrrrrrrrrr">#REF!</definedName>
    <definedName name="RVIAS1">#REF!</definedName>
    <definedName name="RVIAS2">#REF!</definedName>
    <definedName name="RVIAS3">#REF!</definedName>
    <definedName name="s">#REF!</definedName>
    <definedName name="sac">#REF!</definedName>
    <definedName name="sac_salfa">#REF!</definedName>
    <definedName name="Salarios_de_personal_activo_adm">#REF!</definedName>
    <definedName name="Salarios_Personal_Activo_operativo">#REF!</definedName>
    <definedName name="SALID1">#REF!</definedName>
    <definedName name="salon">#REF!</definedName>
    <definedName name="SALON_EA">#REF!</definedName>
    <definedName name="salon_salfa">#REF!</definedName>
    <definedName name="SBH">#REF!</definedName>
    <definedName name="SC">#REF!</definedName>
    <definedName name="SELL.ACERO">#REF!</definedName>
    <definedName name="SELL.COBRE">#REF!</definedName>
    <definedName name="SELL.CONDUFLEX">#REF!</definedName>
    <definedName name="SELL.PP">#REF!</definedName>
    <definedName name="SELLANTES">#REF!</definedName>
    <definedName name="SEPT_25_09">#REF!</definedName>
    <definedName name="Servicio_de_la_deuda">#REF!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2">#REF!</definedName>
    <definedName name="SHARED_FORMULA_3">#REF!</definedName>
    <definedName name="SHARED_FORMULA_4">#REF!</definedName>
    <definedName name="SHARED_FORMULA_5">#REF!</definedName>
    <definedName name="SHARED_FORMULA_6">#REF!</definedName>
    <definedName name="SHARED_FORMULA_7">#REF!</definedName>
    <definedName name="SHARED_FORMULA_8">#REF!</definedName>
    <definedName name="SHARED_FORMULA_9">#REF!</definedName>
    <definedName name="SM">#REF!</definedName>
    <definedName name="SOL">#REF!</definedName>
    <definedName name="SOLTUB">#REF!</definedName>
    <definedName name="ss">#REF!</definedName>
    <definedName name="ss___0">#REF!</definedName>
    <definedName name="ss___1">#REF!</definedName>
    <definedName name="sss">#REF!</definedName>
    <definedName name="sss___0">#REF!</definedName>
    <definedName name="sss___1">#REF!</definedName>
    <definedName name="strty">#REF!</definedName>
    <definedName name="SUCRE">#REF!</definedName>
    <definedName name="Summary">#REF!</definedName>
    <definedName name="sup_ACC">#REF!</definedName>
    <definedName name="Sup_ACC_LS">#REF!</definedName>
    <definedName name="Sup_ACC_PM">#REF!</definedName>
    <definedName name="sup_ACCj">#REF!</definedName>
    <definedName name="Sup_Casco">#REF!</definedName>
    <definedName name="Sup_Casco_LS">#REF!</definedName>
    <definedName name="Sup_Casco_PM">#REF!</definedName>
    <definedName name="sup_cubierta">#REF!</definedName>
    <definedName name="sup_easy">#REF!</definedName>
    <definedName name="Sup_EC">#REF!</definedName>
    <definedName name="Sup_ED_LS">#REF!</definedName>
    <definedName name="Sup_ED_PM">#REF!</definedName>
    <definedName name="sup_edif_easy">#REF!</definedName>
    <definedName name="sup_edificio">#REF!</definedName>
    <definedName name="sup_estac_descub">#REF!</definedName>
    <definedName name="Sup_EX_LS">#REF!</definedName>
    <definedName name="Sup_EX_PM">#REF!</definedName>
    <definedName name="sup_exteriores">#REF!</definedName>
    <definedName name="sup_jumbo">#REF!</definedName>
    <definedName name="Sup_LC_LS">#REF!</definedName>
    <definedName name="Sup_LC_PM">#REF!</definedName>
    <definedName name="sup_loc_comer">#REF!</definedName>
    <definedName name="sup_locales_com">#REF!</definedName>
    <definedName name="sup_obras_comunidad">#REF!</definedName>
    <definedName name="sup_ofic_easy">#REF!</definedName>
    <definedName name="sup_ofic_jumbo">#REF!</definedName>
    <definedName name="sup_oficina">#REF!</definedName>
    <definedName name="Sup_rj">#REF!</definedName>
    <definedName name="Sup_RJ_LS">#REF!</definedName>
    <definedName name="sup_salón">#REF!</definedName>
    <definedName name="Sup_Tot_EA_LS">#REF!</definedName>
    <definedName name="Sup_Tot_EA_PM">#REF!</definedName>
    <definedName name="Sup_Tot_JU_LS">#REF!</definedName>
    <definedName name="Sup_Tot_Ju_PM">#REF!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T1I1">#REF!</definedName>
    <definedName name="ta">#REF!</definedName>
    <definedName name="TAB_EJE_05">#REF!</definedName>
    <definedName name="TAB_GESTORES">#REF!</definedName>
    <definedName name="TAB_POS_FIN">#REF!</definedName>
    <definedName name="TABLA">#REF!</definedName>
    <definedName name="TABLA_GERENCIAS">#REF!</definedName>
    <definedName name="tablaing">#REF!</definedName>
    <definedName name="TD">#REF!</definedName>
    <definedName name="tecval">#REF!</definedName>
    <definedName name="TGA">#REF!</definedName>
    <definedName name="tipo">#REF!</definedName>
    <definedName name="TIPO_D_K">#REF!</definedName>
    <definedName name="TIPO_DE_BASE">#REF!</definedName>
    <definedName name="TIPO_DE_BASE___0">#REF!</definedName>
    <definedName name="TIPO_DE_BASE___1">#REF!</definedName>
    <definedName name="TIPO_DE_BASE___2">#REF!</definedName>
    <definedName name="TIPO_DE_BASE___3">#REF!</definedName>
    <definedName name="TIPO_DE_BASE___4">#REF!</definedName>
    <definedName name="titu">#REF!</definedName>
    <definedName name="titu2">#REF!</definedName>
    <definedName name="TITULO">#REF!</definedName>
    <definedName name="TITULOS">#REF!</definedName>
    <definedName name="TK">#REF!</definedName>
    <definedName name="TOTAL">#REF!</definedName>
    <definedName name="totalcd">#REF!</definedName>
    <definedName name="totales">#REF!</definedName>
    <definedName name="TOTASBNK">#REF!</definedName>
    <definedName name="TRA">#REF!</definedName>
    <definedName name="TRANSPORTE">#REF!</definedName>
    <definedName name="trastienda">#REF!</definedName>
    <definedName name="trastienda_salfa">#REF!</definedName>
    <definedName name="TRAT">#REF!</definedName>
    <definedName name="trm">#REF!</definedName>
    <definedName name="TT">#REF!</definedName>
    <definedName name="TTE">#REF!</definedName>
    <definedName name="TTE.METAL">#REF!</definedName>
    <definedName name="TTYYBFFF">#REF!</definedName>
    <definedName name="TUBERIA">#REF!</definedName>
    <definedName name="TUBOTEC">#REF!</definedName>
    <definedName name="U">#REF!</definedName>
    <definedName name="U.PLATINO">#REF!</definedName>
    <definedName name="U_Antof">#REF!</definedName>
    <definedName name="ubicacion">#REF!</definedName>
    <definedName name="Ubicación">#REF!</definedName>
    <definedName name="ubom">#REF!</definedName>
    <definedName name="uca">#REF!</definedName>
    <definedName name="ucb">#REF!</definedName>
    <definedName name="ucctv">#REF!</definedName>
    <definedName name="ude">#REF!</definedName>
    <definedName name="ue">#REF!</definedName>
    <definedName name="UF">#REF!</definedName>
    <definedName name="UF_Cop">#REF!</definedName>
    <definedName name="Uf_GM">#REF!</definedName>
    <definedName name="UF_GM2">#REF!</definedName>
    <definedName name="uff">#REF!</definedName>
    <definedName name="ufm">#REF!</definedName>
    <definedName name="uga">#REF!</definedName>
    <definedName name="uint">#REF!</definedName>
    <definedName name="umo">#REF!</definedName>
    <definedName name="UnFom2">#REF!</definedName>
    <definedName name="UNIT">#REF!</definedName>
    <definedName name="UNITARIO">#REF!</definedName>
    <definedName name="Unitarios">#REF!</definedName>
    <definedName name="unj">#REF!</definedName>
    <definedName name="uoyfhj">#REF!</definedName>
    <definedName name="US">#REF!</definedName>
    <definedName name="USD">#REF!</definedName>
    <definedName name="uss">#REF!</definedName>
    <definedName name="USUARIOS">#REF!</definedName>
    <definedName name="usv">#REF!</definedName>
    <definedName name="util">#REF!</definedName>
    <definedName name="util_rj">#REF!</definedName>
    <definedName name="Utilidad_bruta">#REF!</definedName>
    <definedName name="Utilidad_de_operación">#REF!</definedName>
    <definedName name="Utilidad_neta">#REF!</definedName>
    <definedName name="utm">#REF!</definedName>
    <definedName name="uttm">#REF!</definedName>
    <definedName name="v">#REF!</definedName>
    <definedName name="Validez">#REF!</definedName>
    <definedName name="Valor_facturación_efectiva_periodo">#REF!</definedName>
    <definedName name="Valor_recaudo_facturación_efectiva_periodo">#REF!</definedName>
    <definedName name="valor1">#REF!</definedName>
    <definedName name="valor2">#REF!</definedName>
    <definedName name="VALOR3">#REF!</definedName>
    <definedName name="VariosAnalisis">#REF!</definedName>
    <definedName name="vehic">#REF!</definedName>
    <definedName name="venc">#REF!</definedName>
    <definedName name="VENEZ">#REF!</definedName>
    <definedName name="VENTANAS_ITEM">#REF!</definedName>
    <definedName name="vhd">#REF!</definedName>
    <definedName name="vhin">#REF!</definedName>
    <definedName name="vhp">#REF!</definedName>
    <definedName name="VI">#REF!</definedName>
    <definedName name="VIAS">#REF!</definedName>
    <definedName name="VITAULIC">#REF!</definedName>
    <definedName name="Viviendas_proyectadas_Bogotá">#REF!</definedName>
    <definedName name="vmoneda">#REF!</definedName>
    <definedName name="vnhujt">#REF!</definedName>
    <definedName name="VNI">#REF!</definedName>
    <definedName name="VNIM">#REF!</definedName>
    <definedName name="VOL_">#REF!</definedName>
    <definedName name="VOL____0">#REF!</definedName>
    <definedName name="VOL____1">#REF!</definedName>
    <definedName name="VOL____2">#REF!</definedName>
    <definedName name="VOL____3">#REF!</definedName>
    <definedName name="VOL__1">#REF!</definedName>
    <definedName name="VOL__2">#REF!</definedName>
    <definedName name="VOL__3">#REF!</definedName>
    <definedName name="VOL__TOT_">#REF!</definedName>
    <definedName name="VOL__TOT____0">#REF!</definedName>
    <definedName name="VOL__TOT____1">#REF!</definedName>
    <definedName name="VOL__TOT____2">#REF!</definedName>
    <definedName name="VOL__TOT____3">#REF!</definedName>
    <definedName name="VOL__TOT__1">#REF!</definedName>
    <definedName name="VOL__TOT__2">#REF!</definedName>
    <definedName name="VOL__TOT__3">#REF!</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SP">#REF!</definedName>
    <definedName name="VVV">#REF!</definedName>
    <definedName name="WER">#REF!</definedName>
    <definedName name="WILSON">#REF!</definedName>
    <definedName name="wrn.ESTALEIRO.">#REF!</definedName>
    <definedName name="wrn.formu.">#REF!</definedName>
    <definedName name="wrn.general.">#REF!</definedName>
    <definedName name="wrn.IMPRESION.">#REF!</definedName>
    <definedName name="wrn.OBRASC.">#REF!</definedName>
    <definedName name="wrn.precios.">#REF!</definedName>
    <definedName name="wrn.TRABFENO.">#REF!</definedName>
    <definedName name="wrn.via.">#REF!</definedName>
    <definedName name="WWW">#REF!</definedName>
    <definedName name="x">#REF!</definedName>
    <definedName name="XA">#REF!</definedName>
    <definedName name="XCXCXCXCXCXC">#REF!</definedName>
    <definedName name="xdz">#REF!</definedName>
    <definedName name="XX">#REF!</definedName>
    <definedName name="XXX">#REF!</definedName>
    <definedName name="XXXXXX">#REF!</definedName>
    <definedName name="XXXXXXXXXX">#REF!</definedName>
    <definedName name="XXXXXXXXXXXX">#REF!</definedName>
    <definedName name="YEN">#REF!</definedName>
    <definedName name="Z">#REF!</definedName>
    <definedName name="Z_235A93C1_87C6_11D4_BB51_444553540000_.wvu.Cols">#REF!</definedName>
    <definedName name="Z_235A93C2_87C6_11D4_BB51_444553540000_.wvu.Cols">#REF!</definedName>
    <definedName name="Z_235A93C3_87C6_11D4_BB51_444553540000_.wvu.Cols">#REF!</definedName>
    <definedName name="Z_235A93C4_87C6_11D4_BB51_444553540000_.wvu.Cols">#REF!</definedName>
    <definedName name="Z_235A93C5_87C6_11D4_BB51_444553540000_.wvu.Cols">#REF!</definedName>
    <definedName name="Z_235A93C6_87C6_11D4_BB51_444553540000_.wvu.Cols">#REF!</definedName>
    <definedName name="Z_235A93C7_87C6_11D4_BB51_444553540000_.wvu.Cols">#REF!</definedName>
    <definedName name="Z_6CDBE1A1_8642_11D4_8E16_005004999978_.wvu.PrintTitles">#REF!</definedName>
    <definedName name="Z_6CDBE1A1_8642_11D4_8E16_005004999978_.wvu.Rows">#REF!</definedName>
    <definedName name="Z_6CDBE1A2_8642_11D4_8E16_005004999978_.wvu.PrintTitles">#REF!</definedName>
    <definedName name="Z_6CDBE1A2_8642_11D4_8E16_005004999978_.wvu.Rows">#REF!</definedName>
    <definedName name="Z_6CDBE1AE_8642_11D4_8E16_005004999978_.wvu.Cols">#REF!</definedName>
    <definedName name="Z_6CDBE1AE_8642_11D4_8E16_005004999978_.wvu.PrintArea">#REF!</definedName>
    <definedName name="Z_6CDBE1AE_8642_11D4_8E16_005004999978_.wvu.Rows">#REF!</definedName>
    <definedName name="Z_6CDBE1AF_8642_11D4_8E16_005004999978_.wvu.Cols">#REF!</definedName>
    <definedName name="Z_6CDBE1AF_8642_11D4_8E16_005004999978_.wvu.Rows">#REF!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9" i="370" l="1"/>
  <c r="E117" i="370"/>
  <c r="D117" i="370"/>
  <c r="C117" i="370"/>
  <c r="F117" i="370" s="1"/>
  <c r="E114" i="370"/>
  <c r="D114" i="370"/>
  <c r="C114" i="370"/>
  <c r="F114" i="370" s="1"/>
  <c r="F110" i="370"/>
  <c r="F108" i="370"/>
  <c r="F106" i="370"/>
  <c r="E104" i="370"/>
  <c r="D104" i="370"/>
  <c r="C104" i="370"/>
  <c r="F102" i="370"/>
  <c r="F100" i="370"/>
  <c r="E98" i="370"/>
  <c r="F98" i="370" s="1"/>
  <c r="F96" i="370"/>
  <c r="E94" i="370"/>
  <c r="D94" i="370"/>
  <c r="F92" i="370"/>
  <c r="C94" i="370"/>
  <c r="F94" i="370" s="1"/>
  <c r="F90" i="370"/>
  <c r="F88" i="370"/>
  <c r="E82" i="370"/>
  <c r="F82" i="370" s="1"/>
  <c r="F86" i="370"/>
  <c r="E84" i="370"/>
  <c r="F84" i="370" s="1"/>
  <c r="F80" i="370"/>
  <c r="F78" i="370"/>
  <c r="C14" i="370"/>
  <c r="C12" i="370"/>
  <c r="E12" i="370"/>
  <c r="E10" i="370"/>
  <c r="F10" i="370" s="1"/>
  <c r="D8" i="370"/>
  <c r="E6" i="370"/>
  <c r="E5" i="370"/>
  <c r="E3" i="370"/>
  <c r="C18" i="370"/>
  <c r="C17" i="370"/>
  <c r="C16" i="370"/>
  <c r="E16" i="370"/>
  <c r="D18" i="370"/>
  <c r="D17" i="370"/>
  <c r="D6" i="370"/>
  <c r="D14" i="370"/>
  <c r="F14" i="370" s="1"/>
  <c r="D12" i="370"/>
  <c r="D5" i="370"/>
  <c r="D16" i="370"/>
  <c r="C8" i="370"/>
  <c r="C6" i="370"/>
  <c r="C5" i="370"/>
  <c r="F76" i="370"/>
  <c r="E74" i="370"/>
  <c r="F74" i="370" s="1"/>
  <c r="F72" i="370"/>
  <c r="F70" i="370"/>
  <c r="D68" i="370"/>
  <c r="F68" i="370" s="1"/>
  <c r="F66" i="370"/>
  <c r="F64" i="370"/>
  <c r="F62" i="370"/>
  <c r="C60" i="370"/>
  <c r="D60" i="370"/>
  <c r="C52" i="370"/>
  <c r="E52" i="370"/>
  <c r="C44" i="370"/>
  <c r="D52" i="370"/>
  <c r="D44" i="370"/>
  <c r="F58" i="370"/>
  <c r="F56" i="370"/>
  <c r="F54" i="370"/>
  <c r="F50" i="370"/>
  <c r="F48" i="370"/>
  <c r="F46" i="370"/>
  <c r="F42" i="370"/>
  <c r="F40" i="370"/>
  <c r="F38" i="370"/>
  <c r="F36" i="370"/>
  <c r="F34" i="370"/>
  <c r="E32" i="370"/>
  <c r="F32" i="370" s="1"/>
  <c r="E30" i="370"/>
  <c r="F30" i="370" s="1"/>
  <c r="F28" i="370"/>
  <c r="E24" i="370"/>
  <c r="D24" i="370"/>
  <c r="F26" i="370"/>
  <c r="F22" i="370"/>
  <c r="C51" i="371"/>
  <c r="E51" i="371"/>
  <c r="G51" i="371"/>
  <c r="F26" i="371"/>
  <c r="G26" i="371"/>
  <c r="F27" i="371"/>
  <c r="G27" i="371"/>
  <c r="F28" i="371"/>
  <c r="G28" i="371"/>
  <c r="F29" i="371"/>
  <c r="G29" i="371"/>
  <c r="F30" i="371"/>
  <c r="G30" i="371"/>
  <c r="F31" i="371"/>
  <c r="G31" i="371"/>
  <c r="F32" i="371"/>
  <c r="G32" i="371"/>
  <c r="G33" i="371"/>
  <c r="E11" i="371"/>
  <c r="E13" i="371"/>
  <c r="E16" i="371"/>
  <c r="F16" i="371"/>
  <c r="E17" i="371"/>
  <c r="F17" i="371"/>
  <c r="G17" i="371"/>
  <c r="F19" i="371"/>
  <c r="F20" i="371"/>
  <c r="F21" i="371"/>
  <c r="G21" i="371"/>
  <c r="D22" i="371"/>
  <c r="F22" i="371"/>
  <c r="G22" i="371"/>
  <c r="J3" i="371"/>
  <c r="D11" i="371" s="1"/>
  <c r="G11" i="371" s="1"/>
  <c r="J4" i="371"/>
  <c r="J5" i="371"/>
  <c r="J6" i="371"/>
  <c r="D3" i="370"/>
  <c r="C3" i="370"/>
  <c r="D20" i="371" l="1"/>
  <c r="D19" i="371"/>
  <c r="D13" i="371"/>
  <c r="F12" i="370"/>
  <c r="F104" i="370"/>
  <c r="F8" i="370"/>
  <c r="F5" i="370"/>
  <c r="F6" i="370"/>
  <c r="C19" i="370"/>
  <c r="D19" i="370"/>
  <c r="E19" i="370"/>
  <c r="F24" i="370"/>
  <c r="F44" i="370"/>
  <c r="F3" i="370"/>
  <c r="F52" i="370"/>
  <c r="F60" i="370"/>
  <c r="G13" i="371"/>
  <c r="D16" i="371"/>
  <c r="G16" i="371" s="1"/>
  <c r="G19" i="371"/>
  <c r="G20" i="371"/>
  <c r="G23" i="371" l="1"/>
  <c r="G35" i="371" s="1"/>
  <c r="F19" i="370"/>
  <c r="E4" i="4"/>
  <c r="E5" i="4" s="1"/>
  <c r="F5" i="4" s="1"/>
  <c r="F6" i="4" s="1"/>
  <c r="B2" i="4" l="1"/>
  <c r="D6" i="15" l="1"/>
  <c r="B5" i="4" l="1"/>
  <c r="B6" i="4" s="1"/>
  <c r="D4" i="4"/>
  <c r="J20" i="4"/>
  <c r="J21" i="4" s="1"/>
  <c r="D18" i="15"/>
  <c r="D17" i="15"/>
  <c r="D16" i="15"/>
  <c r="D13" i="15"/>
  <c r="D12" i="15"/>
  <c r="D11" i="15"/>
  <c r="D10" i="15"/>
  <c r="D9" i="15"/>
  <c r="D7" i="15"/>
  <c r="D5" i="15"/>
  <c r="D4" i="15"/>
  <c r="D2" i="15"/>
  <c r="G10" i="15"/>
  <c r="G12" i="15"/>
  <c r="G11" i="15"/>
  <c r="G13" i="15" l="1"/>
  <c r="D14" i="15" s="1"/>
  <c r="B16" i="4"/>
  <c r="B17" i="4" s="1"/>
  <c r="B23" i="4" s="1"/>
  <c r="B18" i="4"/>
  <c r="C18" i="4" s="1"/>
  <c r="C19" i="4" s="1"/>
  <c r="C25" i="4" s="1"/>
  <c r="E18" i="4" l="1"/>
  <c r="E24" i="4" s="1"/>
  <c r="B19" i="4"/>
  <c r="B25" i="4" s="1"/>
  <c r="C24" i="4"/>
  <c r="F18" i="4"/>
  <c r="F24" i="4" s="1"/>
  <c r="B24" i="4"/>
  <c r="C51" i="4" s="1"/>
  <c r="C54" i="4" s="1"/>
  <c r="D18" i="4"/>
  <c r="B20" i="4"/>
  <c r="D16" i="4"/>
  <c r="C16" i="4"/>
  <c r="B22" i="4"/>
  <c r="F16" i="4"/>
  <c r="E16" i="4"/>
  <c r="D8" i="21" l="1"/>
  <c r="E19" i="4"/>
  <c r="E25" i="4" s="1"/>
  <c r="C52" i="4"/>
  <c r="C53" i="4"/>
  <c r="C50" i="4"/>
  <c r="F19" i="4"/>
  <c r="F25" i="4" s="1"/>
  <c r="D24" i="4"/>
  <c r="C36" i="4" s="1"/>
  <c r="D19" i="4"/>
  <c r="D25" i="4" s="1"/>
  <c r="F22" i="4"/>
  <c r="F26" i="4" s="1"/>
  <c r="C40" i="4" s="1"/>
  <c r="F17" i="4"/>
  <c r="F20" i="4"/>
  <c r="B27" i="4"/>
  <c r="B21" i="4"/>
  <c r="C22" i="4"/>
  <c r="C17" i="4"/>
  <c r="C20" i="4"/>
  <c r="E20" i="4"/>
  <c r="E17" i="4"/>
  <c r="E22" i="4"/>
  <c r="E26" i="4" s="1"/>
  <c r="C39" i="4" s="1"/>
  <c r="D20" i="4"/>
  <c r="D17" i="4"/>
  <c r="D23" i="4" s="1"/>
  <c r="D22" i="4"/>
  <c r="C42" i="4"/>
  <c r="B26" i="4"/>
  <c r="C31" i="4" s="1"/>
  <c r="C44" i="4"/>
  <c r="C43" i="4"/>
  <c r="C49" i="4"/>
  <c r="C41" i="4"/>
  <c r="C55" i="4" s="1"/>
  <c r="C47" i="4"/>
  <c r="C48" i="4"/>
  <c r="C46" i="4"/>
  <c r="C45" i="4"/>
  <c r="D26" i="4" l="1"/>
  <c r="C33" i="4" s="1"/>
  <c r="C23" i="4"/>
  <c r="C27" i="4" s="1"/>
  <c r="C21" i="4"/>
  <c r="C38" i="4"/>
  <c r="C37" i="4"/>
  <c r="C34" i="4"/>
  <c r="C26" i="4"/>
  <c r="C32" i="4" s="1"/>
  <c r="C35" i="4"/>
  <c r="D21" i="4"/>
  <c r="D27" i="4"/>
  <c r="E21" i="4"/>
  <c r="E23" i="4"/>
  <c r="E27" i="4" s="1"/>
  <c r="F21" i="4"/>
  <c r="F23" i="4"/>
  <c r="F27" i="4" s="1"/>
  <c r="D4" i="21" l="1"/>
  <c r="D9" i="21" l="1"/>
  <c r="C3" i="371" l="1"/>
  <c r="E41" i="371" l="1"/>
  <c r="G36" i="371"/>
  <c r="C49" i="371" l="1"/>
  <c r="E49" i="371" s="1"/>
  <c r="G49" i="371" s="1"/>
  <c r="E43" i="371"/>
  <c r="G43" i="371" s="1"/>
  <c r="E42" i="371"/>
  <c r="G42" i="371" s="1"/>
  <c r="E44" i="371"/>
  <c r="G44" i="371" s="1"/>
  <c r="G41" i="371"/>
  <c r="C48" i="371"/>
  <c r="E48" i="371" s="1"/>
  <c r="G48" i="371" s="1"/>
  <c r="C50" i="371"/>
  <c r="E50" i="371" s="1"/>
  <c r="G50" i="371" s="1"/>
  <c r="G52" i="371" l="1"/>
  <c r="G53" i="371" s="1"/>
  <c r="G45" i="371"/>
  <c r="G54" i="371" l="1"/>
  <c r="G55" i="371" s="1"/>
  <c r="G57" i="371" s="1"/>
  <c r="G63" i="371" l="1"/>
  <c r="D1" i="21" l="1"/>
  <c r="D7" i="21"/>
  <c r="D6" i="21"/>
  <c r="D3" i="21"/>
  <c r="D2" i="21"/>
  <c r="D5" i="21"/>
  <c r="D10" i="2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 authorId="0" shapeId="0" xr:uid="{3212F80B-5615-49E0-A729-B0D99897EB4C}">
      <text>
        <r>
          <rPr>
            <sz val="11"/>
            <color theme="1"/>
            <rFont val="Arial"/>
            <family val="2"/>
          </rPr>
          <t>Con Auxilio de Transporte
	-admin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tc={47594734-9634-4A6D-B759-49EF9640BA81}</author>
  </authors>
  <commentList>
    <comment ref="E16" authorId="0" shapeId="0" xr:uid="{47594734-9634-4A6D-B759-49EF9640BA8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cotiza caja de 3 módulos para tener uno de 6 se requieren 2 </t>
      </text>
    </comment>
  </commentList>
</comments>
</file>

<file path=xl/sharedStrings.xml><?xml version="1.0" encoding="utf-8"?>
<sst xmlns="http://schemas.openxmlformats.org/spreadsheetml/2006/main" count="781" uniqueCount="582">
  <si>
    <t>Botica&amp;Imprenta</t>
  </si>
  <si>
    <t>Adecuaciones B&amp;I</t>
  </si>
  <si>
    <t>Mtto Correctivo B&amp;I</t>
  </si>
  <si>
    <t>Fragua</t>
  </si>
  <si>
    <t>Adecuaciones Fragua</t>
  </si>
  <si>
    <t>Mtto Correctivo Fragua</t>
  </si>
  <si>
    <t>Dann</t>
  </si>
  <si>
    <t>Adecuaciones Dann</t>
  </si>
  <si>
    <t>Mtto Correctivo Dann</t>
  </si>
  <si>
    <t xml:space="preserve">Palma </t>
  </si>
  <si>
    <t>Adecuaciones Palma</t>
  </si>
  <si>
    <t>Total Adecuaciones</t>
  </si>
  <si>
    <t>Total Mtto correctivo</t>
  </si>
  <si>
    <t>Total</t>
  </si>
  <si>
    <t>SEDE</t>
  </si>
  <si>
    <t>PRESUPUESTO EN MM</t>
  </si>
  <si>
    <t xml:space="preserve">PRESUPUESTO </t>
  </si>
  <si>
    <t>TIEMPO EJECUCIÓN</t>
  </si>
  <si>
    <t>OBJETO</t>
  </si>
  <si>
    <t>ENLACE</t>
  </si>
  <si>
    <t>BOTICA</t>
  </si>
  <si>
    <t>IMPRENTA</t>
  </si>
  <si>
    <t>COLONIAL</t>
  </si>
  <si>
    <t>FRAGUA &amp; PALMA</t>
  </si>
  <si>
    <t>TOTAL MANTENIMIENTOS</t>
  </si>
  <si>
    <t>CALCULO DE JORNALES - M. OBRA</t>
  </si>
  <si>
    <t>IPC 2023 + corrido 2024</t>
  </si>
  <si>
    <t>Concepto</t>
  </si>
  <si>
    <t>Porcentaje</t>
  </si>
  <si>
    <t>VALORES POR HORA AÑO 2020</t>
  </si>
  <si>
    <t>Prima de servicios.</t>
  </si>
  <si>
    <t>VR ($) MES SALARIO MÍNIMO (SIN AUX. TRANSPORTE)</t>
  </si>
  <si>
    <t>Auxilio de cesantías.</t>
  </si>
  <si>
    <t>VR ($) DÍA SALARIO MÍNIMO (S.A.T)</t>
  </si>
  <si>
    <t>Intereses sobre las cesantías.</t>
  </si>
  <si>
    <t>VR ($) HORA SALARIO MÍNIMO (S.A.T)</t>
  </si>
  <si>
    <t>Dotación.</t>
  </si>
  <si>
    <t>FACTOR SALARIOS MÍNIMOS PARA AYUDANTE</t>
  </si>
  <si>
    <t>Subtotal carga prestacional</t>
  </si>
  <si>
    <t>FACTOR SALARIOS MÍNIMOS PARA OFICIAL</t>
  </si>
  <si>
    <t>Auxilio de transporte</t>
  </si>
  <si>
    <t>FACTOR PRESTACIONAL PARA AYUDANTE</t>
  </si>
  <si>
    <t>Vacaciones</t>
  </si>
  <si>
    <t>FACTOR PRESTACIONAL PARA OFICIAL</t>
  </si>
  <si>
    <t>Subtotal</t>
  </si>
  <si>
    <t>Cajas de compensación familiar</t>
  </si>
  <si>
    <t>VALOR ($)</t>
  </si>
  <si>
    <t>MANO DE OBRA</t>
  </si>
  <si>
    <t>ICBF</t>
  </si>
  <si>
    <t>MANO DE OBRA AA</t>
  </si>
  <si>
    <t>MANO DE OBRA BB</t>
  </si>
  <si>
    <t>MANO DE OBRA CC</t>
  </si>
  <si>
    <t>MANO DE OBRA DD</t>
  </si>
  <si>
    <t>MANO DE OBRA EE</t>
  </si>
  <si>
    <t>SENA</t>
  </si>
  <si>
    <t>Albañilería</t>
  </si>
  <si>
    <t xml:space="preserve">Instalaciones </t>
  </si>
  <si>
    <t xml:space="preserve">Pintura </t>
  </si>
  <si>
    <t xml:space="preserve">Carpinterías </t>
  </si>
  <si>
    <t>Cableado Estructurado</t>
  </si>
  <si>
    <t>Aportes a salud</t>
  </si>
  <si>
    <t>(AA + 10 %)</t>
  </si>
  <si>
    <t>(AA + 15 %)</t>
  </si>
  <si>
    <t xml:space="preserve">(AA + 20 %) </t>
  </si>
  <si>
    <t xml:space="preserve">(AA + 30 %) </t>
  </si>
  <si>
    <t>Aportes a pensión</t>
  </si>
  <si>
    <t>HORA AYUDANTE SIN PRESTACIONES</t>
  </si>
  <si>
    <t>Riesgos laborales (variable)</t>
  </si>
  <si>
    <t>HORA AYUDANTE CON PRESTACIONES</t>
  </si>
  <si>
    <t>HORA OFICIAL SIN PRESTACIONES</t>
  </si>
  <si>
    <t>Subtotal parafiscales</t>
  </si>
  <si>
    <t xml:space="preserve"> HORA OFICIAL CON PRESTACIONES</t>
  </si>
  <si>
    <t>Gran total</t>
  </si>
  <si>
    <t>HORA CUADRILLA SIN PRESTACIONES</t>
  </si>
  <si>
    <t>HORA CUADRILLA CON PRESTACIONES</t>
  </si>
  <si>
    <t>FP</t>
  </si>
  <si>
    <t>JORNAL AYUDANTE SIN PRESTACIONES</t>
  </si>
  <si>
    <t>JORNAL AYUDANTE CON PRESTACIONES</t>
  </si>
  <si>
    <t>JORNAL OFICIAL SIN PRESTACIONES</t>
  </si>
  <si>
    <t>JORNAL OFICIAL CON PRESTACIONES</t>
  </si>
  <si>
    <t>JORNAL CUADRILLA SIN PRESTACIONES</t>
  </si>
  <si>
    <t>JORNAL CUADRILLA CON PRESTACIONES</t>
  </si>
  <si>
    <t>VR JORNAL SIN PRESTACIONES</t>
  </si>
  <si>
    <t>OFICIAL (1) BB</t>
  </si>
  <si>
    <t>AYUDANTE (2) BB</t>
  </si>
  <si>
    <t>OFICIAL (1) CC</t>
  </si>
  <si>
    <t>AYUDANTE (1) CC</t>
  </si>
  <si>
    <t>AYUDANTE (2) CC</t>
  </si>
  <si>
    <t>AYUDANTE (1) AA</t>
  </si>
  <si>
    <t>AYUDANTE (2) AA</t>
  </si>
  <si>
    <t>AYUDANTE (3) AA</t>
  </si>
  <si>
    <t>AYUDANTE (4) AA</t>
  </si>
  <si>
    <t>AYUDANTE (5) AA</t>
  </si>
  <si>
    <t>AYUDANTE (6) AA</t>
  </si>
  <si>
    <t>AYUDANTE (7) AA</t>
  </si>
  <si>
    <t>AYUDANTE (8) AA</t>
  </si>
  <si>
    <t>AYUDANTE (9) AA</t>
  </si>
  <si>
    <t>OFICIAL (1) AA</t>
  </si>
  <si>
    <t>OFICIAL (2) AA</t>
  </si>
  <si>
    <t>OFICIAL (3) AA</t>
  </si>
  <si>
    <t>OFICIAL (7) AA</t>
  </si>
  <si>
    <t>TOPOGRAFO</t>
  </si>
  <si>
    <t>CADENERO</t>
  </si>
  <si>
    <t>Actividad</t>
  </si>
  <si>
    <t>Dirección / Enlace</t>
  </si>
  <si>
    <t>Unidad</t>
  </si>
  <si>
    <t>Precio</t>
  </si>
  <si>
    <t>Instalación de grifería electrónica para lavamanos</t>
  </si>
  <si>
    <t>https://corona.co/productos/servicios/instalaciones/instalaciones-para-banos/instalacion-de-griferia-electronica-para-lavamanos/p/700480</t>
  </si>
  <si>
    <t>UND</t>
  </si>
  <si>
    <t>grifería electrónica para lavamanos</t>
  </si>
  <si>
    <t>https://corona.co/productos/griferias/griferias-institucionales/griferia-para-lavamanos-institucional-electronica/p/706000001</t>
  </si>
  <si>
    <t>Griferia Llave Sensor Lavamanos Pared Institucional</t>
  </si>
  <si>
    <t>https://tamescolombia.com.co/cb/institucional/185-griferia-llave-sensor-lavamanos-pared-institucional.html</t>
  </si>
  <si>
    <t>https://www.decorceramica.com/griferia-lavamanos-de-sensor-public-kg25cr033/p</t>
  </si>
  <si>
    <t>https://www.boccherini.com.co/griferia-lavamanos-con-sensor-horizontal-en-bronce/p</t>
  </si>
  <si>
    <t>Concreto de 3000 psi</t>
  </si>
  <si>
    <t>https://www.tiendargos.com.co/Concreto-Premezclado?map=c</t>
  </si>
  <si>
    <t>Kilo de acero</t>
  </si>
  <si>
    <t>https://www.homecenter.com.co/homecenter-co/product/73637/varilla-corrugada-g60-w-4-1-2-pulg-x-6m/73637/</t>
  </si>
  <si>
    <t>https://www.homecenter.com.co/homecenter-co/product/73641/varilla-corrugada-g60-w-8-1-pulg-x-6m/73641/</t>
  </si>
  <si>
    <t>GeoConexión</t>
  </si>
  <si>
    <t>Angulo de 1-1/4 X 3/16</t>
  </si>
  <si>
    <t>https://www.google.com/search?q=angulo+de+1+1%2F4+x+3%2F16+precio&amp;rlz=1C1ALOY_esCO1046CO1046&amp;oq=ANGULOS+DE+1-1%2F4+X+3%2F16&amp;aqs=chrome.1.69i57j0i22i30l6.11944436493j0j15&amp;sourceid=chrome&amp;ie=UTF-8</t>
  </si>
  <si>
    <t>ml</t>
  </si>
  <si>
    <t>ANDAMIO ROSETA SAS</t>
  </si>
  <si>
    <t>Madera Plastica WPC Ekowood H100-30 Nogal 0.03 x 0.10 x 5.60 Mts</t>
  </si>
  <si>
    <t>https://www.homecenter.com.co/homecenter-co/product/434990/madera-plastica-wpc-ekowood-h100-30-nogal-003-x-010-x-560-mts/434990/</t>
  </si>
  <si>
    <t>CONTRUYEQUIPOS</t>
  </si>
  <si>
    <t>Lista de precios COVAL / Corona</t>
  </si>
  <si>
    <t>https://coval.com.co/pdfs/listasprecios/ult_sumicol.pdf</t>
  </si>
  <si>
    <t>Mortero pega</t>
  </si>
  <si>
    <t>Andamio Sección (1,4X1,4x2,0). Certificado</t>
  </si>
  <si>
    <t>día/sección</t>
  </si>
  <si>
    <t xml:space="preserve">Lija </t>
  </si>
  <si>
    <t>https://www.homecenter.com.co/homecenter-co/product/348429/lija-agua-1500-pliego/348429/</t>
  </si>
  <si>
    <t>Pliego</t>
  </si>
  <si>
    <t>Pintura lavable</t>
  </si>
  <si>
    <t>https://corona.co/productos/pinturas/pintura-super-lavable-zero/p/407611001</t>
  </si>
  <si>
    <t>GL</t>
  </si>
  <si>
    <t>Koraza</t>
  </si>
  <si>
    <t>https://www.homecenter.com.co/homecenter-co/product/25440/pintura-para-exterior-1-galon-blanco/25440/</t>
  </si>
  <si>
    <t>Antihongos</t>
  </si>
  <si>
    <t>https://www.homecenter.com.co/homecenter-co/product/83658/pintura-para-interior-anti-hongo-y-moho-blanco-1-galon/83657/</t>
  </si>
  <si>
    <t>Mortero 1:3</t>
  </si>
  <si>
    <t>Construdata 207</t>
  </si>
  <si>
    <t>M3</t>
  </si>
  <si>
    <t>Mortero 1:4</t>
  </si>
  <si>
    <t>Concreto Común 3000 PSI</t>
  </si>
  <si>
    <t>Acero de refuerzo #4</t>
  </si>
  <si>
    <t>KG</t>
  </si>
  <si>
    <t>Alambre negro cal 17</t>
  </si>
  <si>
    <t>VOLQUETA (VIAJE 6M3 Max.3O KM)</t>
  </si>
  <si>
    <t>IDRD</t>
  </si>
  <si>
    <t>VJ</t>
  </si>
  <si>
    <t>TEJA SIN TRANSLAPO</t>
  </si>
  <si>
    <t>https://www.acesco.com.co/descargas/fichastecnicas/ficha-tecnica-cubiertas.pdf</t>
  </si>
  <si>
    <t xml:space="preserve">planos ruta de evacuacion </t>
  </si>
  <si>
    <t>https://senalizacion.com.co/producto/planos-de-evacuacion/</t>
  </si>
  <si>
    <t>Proyección Honorarios MVCT</t>
  </si>
  <si>
    <t>Afectación del FP</t>
  </si>
  <si>
    <t>https://spg.minvivienda.gov.co/files/mod_documentos/documentos/GCT-G-01/versiones//GCT-G-01_V4_copia_controlada.pdf</t>
  </si>
  <si>
    <t>COSTO DIRECTO  DE OBRA (CD)</t>
  </si>
  <si>
    <t>Director de obra . (Título Profesional y Título de Postgrado en la Modalidad de Especialización. 30  meses de experiencia profesional relacionada.)</t>
  </si>
  <si>
    <t>TERMINO  DE EJECUCIÓN DE OBRA ( MESES )</t>
  </si>
  <si>
    <t>Especialista. (Título Profesional y Título de Postgrado en la Modalidad de Especialización. 24 meses de experiencia profesional relacionada)</t>
  </si>
  <si>
    <t>FACTOR PRESTACIONAL PERSONAL PROFESIONAL</t>
  </si>
  <si>
    <t>Profesionales SISOMA Financiero y Contador (Título profesional. 24 meses de experiencia profesional relacionada. )</t>
  </si>
  <si>
    <t>A. ADMINISTRACIÓN</t>
  </si>
  <si>
    <t>Maestro (Título de formación tecnológica o Aprobación de 3 años de Educación Superior. 6 meses de experiencia
relacionada o laboral o 15 meses de experiencia relacionada o laboral, respectivamente.</t>
  </si>
  <si>
    <t>1. PERSONAL</t>
  </si>
  <si>
    <t>CANTIDAD</t>
  </si>
  <si>
    <t xml:space="preserve">DESCRIPCION DEL CARGO </t>
  </si>
  <si>
    <t>DEDICACIÓN MES</t>
  </si>
  <si>
    <t xml:space="preserve"> SALARIO MENSUAL </t>
  </si>
  <si>
    <t>FACTOR PRESTACIONAL</t>
  </si>
  <si>
    <t>PLAZO</t>
  </si>
  <si>
    <t>CANTIDAD DE PERSONAL / DEDICACION/SALARIO / PLAZO/FACTOR PRESTACIONAL</t>
  </si>
  <si>
    <t xml:space="preserve">1.1 PROFESIONAL Y ESPECIALISTAS </t>
  </si>
  <si>
    <t>A</t>
  </si>
  <si>
    <t>B</t>
  </si>
  <si>
    <t>C</t>
  </si>
  <si>
    <t>D</t>
  </si>
  <si>
    <t>F = A * B * C * D</t>
  </si>
  <si>
    <t>Director / Residente de Obra</t>
  </si>
  <si>
    <t>Funciones:</t>
  </si>
  <si>
    <t>(Dirigir, coordinar, verificar la ejecución de todas las actividades de obras en los plazos requeridos por el contratante. Esto incluye la coordinación de todas las áreas técnicas, así como las solicitudes provenientes de la parte administrativa, jurídica, legal y social en los que hubiere necesidad de su participación. Producción de informes de acuerdo a las solicitudes de la entidad contratante. Participación en comités. Entrega de productos, y seguimiento del plan de calidad de la empresa). Debe ser un Profesional de la Ingeniería (o Arquitectura), con especialización en dirección o gerencia de proyectos y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</si>
  <si>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Profesional SISOMA</t>
  </si>
  <si>
    <t>(Velar por el cumplimiento de los protoclos y normatividad S&amp;SO y Ambiental de la entidad contratante y de la firma constratista, esto incluye asesorar y tomar decisiones en cuanto a procesos constructivos, modificaciones a planos, planeación de actividades, formulación de ensayos, capacitaciones, control de materiales, residuos, y todo lo relacionado con la seguridad industrial y el impacto ambiental que genere la obra. Estará bajo la supervisión del Director de Obra. Debe ser un Profesional profesional especialista en SISO o gestion HSEQ,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</si>
  <si>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1.2 TÉCNICO Y PERSONAL AUXILIAR TÉCNICO</t>
  </si>
  <si>
    <t>MAESTRO GENERAL</t>
  </si>
  <si>
    <t>ALMACENISTA</t>
  </si>
  <si>
    <t>1.3 ADMINISTRATIVO</t>
  </si>
  <si>
    <t>Administrador</t>
  </si>
  <si>
    <t>Contador</t>
  </si>
  <si>
    <t>Secretaria</t>
  </si>
  <si>
    <t>Mensajero</t>
  </si>
  <si>
    <t>1. SUBTOTAL COSTOS  DE PERSONAL</t>
  </si>
  <si>
    <t>DESCRIPCION</t>
  </si>
  <si>
    <t>COSTO MES</t>
  </si>
  <si>
    <t>DURACION MESES</t>
  </si>
  <si>
    <t>Suministro y consumo de servicios Publicos durante la ejecucion del proyecto</t>
  </si>
  <si>
    <t>Mantenimientos, Equipos, Herramienta</t>
  </si>
  <si>
    <t>Registro Fotografico, Videos, Informes</t>
  </si>
  <si>
    <t>Registro y elaboracion planos record</t>
  </si>
  <si>
    <t>Elaboracion Manuales operación y mantenimiento</t>
  </si>
  <si>
    <t>Gastos de mobiliario, papelería, fotocopias, etc</t>
  </si>
  <si>
    <t>Sotfware/Hardware para obra</t>
  </si>
  <si>
    <t xml:space="preserve">2. SUBTOTAL GASTOS OPERACIONALES </t>
  </si>
  <si>
    <t>TOTAL COSTOS PERSONAL + GASTOS OPERACIONALES POR EL TÉRMINO DE EJECUCIÓN (1+2)</t>
  </si>
  <si>
    <t>TOTAL COSTOS PERSONAL + GASTOS OPERACIONALES POR EL TÉRMINO DE EJECUCIÓN EN PORCENTAJE DEL COSTO DIRECTO</t>
  </si>
  <si>
    <t>3. IMPUESTOS Y GARANTÍAS</t>
  </si>
  <si>
    <t>3.1 IMPUESTOS</t>
  </si>
  <si>
    <t>DESCRIPCIÓN</t>
  </si>
  <si>
    <t>VR. BASE</t>
  </si>
  <si>
    <t>IMPUESTO %</t>
  </si>
  <si>
    <t>ICA</t>
  </si>
  <si>
    <t>6,9/1000</t>
  </si>
  <si>
    <t>4 x 1000</t>
  </si>
  <si>
    <t>4/1000</t>
  </si>
  <si>
    <t>CONTRIBUCIÓN ESPECIAL</t>
  </si>
  <si>
    <t>Estampilla Pro Universidad Nacional de Colombia</t>
  </si>
  <si>
    <t>&lt;2000 SMMLV- Artículo 8 de la Ley 1697 del 2013 -Base gravable y tarifa.</t>
  </si>
  <si>
    <t>SUBTOTAL IMPUESTOS</t>
  </si>
  <si>
    <t>3.2 GARANTIAS</t>
  </si>
  <si>
    <t>% ASEGURADO</t>
  </si>
  <si>
    <t>VR. ASEGURADO</t>
  </si>
  <si>
    <t>PRIMA ASEGURADORA</t>
  </si>
  <si>
    <t>VALOR TOTAL ($)</t>
  </si>
  <si>
    <t>CUMPLIMIENTO</t>
  </si>
  <si>
    <t>Artículo 2.2.1.2.3.1.12. Suficiencia de la garantía de cumplimiento del Decreto 1082 de 2015</t>
  </si>
  <si>
    <t>SALARIOS Y PRESTACIONES SOCIALES</t>
  </si>
  <si>
    <t>ARTÍCULO 2.2.1.2.3.1.13. Suficiencia de la garantía de pago de salarios, prestaciones sociales legales e indemnizaciones laborales.</t>
  </si>
  <si>
    <t>ESTABILIDAD Y CALIDAD DE LA OBRA</t>
  </si>
  <si>
    <t>Art. 3 del Decreto 399 de 2021</t>
  </si>
  <si>
    <t>RESPONSABILIDAD CIVIL EXTRACONTRACTUAL</t>
  </si>
  <si>
    <t>200SMMLV</t>
  </si>
  <si>
    <t>200 SMMLV- 2.2.1.2.3.1.17 del Decreto 1082 de 2015</t>
  </si>
  <si>
    <t>IVA</t>
  </si>
  <si>
    <t>SMMLV2025</t>
  </si>
  <si>
    <t>SUBTOTAL GARANTÍAS</t>
  </si>
  <si>
    <t>TOTAL IMPUESTOS Y GARANTÍAS</t>
  </si>
  <si>
    <t>TOTAL IMPUESTOS Y GARANTÍAS EN PORCENTAJE DEL COSTO DIRECTO 3.1+3.2</t>
  </si>
  <si>
    <t>A. ADMINISTRACIÓN (1 + 2 + 3 + 4)</t>
  </si>
  <si>
    <t xml:space="preserve">I. IMPREVISTOS </t>
  </si>
  <si>
    <t>U. UTILIDAD</t>
  </si>
  <si>
    <t>A.I.U. (ADMINISTRACIÓN, IMPREVISTOS Y UTILIDAD)</t>
  </si>
  <si>
    <t>SUMATORIA DE (A+I+U)</t>
  </si>
  <si>
    <t>interelectricas</t>
  </si>
  <si>
    <t>EIB</t>
  </si>
  <si>
    <t>Gamelec</t>
  </si>
  <si>
    <t>Promedio</t>
  </si>
  <si>
    <t>Luminaria  hermetica de 36 w</t>
  </si>
  <si>
    <t>ilutecno</t>
  </si>
  <si>
    <t>Panel cuadrado de 60x60</t>
  </si>
  <si>
    <t>reflector led de 50w</t>
  </si>
  <si>
    <t>sensor de movimiento</t>
  </si>
  <si>
    <t>https://www.homecenter.com.co/homecenter-co/product/314573/panel-led-sobreponer-30x120-cm-48w-luz-blanca/314573/?kid=goosho_1161562&amp;shop=googleShopping&amp;gad_source=1&amp;gclid=CjwKCAjw47i_BhBTEiwAaJfPpn0kY7SMZN3uDUazk_KLdnYGzjLKK9IOTQVM2yYCFQ7OVRNg7it6yxoCXWIQAvD_BwE</t>
  </si>
  <si>
    <t>https://ilumax.com.co/producto/panel-led-48w-plano-luz-blanca-30x120cm/?srsltid=AfmBOoo2c89h-QX2RP4KClnL7WJe00QKz3nYrOuYzqKKUvkpHdU6eCx8</t>
  </si>
  <si>
    <t>panel led de 30 x120 cm</t>
  </si>
  <si>
    <t>lumicentro</t>
  </si>
  <si>
    <t>marco 60x60</t>
  </si>
  <si>
    <t>marco 30x120</t>
  </si>
  <si>
    <t>Gameelec</t>
  </si>
  <si>
    <t xml:space="preserve">caja de piso 6 modulos </t>
  </si>
  <si>
    <t>modulo toma sencillo electrica</t>
  </si>
  <si>
    <t>modulo para datos</t>
  </si>
  <si>
    <t>https://interelectricas.com.co/alambres-y-cables/2029-cable-de-cobre-encauchetado-3-x-16-awg-metro.html</t>
  </si>
  <si>
    <t>https://ineldec.com/producto/cable-encauchetado-3x16-awg-nexans/</t>
  </si>
  <si>
    <t>https://interelectricos.com.co/cables-y-alambres/104/cable-encauchetado-3x16-certificado</t>
  </si>
  <si>
    <t>cable encauchetado de 3 x16 AWG</t>
  </si>
  <si>
    <t>https://interelectricos.com.co/inicio/584/amarre-plastico-15-cm-bolsa-x-100-unidades</t>
  </si>
  <si>
    <t>https://www.homecenter.com.co/homecenter-co/product/738989/amarre-negro-36x150mm-100und-fixser/738989/</t>
  </si>
  <si>
    <t>https://www.producabos.com/producto/amarre-plastico-negro-de-15-cm-x-100-und-mercury/</t>
  </si>
  <si>
    <t>amarre plastico  de 5 cm</t>
  </si>
  <si>
    <t>https://www.homecenter.com.co/homecenter-co/product/95646/clavija-en-caucho-polo-a-tierra-15a-250v/95646/</t>
  </si>
  <si>
    <t>https://interelectricas.com.co/articulos-electricos/2227-amarre-plastico-10-x-2-5-mm-negro.html#bb27/embedded/m=and&amp;q=clavija+polo+a+tierra</t>
  </si>
  <si>
    <t>https://interelectricos.com.co/inicio/291/clavija-polo-tierra-15-amp-industrial-codelca?search_query=clavija+polo+a+tierra&amp;results=96</t>
  </si>
  <si>
    <t>clavija polo atierra 15 A</t>
  </si>
  <si>
    <t>https://www.homecenter.com.co/homecenter-co/product/24436/tubo-cuadrado-1-x-1pg-x-12mm-c18-x-6m/24436/</t>
  </si>
  <si>
    <t>https://tienda.fajobe.com.co/producto/tubo-mueble-cr-cuadrado-1-cal-18/?srsltid=AfmBOoqc5uNXbFB09BbKOzaCCTkpnuiJCunOQzM_IoHjBt-qMSBAyYHc</t>
  </si>
  <si>
    <t>https://ferropaz.com/index.php?id_product=2&amp;controller=product</t>
  </si>
  <si>
    <t>Tubo cuadrado de 1"</t>
  </si>
  <si>
    <t>https://edemco.co/index.php/producto/soporte-mensula-sencillo-30cm</t>
  </si>
  <si>
    <t>https://www.electrovera.com/soporte-mensula-sencillo-45cm/</t>
  </si>
  <si>
    <t>https://nalelectricos.co/mensula-sencilla-40cm/</t>
  </si>
  <si>
    <t>soporte para tubo cuadrado de 1"</t>
  </si>
  <si>
    <t>https://www.homecenter.com.co/homecenter-co/search?Ntt=chazo%20expansivo%20de%203/8</t>
  </si>
  <si>
    <t>https://www.producabos.com/producto/chazo-expansivo-zincado-de-3-8-x-2-1-2/</t>
  </si>
  <si>
    <t>https://latiendadelelectrico.com/products/chazo-expansivo-3-8-x-2?_pos=1&amp;_psq=chazo+expansivo&amp;_ss=e&amp;_v=1.0</t>
  </si>
  <si>
    <t>Chazo expansivo de 3/8" x 1 7/8</t>
  </si>
  <si>
    <t>https://listado.mercadolibre.com.co/acarreos-en-bogota-economicos</t>
  </si>
  <si>
    <t xml:space="preserve">Precio de acarreo </t>
  </si>
  <si>
    <t>https://interelectricas.com.co/tuberia-metalica-y-pvc/2182-tubo-metalico-emt-de-1-2-pulgadas-x-3-mts.html</t>
  </si>
  <si>
    <t>https://interelectricos.com.co/buscar?controller=search&amp;orderby=position&amp;orderway=desc&amp;search_query=tubo+emt+de+1%2F2%22&amp;submit_search=</t>
  </si>
  <si>
    <t>https://www.homecenter.com.co/homecenter-co/search?Ntt=tubo%20emt%20de%201/2%22</t>
  </si>
  <si>
    <t>tubo emt de 1/2"</t>
  </si>
  <si>
    <t>https://interelectricas.com.co/tuberia-metalica-y-pvc/2182-tubo-metalico-emt-de-1-2-pulgadas-x-3-mts.html#bb27/classic/m=and&amp;q=union+emt</t>
  </si>
  <si>
    <t>https://www.easy.com.co/union-conduit-emt-12-pg/p?srsltid=AfmBOooD8PROiZDLFyaEypEPxJxFvxdwMuHGmvJO-WT8r5Jnz9-5c_tF</t>
  </si>
  <si>
    <t>union emt de 1/2"</t>
  </si>
  <si>
    <t>https://interelectricos.com.co/buscar?controller=search&amp;orderby=position&amp;orderway=desc&amp;search_query=emt&amp;submit_search=</t>
  </si>
  <si>
    <t>curva emt de 1/2"</t>
  </si>
  <si>
    <t>teminal emt de 1/2"</t>
  </si>
  <si>
    <t>https://www.easy.com.co/tubo%20emt?_q=tubo%20emt&amp;map=ft</t>
  </si>
  <si>
    <t>https://www.homecenter.com.co/homecenter-co/search?Ntt=tubo%20emt%20de%203/4%22</t>
  </si>
  <si>
    <t>tubo emt de 3/4"</t>
  </si>
  <si>
    <t>union emt de 3/4"</t>
  </si>
  <si>
    <t>https://electroservimos.co/accesorios-canalizacion/581-cmt7-curva-metalica-34-emt.html</t>
  </si>
  <si>
    <t>curva emt de 3/4"</t>
  </si>
  <si>
    <t>terminal emt de 3/4"</t>
  </si>
  <si>
    <t>https://edemco.co/productos/conducciones/tuberia-electrica?nombre-comercial=conduit&amp;tipo=conduit-emt</t>
  </si>
  <si>
    <t>tubo emt de 1"</t>
  </si>
  <si>
    <t>union emt de 1"</t>
  </si>
  <si>
    <t>curva emt de 1"</t>
  </si>
  <si>
    <t>teminal emt de 1"</t>
  </si>
  <si>
    <t>https://ineldec.com/producto/cable-12-awg-negro-ls-hf-hfr-procables/</t>
  </si>
  <si>
    <t>https://interelectricas.com.co/tuberia-metalica-y-pvc/2182-tubo-metalico-emt-de-1-2-pulgadas-x-3-mts.html#bb27/embedded/m=and&amp;q=cable+%2312+HFF</t>
  </si>
  <si>
    <t>https://idtelectric.com/product/cable-aislado-libre-de-halogenos-no-12/</t>
  </si>
  <si>
    <t>cable #12 AWG HFFR-LS</t>
  </si>
  <si>
    <t>https://nalelectricos.co/cable-lszh-fr-tc-7h-cobre-procables-triplex-libre-de-halogenos-3x12-bl-vr-az/</t>
  </si>
  <si>
    <t>https://ineldec.com/producto/cable-triplex-3x12-awg-thhn/</t>
  </si>
  <si>
    <t>https://edelco.co/producto/cable-cu-trenzado-libre-halogeno-blanco-rojo-verde-3-x-12/?srsltid=AfmBOoo1dfMj62Zu-FlDMvxkaiKJ0wVDztNYmvWr2-9Y5IgCk2heevy2</t>
  </si>
  <si>
    <t>cable 3#12 AWG HFFR-LS</t>
  </si>
  <si>
    <t>https://interelectricas.com.co/tuberia-metalica-y-pvc/945-grapa-metalica-aleta-doble-2-pulg-.html#bb27/embedded/m=and&amp;q=abrazadera</t>
  </si>
  <si>
    <t>https://bornasyterminales.com/categoria/accesorios-emt/abrazadera-doble-ala</t>
  </si>
  <si>
    <t>https://www.homecenter.com.co/homecenter-co/search?Ntt=grapa%203/4</t>
  </si>
  <si>
    <t>abrazadera doble ala</t>
  </si>
  <si>
    <t>https://productos.redeselectricas.com/caja%205800/search?pageNumber=1&amp;productLowPrice=0&amp;productHighPrice=0&amp;sort=1&amp;attributes=%5B%5D</t>
  </si>
  <si>
    <t>https://interelectricas.com.co/tuberia-metalica-y-pvc/945-grapa-metalica-aleta-doble-2-pulg-.html#bb27/embedded/m=and&amp;q=caja+5800</t>
  </si>
  <si>
    <t>https://www.homecenter.com.co/homecenter-co/search?Ntt=caja%205800</t>
  </si>
  <si>
    <t>caja 4x2" con 3 huecos de 1/2"</t>
  </si>
  <si>
    <t>https://www.panamericana.com.co/adhesivo-en-rollo-naranja-de-3-m-x-45-cm/p</t>
  </si>
  <si>
    <t>https://comercialpapelera.com.co/tienda/estudiantil/21527-rollo-adhesivo-x15-metros-naranja.html</t>
  </si>
  <si>
    <t>https://paperbueno.com/producto/contact-naranja/</t>
  </si>
  <si>
    <t>contact naranja</t>
  </si>
  <si>
    <t>https://interelectricas.com.co/tuberia-metalica-y-pvc/2182-tubo-metalico-emt-de-1-2-pulgadas-x-3-mts.html#bb27/embedded/m=and&amp;q=interruptor+sencillo</t>
  </si>
  <si>
    <t>https://interelectricos.com.co/buscar?controller=search&amp;orderby=position&amp;orderway=desc&amp;search_query=interruptor+sencillo&amp;submit_search=</t>
  </si>
  <si>
    <t>https://www.homecenter.com.co/homecenter-co/search?Ntt=interruptor%20sencillo&amp;sTerm=interrup&amp;sType=suggest&amp;sScenario=BTP_SUG_interruptor%20sencillo</t>
  </si>
  <si>
    <t>interruptor sencillo</t>
  </si>
  <si>
    <t>https://interelectricas.com.co/tuberia-metalica-y-pvc/945-grapa-metalica-aleta-doble-2-pulg-.html#bb27/embedded/m=and&amp;q=interruptor+doble</t>
  </si>
  <si>
    <t>https://www.homecenter.com.co/homecenter-co/search?Ntt=interruptor%20doble</t>
  </si>
  <si>
    <t>interruptor doble</t>
  </si>
  <si>
    <t>asy.com.co/pita-multiuso-18x70mts-x-100gr-forte/p?srsltid=AfmBOoqHG-ZW97gImbDGHHERrsKZRtWWDWPAUaGPwCUNKYQbvm3Iru5n</t>
  </si>
  <si>
    <t>https://ferreplasticospalmira.com/product/cuerda-pita-fibra-ata-facil-x-3-000-mts-c-u-x-6-unidades/</t>
  </si>
  <si>
    <t>croper.com/products/4717-pita-arranque-3-mm-x-100-mts-motosierras?srsltid=AfmBOoqu8DrLyzreoW9zh-lRJnZuYxCWklo2H6jqvWewVF7xe3MTSJMl</t>
  </si>
  <si>
    <t>pita</t>
  </si>
  <si>
    <t>https://www.homecenter.com.co/homecenter-co/search?Ntt=conector%20de%20resorte</t>
  </si>
  <si>
    <t>https://www.easy.com.co/conector%20de%20resorte?_q=conector%20de%20resorte&amp;map=ft</t>
  </si>
  <si>
    <t>conectores de resorte amarillo rojo</t>
  </si>
  <si>
    <t>https://www.homecenter.com.co/homecenter-co/search?Ntt=drywall%20lamina&amp;sTerm=drywall&amp;sType=suggest&amp;sScenario=BTP_SUG_drywall%20lamina</t>
  </si>
  <si>
    <t>https://solotejas.com/producto/lamina-de-drywall-1-2/</t>
  </si>
  <si>
    <t>https://www.easy.com.co/construccion/construccion-en-seco/placa-de-yeso-carton?srsltid=AfmBOoq7qk5ZRrXz3m4XW9YInCPRqnil4z7CsQAa59D2EWDYdLMUjrq7</t>
  </si>
  <si>
    <t>lamina de drywall (1.22x2.44)</t>
  </si>
  <si>
    <t>https://www.homecenter.com.co/homecenter-co/product/264737/pintura-para-interior-dry-wall-blanco-mate-1-galon/264737/</t>
  </si>
  <si>
    <t>https://aldiaferreteria.com/pinturas-uso-interior/892-pintura-para-drywall?srsltid=AfmBOopdfn2CcZ8ZZhtpaaC4SIP_qZIOJPCp_6zRg8DNWYCxw6qgL6tp</t>
  </si>
  <si>
    <t>https://grupoideasa.com/products/pintura-para-drywall?srsltid=AfmBOorCd-nQx2aKvQfcPzHehni0M7_JEXJRbutOc5NMufy_WtBQqyKL&amp;variant=47061922971890</t>
  </si>
  <si>
    <t>pintura para drywall galon</t>
  </si>
  <si>
    <t>https://www.homecenter.com.co/homecenter-co/product/290274/riel-chanel-perforado-2x4-cm-x-3-mts/290274/</t>
  </si>
  <si>
    <t>https://interelectricas.com.co/articulos-electricos/392-riel-channel-4x2-x-3-00-mts-troquelado.html</t>
  </si>
  <si>
    <t>https://ferretodo.com.co/ferretienda/riel-chanel-2x4-x-3-mts-perforado/?srsltid=AfmBOooNIbjwT6d2eA_cYZrjsLei6j9jlXwLikq876jPzjYxSlCRcqN8</t>
  </si>
  <si>
    <t>riel tipo channel de 4 x 2"</t>
  </si>
  <si>
    <t>https://www.comaderas.com/guaya-acero-galvanizada-de-116-pulgadas</t>
  </si>
  <si>
    <t>https://www.homecenter.com.co/homecenter-co/product/619291/guaya-de-acero-1-16-recubierta-pvc-de-75-m-carga-170-kg/619291/?kid=goosho_1161562&amp;shop=googleShopping&amp;gad_source=1&amp;gclid=CjwKCAjw47i_BhBTEiwAaJfPpqxX_uOG0AphUjwRG5JAfaw1m5Dd4qr9gdEGUnCzvDcTUq0L8aWrCxoCHX4QAvD_BwE</t>
  </si>
  <si>
    <t>https://ferreco.com/inicio/444-guaya-de-acero-7x7-1-16-170kg-fiero.html?srsltid=AfmBOooEUQDz0XxX6syWseh734N6byxcCxOjejIZsT7ZCu3Uamfxn-ze</t>
  </si>
  <si>
    <t>guaya de 1/16" reubierta PVC (1 m)</t>
  </si>
  <si>
    <t>https://www.tuferreteria.com.co/MCO-839492474-perro-para-cable-galvanizado-116-paquete-x-100-unidades-_JM</t>
  </si>
  <si>
    <t>https://www.gruponavcar.com/perro-de-amarre--de-116-liviano-galvanizado1/p?srsltid=AfmBOorAxVSVPA7ph4GQJYC1u8kZBQSZYOQOgYr1I38uMJwJl23oai2Y</t>
  </si>
  <si>
    <t>https://www.easy.com.co/perro%201%2f16?_q=perro%201/16&amp;map=ft</t>
  </si>
  <si>
    <t>perro de 1/16</t>
  </si>
  <si>
    <t>https://interelectricas.com.co/tuberia-metalica-y-pvc/875-abrazadera-ajustable-1-pulg-.html</t>
  </si>
  <si>
    <t>https://www.dincoelectricos.com/product-page/abrazadera-grapa-metalica-1-pulgada-ajustable-para-tuberia-metalica-y-pvc</t>
  </si>
  <si>
    <t>https://www.homecenter.com.co/homecenter-co/product/290253/grapa-1-unistrut-x-10und-galvanizada/290253/</t>
  </si>
  <si>
    <t>abrazadera ajustable de 1"</t>
  </si>
  <si>
    <t>https://interelectricas.com.co/tuberia-metalica-y-pvc/874-abrazadera-ajustable-3-4-pulg-.html</t>
  </si>
  <si>
    <t>https://nalelectricos.co/abrazad-ajustab-torn-3-4/</t>
  </si>
  <si>
    <t>abrazadera ajustable de 3/4"</t>
  </si>
  <si>
    <t>https://interelectricas.com.co/prensaestopa-pvc/10855-prensaestopa-pvc-3-8-pulgadas-pg-11.html</t>
  </si>
  <si>
    <t>https://edelco.co/producto/prensaestopa-pg-11-5-10-mm/?srsltid=AfmBOopFiCp4wphiVaN8n1AapPK4FR03jk-yvVTIlq1Kpou2dj-RNY7f</t>
  </si>
  <si>
    <t>https://erp.electrovalle.com/shop/product/1304-dxn35020-prensaestopa-3-8-8-10-mm-pg11-completa-50-dexson-22257</t>
  </si>
  <si>
    <t>prensaestopa pg 11</t>
  </si>
  <si>
    <t>https://www.homecenter.com.co/homecenter-co/search?Ntt=tubo%20IMC%20de%201</t>
  </si>
  <si>
    <t>https://interelectricas.com.co/tuberia-metalica-y-pvc/2320-tubo-metalico-imc-de-1-x-3-mts-con-union.html</t>
  </si>
  <si>
    <t>https://edemco.co/productos/conducciones/tuberia-electrica?nombre-comercial=conduit&amp;tipo=conduit-imc</t>
  </si>
  <si>
    <t>Tubo IMC de 1"</t>
  </si>
  <si>
    <t>https://interelectricas.com.co/cajas-y-tableros/2761-caja-tipo-radwell-5800-con-salida-3-4-pulgadas-5-huecos.html#bb27/classic/m=and&amp;q=caja+fundicion</t>
  </si>
  <si>
    <t>https://interelectricas.com.co/cajas-y-tableros/2272-caja-tipo-radwell-5800-con-salida-1-pulgadas-3-huecos.html</t>
  </si>
  <si>
    <t>https://fyeel.com.co/cajas-y-tableros/2272-caja-tipo-radwell-5800-con-salida-1-pulgadas-3-huecos.html</t>
  </si>
  <si>
    <t>caja 4x2" con 3 huecos de 1"</t>
  </si>
  <si>
    <t>https://www.homecenter.com.co/homecenter-co/category/cat1680034/placas-y-tapas/</t>
  </si>
  <si>
    <t>https://www.easy.com.co/tapa-ciega-2x4-intemperie-radwelt/p?srsltid=AfmBOooGVDxLnHMuU_r9WEEpvEwpyQkGa6iq6xExp8JIzqZP3ZwXm5Da</t>
  </si>
  <si>
    <t>https://erp.electrovalle.com/shop/product/1307-tc0418-tapa-ciega-4x4-intemperie-tc0418-rawelt-19495</t>
  </si>
  <si>
    <t>tapa para intemperie</t>
  </si>
  <si>
    <t>https://interelectricas.com.co/alambres-y-cables/2467-cable-de-cobre-aislado-no-8-awg-metro-libre-de-halogenos-color-negro.html</t>
  </si>
  <si>
    <t>https://ineldec.com/producto/cable-8-awg-lshf-75c-600v/</t>
  </si>
  <si>
    <t>https://edemco.co/index.php/producto/cable-sintox-8-awg-80-750-v-pe-hf-ls</t>
  </si>
  <si>
    <t>cable #8 libre de halogenos</t>
  </si>
  <si>
    <t>https://interelectricas.com.co/133-empalmes-tubular</t>
  </si>
  <si>
    <t>https://bornasyterminales.com/categoria/bornas-y-terminales/conector-tubular-para-empalme-tipo-barril/empalmes-tubulares-en-cobre-estanado</t>
  </si>
  <si>
    <t>Conector tubular de ponchar</t>
  </si>
  <si>
    <t>https://interelectricas.com.co/redes-estructuradas/2071-canaleta-metalica-12x5x2-40-mts-con-division-blanca.html</t>
  </si>
  <si>
    <t>https://electroservimos.co/sistemas-de-canalizacion/2706-cmd152-canaletaducto-metalico-pintado-12x5x24mts-con-division-calibre-24-vyd-blanco-texturizada.html</t>
  </si>
  <si>
    <t>https://electriled.sumerlabs.com/producto/canaleta-metalica-x-division-calibe--smr-ca689be2137e6b6e0082123847f6516458123266</t>
  </si>
  <si>
    <t>Canaleta metalica con divisionde 12 x5</t>
  </si>
  <si>
    <t>https://lagranferreteria.com/ferreteria/401-chazo-puntilla-14-x-1.html</t>
  </si>
  <si>
    <t>https://www.producabos.com/producto/chazo-puntilla-1-4-x-3-1-2/</t>
  </si>
  <si>
    <t>https://www.metropoliscenter.com.co/p/chazo-puntilla-nylon-1~4x1-1~4/?srsltid=AfmBOormUruvhoTa_ThSCEssWvQo9JwbFi2VRSIbuK5CACqf9SR-0Xbv</t>
  </si>
  <si>
    <t>chazo plastico de 1/4</t>
  </si>
  <si>
    <t>https://www.homecenter.com.co/homecenter-co/product/565088/tornillo-est-pta-broca-cab-plana-8x1-2pg-500und/565088/?kid=goosho_1161562&amp;shop=googleShopping&amp;gad_source=1&amp;gclid=CjwKCAjw47i_BhBTEiwAaJfPprLypgrffhbsxd52QKrkEsG4UIei7mrzxsBvYkNREqJFwVNikHiZmRoCPQ4QAvD_BwE</t>
  </si>
  <si>
    <t>https://solotejas.com/producto/tornillo-8-x-1-2-punta-broca-cabeza-plana/</t>
  </si>
  <si>
    <t>https://multiobras.com/producto/tornillo-punta-broca-extraplano-8-x-1-2/</t>
  </si>
  <si>
    <t>tornillo punta broca</t>
  </si>
  <si>
    <t>https://www.homecenter.com.co/homecenter-co/product/21148/sikadur-anchorfix-4-adhesivo-de-anclaje-de-varillas-y-pernos-600ml/21148/</t>
  </si>
  <si>
    <t>https://www.easy.com.co/sika-anchor-fix-600-cc/p?srsltid=AfmBOoqyL-H_54RjAVpV_h-00QEkWHqygai4P40PX0Y6laJ-kheR3vXx</t>
  </si>
  <si>
    <t>sikadur anchorfix</t>
  </si>
  <si>
    <t>https://www.easy.com.co/toma%20leviton?_q=toma%20leviton&amp;map=ft</t>
  </si>
  <si>
    <t>https://interelectricas.com.co/articulos-electricos/92-toma-leviton-doble-15amp-con-polo-blanca.html</t>
  </si>
  <si>
    <t>https://www.edemco.co/productos/accesorios/interruptores-y-tomacorrientes?tipo=toma-doble</t>
  </si>
  <si>
    <t xml:space="preserve">tomacorriente polo a tierra </t>
  </si>
  <si>
    <t>tapa para toma</t>
  </si>
  <si>
    <t>tomacorriente polo a tierra aislada</t>
  </si>
  <si>
    <t>tapa para toma naranja</t>
  </si>
  <si>
    <t>https://www.easy.com.co/interruptor%20enchufable?_q=interruptor%20enchufable&amp;map=ft</t>
  </si>
  <si>
    <t>https://electroservimos.co/breakers/54-bsq120-breaker-enchufable-20a-120240v-10ka-tipo-hom-square-d.html</t>
  </si>
  <si>
    <t>https://www.easy.com.co/breaker-monopolar-enchufabl-20a-legrand/p?srsltid=AfmBOopE_avafp1qwhXAMK7qa_60AJ7FAfn8pLvlmRgk2xtlVmDxsdKP</t>
  </si>
  <si>
    <t>breaker enchufable 1x20A</t>
  </si>
  <si>
    <t>ANEXO 2 - CRONOGRAMA</t>
  </si>
  <si>
    <t>EJECUTAR INTERVENCIONES DE MANTENIMIENTO Y ADECUACIÓN DE LA INFRAESTRUCTURA FISICA DE LAS SEDES DEL MINISTERIO DE VIVIENDA, CIUDAD Y TERRITORIO UBICADAS EN LA CIUDAD DE BOGOTÁ D.C</t>
  </si>
  <si>
    <t>PROCESO: 
MVCT-SAMC-00X-2025</t>
  </si>
  <si>
    <t>ÍTEM</t>
  </si>
  <si>
    <t>ACTIVIDAD</t>
  </si>
  <si>
    <t>UNIDAD</t>
  </si>
  <si>
    <t>MES 1</t>
  </si>
  <si>
    <t>MES 2</t>
  </si>
  <si>
    <t>MES 3</t>
  </si>
  <si>
    <t>S1</t>
  </si>
  <si>
    <t>S2</t>
  </si>
  <si>
    <t>S3</t>
  </si>
  <si>
    <t>S4</t>
  </si>
  <si>
    <t>SEDE DE INTEVENCIÓN</t>
  </si>
  <si>
    <t>PRELIMINAR / ESTRUCTURA Y CUBIERTA</t>
  </si>
  <si>
    <t xml:space="preserve">1.1 </t>
  </si>
  <si>
    <t>DEMOLICIÓN DE ENCHAPE DE MURO. INCLUYE DISPOSICIÓN FINAL, MURO MEDIANERO BOTICA E IMPRENTA</t>
  </si>
  <si>
    <t>M2</t>
  </si>
  <si>
    <t>Imprenta</t>
  </si>
  <si>
    <t>1.2</t>
  </si>
  <si>
    <t>DEMOLICIÓN DE PAÑETE EXISTENTE, APLICACIÓN DE PAÑETE NUEVO CON REFORZAMIENTO EN MALLA ELECTROSOLDADA (4.0 x 4.0mm)15X15 CM. INCLUYE DISPOSICIÓN FINAL, MURO MEDIANERO BOTICA E IMPRENTA</t>
  </si>
  <si>
    <t>Botica</t>
  </si>
  <si>
    <t>1.3</t>
  </si>
  <si>
    <t>DEMOLICIÓN DE PAÑETE EXISTENTE y APLICACIÓN DE PAÑETE NUEVO. INCLUYE DISPOSICIÓN FINAL.</t>
  </si>
  <si>
    <t>1.4</t>
  </si>
  <si>
    <t>PAÑETE 1:4 SOBRE MURO</t>
  </si>
  <si>
    <t>1.5</t>
  </si>
  <si>
    <t>RECONFORMACION DE CORONA EN MURO MEDIANERO DE BOTICA E IMPRENTA, MEDIANTE IMPLEMENTACIÓN DE TEJA O ENCHAPE TIPO COLONIAL</t>
  </si>
  <si>
    <t>ML</t>
  </si>
  <si>
    <t>1.6</t>
  </si>
  <si>
    <t>SUMINISTRO E INSTALACIÓN DE CANAL EN LÁMINA GALVANIZADA CAL. 22 CON UN DESARROLLO MÁXIMO DE 70CM, INCLUYE ACCESORIOS DE INSTALACIÓN, GANCHOS, TORNILLOS Y TODOS LOS ELEMENTOS NECESARIOS PARA SU CORRECTO FUNCIONAMIENTO.</t>
  </si>
  <si>
    <t>1.7</t>
  </si>
  <si>
    <t>MANTENIMIENTO Y LIMPIEZA DE CANALES Y BAJANTES</t>
  </si>
  <si>
    <t>1.8</t>
  </si>
  <si>
    <t>BARRERA ALCALINA MURO INTERNO PROTECCIÓN DE PINTURAS Y ESTUCOS EN MUROS INTERNOS Y EXTERNOS AFECTADOS POR HUMEDAD. INCLUYE DEMOLICIÓN Y DISPOSICIÓN FINAL DEL PAÑETE DETERIORADO</t>
  </si>
  <si>
    <t>1.9</t>
  </si>
  <si>
    <t>RETIRO, DISPOSICIÓN FINAL, SUMINISTRO E INSTALACIÓN DE VIDRIO BLINDADO DE 25 MM (5+5+5+5+5) PV INCOLORO 0,76, CON GOTERO. EN CLARABOYA SALA DE REUNIONES DESPACHO MINISTERIAL</t>
  </si>
  <si>
    <t>1.10</t>
  </si>
  <si>
    <t>MANTENIMIENTO DE CUBIERTA, LIMPIEZA GENERAL DEL ÁREA, RETIRO DE TEJAS SUELTAS, REACOMODACIÓN Y/O REPOSICIÓN DE TEJAS FALTANTES O AVERIADAS, Y FIJACIÓN DE LAS  TEJAS.</t>
  </si>
  <si>
    <t>1.11</t>
  </si>
  <si>
    <t>Retiro de gravilla o piedra cascajo decorativa en patio central y patio posterior, limpieza y adecuación areas para la instalación de durmientes de anclaje,  soporte del recubrimiento listones de madera plástica . Incuye cargue, retiro y  disposición para su reutilización en sitio establecido dentro de la entidad.</t>
  </si>
  <si>
    <t>1.12</t>
  </si>
  <si>
    <t>1.13</t>
  </si>
  <si>
    <t>1.14</t>
  </si>
  <si>
    <t>1.15</t>
  </si>
  <si>
    <t>1.16</t>
  </si>
  <si>
    <t>1.17</t>
  </si>
  <si>
    <t>1.18</t>
  </si>
  <si>
    <t>CUADRILLA DE TRABAJO PARA MANTENIMIENTOS Y/O INTERVENCIONES DE TRABAJO EN ALTURAS INCLUYE ANDAMIOS PARA LA INTERVENCIÓN.</t>
  </si>
  <si>
    <t>Día</t>
  </si>
  <si>
    <t>Todas</t>
  </si>
  <si>
    <t>CUADRILLA DE TRABAJO PARA MANTENIMIENTOS Y/O INTERVENCIONES DE TRABAJO EN ALTURAS SIN ANDAMIOS PARA LA INTERVENCIÓN.</t>
  </si>
  <si>
    <t>INSTALACIONES HIDRO-SANITARIAS</t>
  </si>
  <si>
    <t>2.1</t>
  </si>
  <si>
    <t>2.2</t>
  </si>
  <si>
    <t>2.3</t>
  </si>
  <si>
    <t>SUMINISTRO E INSTALACIÓN DE BAJANTES EN TUBO METÁLICO, FACHADAS INTERNAS. INCLUYE ACCESORIOS DE INSTALACIÓN, GANCHOS, TORNILLOS Y TODOS LOS ELEMENTOS NECESARIOS PARA SU CORRECTO FUNCIONAMIENTO.</t>
  </si>
  <si>
    <t>2.4</t>
  </si>
  <si>
    <t>MANTENIMIENTO DE BAJANTES METALICAS, CUBIERTA CASA IMPRENTA, APLICACIÓN DE ANTICORROSIVO Y ESMALTE</t>
  </si>
  <si>
    <t>2.5</t>
  </si>
  <si>
    <t>FABRICACIÓN TRANSPORTE. DISPOSICIÓN FINAL E INSTALACIÓN DE DOS (2) TAPAS EN ESTRUCTURA PLÁSTICA INDUSTRIAL  PARA TANQUE DE ALMACENAMIENTO DE AGUA POTABLE, TRÁFICO PEATONAL DE 73 CM  DE ANCHO X 138 CM DE LARGO X 2,3 CM DE ALTO, INCLUYE MANIJAS PLÁSTICAS INYECTADAS COLOR POR DEFINIR.</t>
  </si>
  <si>
    <t xml:space="preserve">INSTALACIONES  ELÉCTRICAS </t>
  </si>
  <si>
    <t>3.1</t>
  </si>
  <si>
    <t>3.2</t>
  </si>
  <si>
    <t>3.3</t>
  </si>
  <si>
    <t>SUMINISTRO E INSTALACIÓN DE SALIDA ELECTRICA PARA INTERRUPTOR SENCILLO EN 3#12 AWG HFFRS-LS POR TUBERIA EMT DE 1/2", INCLUYE CAJA EN ALUMINIO DE 4 X 2" E INTERRUPTOR SENCILLO (PROMEDIO 4 MTS)</t>
  </si>
  <si>
    <t>3.4</t>
  </si>
  <si>
    <t>SUMINISTRO E INSTALACIÓN DE SALIDA ELECTRICA PARA INTERRUPTOR DOBLE  EN 4#12 AWG HFFRS-LS POR TUBERIA EMT DE 1/2", INCLUYE CAJA EN ALUMINIO DE 4 X 2" E INTERRUPTOR SENCILLO (PROMEDIO 4 MTS)</t>
  </si>
  <si>
    <t>3.5</t>
  </si>
  <si>
    <t>3.6</t>
  </si>
  <si>
    <t>SUMINISTRO E INSTALACION DE CABLE # 12 AWG HFFR-LS POR TUBERIA EXISTENTE PARA PROLONGACION DE CIRCUITOS Y DEVUELTOS.</t>
  </si>
  <si>
    <t>3.7</t>
  </si>
  <si>
    <t>3.8</t>
  </si>
  <si>
    <t>3.9</t>
  </si>
  <si>
    <t>3.10</t>
  </si>
  <si>
    <t>3.11</t>
  </si>
  <si>
    <t>Palma Real</t>
  </si>
  <si>
    <t>3.12</t>
  </si>
  <si>
    <t>3.13</t>
  </si>
  <si>
    <t>3.14</t>
  </si>
  <si>
    <t>SUMINISTRO E INSTALACION DE REFLECTOR LED DE 50W</t>
  </si>
  <si>
    <t>SUMINISTRO E INSTALACIÓN DE CANALETA METÁLICA DE 12 X 5 CM CON DIVISIÓN Y PINTURA ELECTROSTÁTICA</t>
  </si>
  <si>
    <t>SUMINISTRO E INSTALACIÓN DE TUBERIA EMT DE 3/4" , INCLUYE ACCESORIOS</t>
  </si>
  <si>
    <t>SUMINISTRO E INSTALACIÓN DE TUBERIA EMT DE 1" , INCLUYE ACCESORIOS, UNIONES, CURVAS.TERMINALES.</t>
  </si>
  <si>
    <t xml:space="preserve">SUMINISTRO E INSTALACIÓN DE CAJA DE PISO PARA 2 TOMAS ELECTRICAS </t>
  </si>
  <si>
    <t>SUMINISTRO E INSTALACIÓN DE CABLE TRENZADO EN 3#12 AWG HFFRS-LS POR DUCTERÍA EXISTENTE</t>
  </si>
  <si>
    <t>SUMINISTRO E INSTALACIÓN DE TOMACORRIENTE POLO A TIERRA CON TAPA, INCLUYE MARCACIÓN</t>
  </si>
  <si>
    <t>SUMINISTRO E INSTALACIÓN DE TOMACORRIENTE POLO A TIERRA AISLADA COLOR NARANJA CON TAPA, INCLUYE MARCACIÓN</t>
  </si>
  <si>
    <t>SUMINISTRO E INSTALACIÓN DE BREAKER ENCHUFABLE DE 1X20A 6 KA O SUPERIOR</t>
  </si>
  <si>
    <t>SUMINISTRO E INSTALACION DE SENSOR INFRAROJO PIR PARA MONTAJE EN TECHO 360 GRADOS PARA LUMINARIAS LED, VOLTAJE DE LINEA 120V, INCLUYE CAJA REDONDA Y PROLONGACION EN CABLE ENCAUCHETADO DE 3 X 14 Y CONEXIÓN A LUMINARIA</t>
  </si>
  <si>
    <t>CARPINTERIA</t>
  </si>
  <si>
    <t>4.1</t>
  </si>
  <si>
    <t>4.2</t>
  </si>
  <si>
    <t>4.3</t>
  </si>
  <si>
    <t>4.4</t>
  </si>
  <si>
    <t>MANTENIMIENTO VENTANAS  DE FACHADA,  EN MADERA Y VIDRIO CON UN ÁREA APROXIMADA DE 3,5 M2 C/U. INCLUYE RETIRO TOTAL PARA TRABAJO EN TALLER E INTERVENCIÓN DE REJILLAS METÁLICAS. AISLAMIENTO PROVISIONAL DEL ÁREA CON TRIPEX DE CERRAMIENTO.</t>
  </si>
  <si>
    <t>UN</t>
  </si>
  <si>
    <t>4.5</t>
  </si>
  <si>
    <t>SUMINISTRO E INSTALACIÓN DE ESCALERA AUXILIAR EN ACERO INOXIDABLE DE 1 M DE ANCHO X 0,90 M DE ALTO, FABRICADO EN ANGULO 1 1 / 2" X 1 / 8" CON MARCO  SOLDADO A ESTE Y LÁMINA DE ALFAJOR E =1 / 8" INCLUYE MANO DE ANTICORROSIVO Y PINTURA ESMALTE PARA EXTERIOR, COLOR A ELEGIR.</t>
  </si>
  <si>
    <t>4.6</t>
  </si>
  <si>
    <t xml:space="preserve">PROTECCIÓN ESPALDA ESCALERA DE GATO INCLUYE ARO SUPERIOR </t>
  </si>
  <si>
    <t>4.7</t>
  </si>
  <si>
    <t>CAMBIO DE BISAGRAS RESTAURACIÓN DE CAJAS Y REUBICACION APERTURA DE PUERTA EN MADERA UBICADA EN EL SEGUNDO PISO BOTICA</t>
  </si>
  <si>
    <t>4.8</t>
  </si>
  <si>
    <t>SUMINISTRO E INSTALACIÓN DE CUATRO (4) PUERTA-VENTANAS. LA VENTANERÍA DEBE SER ANTIRUIDO, VIDRIO TIPO DECEUNINCK- EVEREST MAX 60 MM SYSTEM/BLANCO-BLANCO VIDRIOS LAM INC 10+8 (.76) (19 MM) MARCO FIJO Y UNO AVATIBLE. INCLUYE MARCOS.</t>
  </si>
  <si>
    <t>4.9</t>
  </si>
  <si>
    <t>SUMINISTRO E INSTALACIÓN DE: PUERTA EN ALUMINIO DE 0,90M X 2.10 MTS, FABRICADO EN TUBULAR 1101 CON PISA VIDRIO A PRESIÓN Y ENCHAPE F06 EN ALUMINIO, MARCO EN TUBULAR 2”X1” CON ALETA, 3 BISAGRAS, CON CERRADURA TIPO YALE O SIMILAR Y HALADERA</t>
  </si>
  <si>
    <t>4.10</t>
  </si>
  <si>
    <t>MANTENIMIENTO DE VENTANERIA INTERNA EN MADERA, INCLUYE LIMPIEZA, LIJADA, TRATAMIENTO ANTICARCOMA Y BARNIZ TIPO LASUR PARA ACABADO. INCLUYE EL MARCO.</t>
  </si>
  <si>
    <t xml:space="preserve">RETIRO, IMPLEMENTACIÓN DE DILATACIÓN DE 1 CM E INSTALACIÓN  DE PUERTAS INTERIORES BAÑOS IMPRENTA </t>
  </si>
  <si>
    <t>Suministro e instalación recubrimiento en listones de Madera Plástica Compuesta (WPC) para área patio central (14m2) .  Listones Dim. 0,14 m x 5,60 m. Espesor 2,4 cm. Ref. ARKODECK H o  equivalente. Color TEKA. Incluye durmientes de anclaje, tornillos y demás  accesorios para su correcta instalación y funcionamiento. Incluye suministro,  trasciego en obra y transporte de todos los insumos requeridos para su correcta ejecución</t>
  </si>
  <si>
    <t>FABRICACIÓN E INSTALACIÓN DE MOLDURAS DE PROTECCIÓN EN ALEROS DE FACHADA IMPRENTA , CON ACRILICO SOBREPUESTOS DE 3MM, COLOR ACORDE CON LA TONALIDAD DE LA FACHADA Y ESTRUCTURA EN ALUMINIO CALIBRE 18 INCLUYE ANCLAJE A LOS MUROS DE FACHADA</t>
  </si>
  <si>
    <t xml:space="preserve">UN </t>
  </si>
  <si>
    <t>VARIOS</t>
  </si>
  <si>
    <t>5.1</t>
  </si>
  <si>
    <t>MURO EN DRYWALL CON PERFILERÍA EN ALUMINIO A DOS CARAS (INCLUYE ACABADO FINAL A TRES MANOS DE PINTURA TIPO VINILO TIPO 1 COLOR POR DEFINIR</t>
  </si>
  <si>
    <t>5.2</t>
  </si>
  <si>
    <t>5.3</t>
  </si>
  <si>
    <t>ALISTADO, INSTALACIÓN Y SUMINISTRO DE GUARDA ESCOBA EN PVC NATURE OAK O SIMILAR- 2,40X0,85X2,40 M.</t>
  </si>
  <si>
    <t>5.4</t>
  </si>
  <si>
    <t>5.5</t>
  </si>
  <si>
    <t xml:space="preserve">INSTALACIÓN EXTERIOR DE MALLAS ELECTROSOLDADAS DE 1" RECUBIERTA CON PVC PARA EVITAR OXIDACIÓN,  EN LUCARNAS DE CUBIERTA,  INCLUYE DESMONTE E INSTALACIÓN DE POLICARBONATO, </t>
  </si>
  <si>
    <t>5.6</t>
  </si>
  <si>
    <t xml:space="preserve">SUMINISTRO E INSTALACIÓN DE RAMPA EN ACERO INOXIDABLE DE 1,5 M DE ANCHO X 3,10 M DE LARGO, SUPERFICIE ANTIDESLIZANTE EN PISO DECK PLASTICO  MODULAR DE SOBREPONER, RESISTENCIA DE 300KG/M2 </t>
  </si>
  <si>
    <t>5.7</t>
  </si>
  <si>
    <t>SUMINISTRO E INSTALACIÓN DE MURO EN FIBROCEMENTO DE 8MM DOBLE CARA . INCLUYE TODOS ELEMENTOS NECESARIOS PARA SU CORRECTA EJECUCIÓN, TALES COMO REFUERZOS MADERA EN ZONA DE INSTALACIÓN DE PUERTAS, ESTUCO Y PINTURA 3 MANOS VINILO TIPO 1</t>
  </si>
  <si>
    <t>5.8</t>
  </si>
  <si>
    <t>5.9</t>
  </si>
  <si>
    <t>5.10</t>
  </si>
  <si>
    <t xml:space="preserve">PINTURA ARQUITECTÓNICA TIPO KORAZA PARA AMBIENTES EXPERIORES COLOR ACORDE AL ÁREA EN RECUPERACIÓN- FACHADA IMPRENTA </t>
  </si>
  <si>
    <t>5.11</t>
  </si>
  <si>
    <t>5.12</t>
  </si>
  <si>
    <t>5.13</t>
  </si>
  <si>
    <t>5.14</t>
  </si>
  <si>
    <t>5.15</t>
  </si>
  <si>
    <t>5.16</t>
  </si>
  <si>
    <t>5.17</t>
  </si>
  <si>
    <t>PLANOS DE SEÑALIZACIÓN RUTAS DE EVACUACIÓN, DOBLE ACRÍLICO 3 MM  DE 53X35 CM, FOTOLUMINISCENTE CON DILATADORES DE ACERO EN LAS ESQUINAS PARA INSTALACIÓN.</t>
  </si>
  <si>
    <t>PRIMEROS AUXILIOS - INTERVENCIÓN VIGA AEREA AFECTADA EN ÁREA DE CAFETERÍA AUDITORIO, MEDIANTE REFUERZO CON FIBRA DE CARBONO</t>
  </si>
  <si>
    <t xml:space="preserve">SUMINISTRO E INSTALACION DE MALLA METÁLICA GALVANIZADA 1/4"ANCLADA A MUROS PERIMETRALES CON PERNOS Y REVESTIMIENTO DE CIELO RASO EN DRYWALL CON PERFILERÍA EN ALUMINIO A DOS CARAS (INCLUYE ACABADO FINAL A TRES MANOS DE PINTURA TIPO 1 VINILO COLOR BLANCA) </t>
  </si>
  <si>
    <t>DEMOLICIÓN DE ENCHAPE DE PISO O PARED. INCLUYE DISPOSICIÓN FINAL, BAÑOS</t>
  </si>
  <si>
    <t>SUMINISTRO E INSTALACIÓN DE ENCHAPE DE PISO O PARED EN FORMATO SIMILAR AL EXISTENTE, BAÑOS</t>
  </si>
  <si>
    <t>SUMINISTRO E INSTALACIÓN DE SALIDA ELECTRICA PARA FLUXOMETRO EN TUBERIA EMT DE 1/2", INCLUYE CAJA EN ALUMINIO REDONDA, ROSETA, CABLE 3#12 AWG HFFR-LS</t>
  </si>
  <si>
    <t>SUMINISTRO E INSTALACION DE FLUXOMETRO TIPO SENSOR, CON CONEXIÓN A RED DE 110 V.</t>
  </si>
  <si>
    <t>SUMINISTRO E INSTALACIÓN DE KIT DE INSTALACIÓN AL ORINAL, PARA FLUXÓMETROS CON VÁLVULA DE DESCARGA 1¼" LEED TIPO DOCOL</t>
  </si>
  <si>
    <t>Palma Real y Botica</t>
  </si>
  <si>
    <t xml:space="preserve">INSPECCIÓN DE TUBERÍA AGUAS LLUVIAS/NEGRAS DIAMETRO IGUAL O MENOR A 6 PULGADAS ENBEBIDA EN MURO </t>
  </si>
  <si>
    <t>LIMPIEZA Y DESATASCO DE TUBERÍAS DE AGUAS NEGRAS / LLUVIAS. DIAMETRO 4 A 6 PULG.</t>
  </si>
  <si>
    <t>SUMINISTRO E INSTALACIÓN DE SALIDA ELECTRICA PARA TOMACORRIENTE EN 3#12 AWG HFFRS-LS POR TUBERIA EMT DE 1/2", INCLUYE CAJA EN ALUMINIO DE 4 X 2"  Y TOMACORRIENTE DOBLE (PROMEDIO 8 MTS)</t>
  </si>
  <si>
    <t>Imprenta-palma</t>
  </si>
  <si>
    <t xml:space="preserve">SUMINISTRO, ALISTADO, NIVELACIÓN E INSTALACIÓN DE PISO TITANIUM MURANO 1524X228X5+1.5/0.5 BISELADO AC5/33 UE 2,08 O SIMILAR </t>
  </si>
  <si>
    <t xml:space="preserve">ALISTADO, SUMINISTRO E INSTALACIÓN DE ENCHAPE DE PISO ANTIDESLIZANTE EN FORMATO SIMILAR AL EXISTENTE, ESCALERA SÓTANO </t>
  </si>
  <si>
    <t>ALISTADO, SUMINISTRO E INSTALACIÓN DE ENCHAPE DE MURO EN FORMATO SIMILAR AL EXISTENTE, MURO MEDIANERO BOTICA E IMPRENTA</t>
  </si>
  <si>
    <t>RETIRO, DISPOSICIÓN FINAL, SUMINISTRO E INSTALACIÓN DE VIDRIOS LAMINADOS ESPECIALES DE ESPESOR 3+3 EN ALEROS DE CUBIERTA. INCLUYE SILICONA ACÉTICA TRANSPARENTE DE ALTA RESISTENCIA.</t>
  </si>
  <si>
    <t>LIMPIEZA DE VIDRIOS ALEROS PATIOS CENTRALES Y/O FACHADAS EN VIDRIO (INTERNAS EN LA EDIFICACIÓN), INCLUYE INSPECCIÓN Y DICTAMEN DE PUNTOS DE ADHERENCIA, ALQUILER DE ANDAMIOS Y EQUIPO PARA PRESIÓN DE AGUA</t>
  </si>
  <si>
    <t>PINTURA ARQUITECTÓNICA TIPO KORAZA PARA AMBIENTES EXPERIORES COLOR ACORDE AL ÁREA EN RECUPERACIÓN- FACHADA BOTICA</t>
  </si>
  <si>
    <t>SUMINISTRO E INSTALACIÓN DE MEMBRANA ARQUITECTÓNICA, ESTRUCTURA EN ACERO Y LONA PVC 100% IMPERMEABLE DE 6 M X 5 M, INCLUYE ACCESORIOS E INSUMOS.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</si>
</sst>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8" formatCode="&quot;$&quot;\ #,##0.00;[Red]\-&quot;$&quot;\ #,##0.00"/>
    <numFmt numFmtId="44" formatCode="_-&quot;$&quot;\ * #,##0.00_-;\-&quot;$&quot;\ * #,##0.00_-;_-&quot;$&quot;\ * &quot;-&quot;??_-;_-@_-"/>
    <numFmt numFmtId="43" formatCode="_-* #,##0.00_-;\-* #,##0.00_-;_-* &quot;-&quot;??_-;_-@_-"/>
    <numFmt numFmtId="164" formatCode="_(* #,##0.00_);_(* \(#,##0.00\);_(* &quot;-&quot;??_);_(@_)"/>
    <numFmt numFmtId="165" formatCode="0.0"/>
    <numFmt numFmtId="166" formatCode="[$$-240A]\ #,##0.00"/>
    <numFmt numFmtId="167" formatCode="0.0%"/>
    <numFmt numFmtId="168" formatCode="_-&quot;$&quot;* #,##0.00_-;\-&quot;$&quot;* #,##0.00_-;_-&quot;$&quot;* &quot;-&quot;??_-;_-@_-"/>
    <numFmt numFmtId="169" formatCode="_ &quot;$&quot;\ * #,##0.00_ ;_ &quot;$&quot;\ * \-#,##0.00_ ;_ &quot;$&quot;\ * &quot;-&quot;??_ ;_ @_ "/>
    <numFmt numFmtId="170" formatCode="_(&quot;$&quot;\ * #,##0.00_);_(&quot;$&quot;\ * \(#,##0.00\);_(&quot;$&quot;\ * &quot;-&quot;??_);_(@_)"/>
    <numFmt numFmtId="171" formatCode="#,##0.0000"/>
    <numFmt numFmtId="172" formatCode="#,##0.0;[Red]#,##0.0"/>
    <numFmt numFmtId="173" formatCode="[$$-240A]#,##0.00;[Red]\([$$-240A]#,##0.00\)"/>
    <numFmt numFmtId="174" formatCode="[$$-240A]#,##0;[Red]\([$$-240A]#,##0\)"/>
    <numFmt numFmtId="175" formatCode="0.000%"/>
    <numFmt numFmtId="176" formatCode="[$$-240A]\ #,##0.00;[Red][$$-240A]\ #,##0.00"/>
    <numFmt numFmtId="177" formatCode="[$$-240A]\ #,##0.00000"/>
    <numFmt numFmtId="178" formatCode="_-&quot;$&quot;\ * #,##0_-;\-&quot;$&quot;\ * #,##0_-;_-&quot;$&quot;\ * &quot;-&quot;??_-;_-@_-"/>
    <numFmt numFmtId="179" formatCode="_-[$$-240A]\ * #,##0_-;\-[$$-240A]\ * #,##0_-;_-[$$-240A]\ * &quot;-&quot;??_-;_-@_-"/>
    <numFmt numFmtId="180" formatCode="_-&quot;$&quot;\ * #,##0.0000_-;\-&quot;$&quot;\ * #,##0.0000_-;_-&quot;$&quot;\ * &quot;-&quot;??_-;_-@_-"/>
    <numFmt numFmtId="181" formatCode="&quot;$&quot;\ #,##0.00"/>
  </numFmts>
  <fonts count="36" x14ac:knownFonts="1">
    <font>
      <sz val="11"/>
      <color theme="1"/>
      <name val="Calibri"/>
      <family val="2"/>
      <scheme val="minor"/>
    </font>
    <font>
      <sz val="11"/>
      <color theme="1"/>
      <name val="Arial"/>
      <family val="2"/>
    </font>
    <font>
      <sz val="11"/>
      <name val="Arial"/>
      <family val="2"/>
    </font>
    <font>
      <sz val="8"/>
      <color theme="1"/>
      <name val="Arial"/>
      <family val="2"/>
    </font>
    <font>
      <sz val="11"/>
      <color theme="1"/>
      <name val="Calibri"/>
      <family val="2"/>
    </font>
    <font>
      <sz val="11"/>
      <color theme="1"/>
      <name val="Arial"/>
      <family val="2"/>
    </font>
    <font>
      <b/>
      <sz val="14"/>
      <color theme="1"/>
      <name val="Calibri"/>
      <family val="2"/>
    </font>
    <font>
      <b/>
      <sz val="12"/>
      <color rgb="FF000000"/>
      <name val="Open Sans"/>
      <family val="2"/>
    </font>
    <font>
      <b/>
      <sz val="11"/>
      <color theme="1"/>
      <name val="Calibri"/>
      <family val="2"/>
    </font>
    <font>
      <sz val="12"/>
      <color rgb="FF333333"/>
      <name val="Open Sans"/>
      <family val="2"/>
    </font>
    <font>
      <b/>
      <i/>
      <sz val="11"/>
      <color theme="1"/>
      <name val="Calibri"/>
      <family val="2"/>
    </font>
    <font>
      <sz val="11"/>
      <color theme="1"/>
      <name val="Calibri"/>
      <family val="2"/>
      <scheme val="minor"/>
    </font>
    <font>
      <sz val="8"/>
      <name val="Calibri"/>
      <family val="2"/>
      <scheme val="minor"/>
    </font>
    <font>
      <u/>
      <sz val="11"/>
      <color theme="10"/>
      <name val="Calibri"/>
      <family val="2"/>
      <scheme val="minor"/>
    </font>
    <font>
      <sz val="10"/>
      <color rgb="FF4D5156"/>
      <name val="Arial"/>
      <family val="2"/>
      <charset val="1"/>
    </font>
    <font>
      <sz val="10"/>
      <color rgb="FF595959"/>
      <name val="Arial"/>
      <family val="2"/>
    </font>
    <font>
      <sz val="10"/>
      <name val="Arial"/>
      <family val="2"/>
    </font>
    <font>
      <sz val="11"/>
      <color rgb="FF000000"/>
      <name val="Calibri"/>
      <family val="2"/>
      <charset val="204"/>
    </font>
    <font>
      <sz val="10"/>
      <color rgb="FF000000"/>
      <name val="Arial"/>
      <family val="2"/>
    </font>
    <font>
      <b/>
      <sz val="11"/>
      <color theme="1"/>
      <name val="Calibri"/>
      <family val="2"/>
      <scheme val="minor"/>
    </font>
    <font>
      <sz val="11"/>
      <color rgb="FF000000"/>
      <name val="Calibri"/>
      <family val="2"/>
    </font>
    <font>
      <b/>
      <sz val="8"/>
      <color theme="1"/>
      <name val="Verdana"/>
      <family val="2"/>
    </font>
    <font>
      <b/>
      <sz val="8"/>
      <color rgb="FF000000"/>
      <name val="Verdana"/>
      <family val="2"/>
    </font>
    <font>
      <sz val="8"/>
      <color rgb="FF000000"/>
      <name val="Verdana"/>
      <family val="2"/>
    </font>
    <font>
      <sz val="8"/>
      <color theme="1"/>
      <name val="Verdana"/>
      <family val="2"/>
    </font>
    <font>
      <sz val="8"/>
      <color theme="1"/>
      <name val="Calibri"/>
      <family val="2"/>
      <scheme val="minor"/>
    </font>
    <font>
      <b/>
      <sz val="8"/>
      <color theme="1"/>
      <name val="Calibri"/>
      <family val="2"/>
      <scheme val="minor"/>
    </font>
    <font>
      <b/>
      <sz val="10"/>
      <color theme="1"/>
      <name val="Verdana"/>
      <family val="2"/>
    </font>
    <font>
      <sz val="6"/>
      <name val="Arial"/>
      <family val="2"/>
    </font>
    <font>
      <b/>
      <sz val="6"/>
      <name val="Arial"/>
      <family val="2"/>
    </font>
    <font>
      <sz val="6"/>
      <color theme="1"/>
      <name val="Arial"/>
      <family val="2"/>
    </font>
    <font>
      <sz val="6"/>
      <color theme="0"/>
      <name val="Arial"/>
      <family val="2"/>
    </font>
    <font>
      <b/>
      <sz val="6"/>
      <color theme="0"/>
      <name val="Arial"/>
      <family val="2"/>
    </font>
    <font>
      <sz val="6"/>
      <color rgb="FFFF0000"/>
      <name val="Arial"/>
      <family val="2"/>
    </font>
    <font>
      <b/>
      <sz val="6"/>
      <color rgb="FFFF0000"/>
      <name val="Arial"/>
      <family val="2"/>
    </font>
    <font>
      <sz val="8"/>
      <color rgb="FF000000"/>
      <name val="Verdana"/>
    </font>
  </fonts>
  <fills count="14">
    <fill>
      <patternFill patternType="none"/>
    </fill>
    <fill>
      <patternFill patternType="gray125"/>
    </fill>
    <fill>
      <patternFill patternType="solid">
        <fgColor rgb="FFFFFF00"/>
        <bgColor rgb="FFFFFF00"/>
      </patternFill>
    </fill>
    <fill>
      <patternFill patternType="solid">
        <fgColor rgb="FFFAFAFA"/>
        <bgColor indexed="64"/>
      </patternFill>
    </fill>
    <fill>
      <patternFill patternType="solid">
        <fgColor rgb="FFEEEEEE"/>
        <bgColor indexed="64"/>
      </patternFill>
    </fill>
    <fill>
      <patternFill patternType="solid">
        <fgColor rgb="FFCCC0D9"/>
        <bgColor rgb="FFCCC0D9"/>
      </patternFill>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rgb="FFFFFFFF"/>
        <bgColor rgb="FF000000"/>
      </patternFill>
    </fill>
    <fill>
      <patternFill patternType="solid">
        <fgColor theme="0" tint="-4.9989318521683403E-2"/>
        <bgColor rgb="FF000000"/>
      </patternFill>
    </fill>
    <fill>
      <patternFill patternType="solid">
        <fgColor theme="0" tint="-4.9989318521683403E-2"/>
        <bgColor indexed="64"/>
      </patternFill>
    </fill>
  </fills>
  <borders count="61">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C0C0C0"/>
      </left>
      <right/>
      <top style="thick">
        <color rgb="FF0091D5"/>
      </top>
      <bottom/>
      <diagonal/>
    </border>
    <border>
      <left style="medium">
        <color rgb="FFC0C0C0"/>
      </left>
      <right/>
      <top style="medium">
        <color rgb="FFC0C0C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rgb="FFC0C0C0"/>
      </left>
      <right/>
      <top style="medium">
        <color rgb="FFC0C0C0"/>
      </top>
      <bottom style="medium">
        <color rgb="FFC0C0C0"/>
      </bottom>
      <diagonal/>
    </border>
    <border>
      <left style="medium">
        <color indexed="64"/>
      </left>
      <right/>
      <top style="thin">
        <color rgb="FF000000"/>
      </top>
      <bottom style="thin">
        <color rgb="FF000000"/>
      </bottom>
      <diagonal/>
    </border>
    <border>
      <left style="double">
        <color indexed="8"/>
      </left>
      <right/>
      <top/>
      <bottom/>
      <diagonal/>
    </border>
    <border>
      <left style="double">
        <color indexed="64"/>
      </left>
      <right style="double">
        <color indexed="64"/>
      </right>
      <top style="double">
        <color indexed="64"/>
      </top>
      <bottom style="double">
        <color indexed="64"/>
      </bottom>
      <diagonal/>
    </border>
    <border>
      <left/>
      <right/>
      <top/>
      <bottom style="hair">
        <color indexed="8"/>
      </bottom>
      <diagonal/>
    </border>
    <border>
      <left style="hair">
        <color indexed="8"/>
      </left>
      <right style="hair">
        <color indexed="8"/>
      </right>
      <top style="hair">
        <color indexed="8"/>
      </top>
      <bottom/>
      <diagonal/>
    </border>
    <border>
      <left style="double">
        <color indexed="8"/>
      </left>
      <right/>
      <top style="double">
        <color indexed="8"/>
      </top>
      <bottom style="double">
        <color indexed="8"/>
      </bottom>
      <diagonal/>
    </border>
    <border>
      <left/>
      <right/>
      <top style="double">
        <color indexed="8"/>
      </top>
      <bottom style="double">
        <color indexed="8"/>
      </bottom>
      <diagonal/>
    </border>
    <border>
      <left/>
      <right style="double">
        <color indexed="8"/>
      </right>
      <top style="double">
        <color indexed="8"/>
      </top>
      <bottom style="double">
        <color indexed="8"/>
      </bottom>
      <diagonal/>
    </border>
    <border>
      <left style="double">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thin">
        <color indexed="8"/>
      </left>
      <right style="double">
        <color indexed="8"/>
      </right>
      <top style="double">
        <color indexed="8"/>
      </top>
      <bottom style="thin">
        <color indexed="8"/>
      </bottom>
      <diagonal/>
    </border>
    <border>
      <left style="double">
        <color indexed="8"/>
      </left>
      <right style="double">
        <color indexed="8"/>
      </right>
      <top style="double">
        <color indexed="8"/>
      </top>
      <bottom style="double">
        <color indexed="8"/>
      </bottom>
      <diagonal/>
    </border>
    <border>
      <left style="double">
        <color indexed="8"/>
      </left>
      <right style="thin">
        <color indexed="8"/>
      </right>
      <top style="double">
        <color indexed="8"/>
      </top>
      <bottom style="thin">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top style="thin">
        <color auto="1"/>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medium">
        <color indexed="64"/>
      </top>
      <bottom style="thin">
        <color auto="1"/>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double">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style="double">
        <color indexed="8"/>
      </left>
      <right style="thin">
        <color indexed="8"/>
      </right>
      <top style="thin">
        <color indexed="8"/>
      </top>
      <bottom style="double">
        <color indexed="8"/>
      </bottom>
      <diagonal/>
    </border>
    <border>
      <left style="thin">
        <color indexed="8"/>
      </left>
      <right style="thin">
        <color indexed="8"/>
      </right>
      <top style="thin">
        <color indexed="8"/>
      </top>
      <bottom style="double">
        <color indexed="8"/>
      </bottom>
      <diagonal/>
    </border>
    <border>
      <left style="thin">
        <color indexed="8"/>
      </left>
      <right style="double">
        <color indexed="8"/>
      </right>
      <top style="thin">
        <color indexed="8"/>
      </top>
      <bottom style="double">
        <color indexed="8"/>
      </bottom>
      <diagonal/>
    </border>
    <border>
      <left style="double">
        <color indexed="8"/>
      </left>
      <right style="thin">
        <color indexed="8"/>
      </right>
      <top style="thin">
        <color indexed="8"/>
      </top>
      <bottom style="thin">
        <color indexed="8"/>
      </bottom>
      <diagonal/>
    </border>
    <border>
      <left/>
      <right/>
      <top style="thin">
        <color indexed="8"/>
      </top>
      <bottom style="thin">
        <color indexed="8"/>
      </bottom>
      <diagonal/>
    </border>
    <border>
      <left style="double">
        <color indexed="8"/>
      </left>
      <right/>
      <top style="thin">
        <color indexed="8"/>
      </top>
      <bottom style="double">
        <color indexed="8"/>
      </bottom>
      <diagonal/>
    </border>
    <border>
      <left/>
      <right/>
      <top style="thin">
        <color indexed="8"/>
      </top>
      <bottom style="double">
        <color indexed="8"/>
      </bottom>
      <diagonal/>
    </border>
    <border>
      <left/>
      <right style="thin">
        <color indexed="8"/>
      </right>
      <top style="thin">
        <color indexed="8"/>
      </top>
      <bottom style="double">
        <color indexed="8"/>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style="thin">
        <color auto="1"/>
      </left>
      <right style="medium">
        <color indexed="64"/>
      </right>
      <top style="medium">
        <color indexed="64"/>
      </top>
      <bottom/>
      <diagonal/>
    </border>
    <border>
      <left/>
      <right style="thin">
        <color indexed="64"/>
      </right>
      <top style="thin">
        <color indexed="64"/>
      </top>
      <bottom style="thin">
        <color indexed="64"/>
      </bottom>
      <diagonal/>
    </border>
  </borders>
  <cellStyleXfs count="26">
    <xf numFmtId="0" fontId="0" fillId="0" borderId="0"/>
    <xf numFmtId="0" fontId="1" fillId="0" borderId="0"/>
    <xf numFmtId="0" fontId="5" fillId="0" borderId="0"/>
    <xf numFmtId="9" fontId="5"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9" fontId="11" fillId="0" borderId="0" applyFon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6" fillId="0" borderId="0"/>
    <xf numFmtId="0" fontId="16" fillId="0" borderId="0" applyBorder="0"/>
    <xf numFmtId="0" fontId="17" fillId="0" borderId="0"/>
    <xf numFmtId="164" fontId="1" fillId="0" borderId="0" applyFont="0" applyFill="0" applyBorder="0" applyAlignment="0" applyProtection="0"/>
    <xf numFmtId="0" fontId="1" fillId="0" borderId="0"/>
    <xf numFmtId="169" fontId="16" fillId="0" borderId="0" applyFont="0" applyFill="0" applyBorder="0" applyAlignment="0" applyProtection="0"/>
    <xf numFmtId="9" fontId="11" fillId="0" borderId="0" applyFont="0" applyFill="0" applyBorder="0" applyAlignment="0" applyProtection="0"/>
    <xf numFmtId="0" fontId="16" fillId="0" borderId="0" applyBorder="0"/>
    <xf numFmtId="44" fontId="11" fillId="0" borderId="0" applyFont="0" applyFill="0" applyBorder="0" applyAlignment="0" applyProtection="0"/>
    <xf numFmtId="9" fontId="1"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cellStyleXfs>
  <cellXfs count="287">
    <xf numFmtId="0" fontId="0" fillId="0" borderId="0" xfId="0"/>
    <xf numFmtId="4" fontId="3" fillId="0" borderId="2" xfId="1" applyNumberFormat="1" applyFont="1" applyBorder="1" applyAlignment="1">
      <alignment horizontal="center" vertical="center"/>
    </xf>
    <xf numFmtId="4" fontId="3" fillId="0" borderId="2" xfId="1" applyNumberFormat="1" applyFont="1" applyBorder="1"/>
    <xf numFmtId="0" fontId="5" fillId="0" borderId="0" xfId="2"/>
    <xf numFmtId="0" fontId="4" fillId="0" borderId="0" xfId="2" applyFont="1"/>
    <xf numFmtId="0" fontId="7" fillId="3" borderId="4" xfId="2" applyFont="1" applyFill="1" applyBorder="1" applyAlignment="1">
      <alignment vertical="center" wrapText="1"/>
    </xf>
    <xf numFmtId="0" fontId="8" fillId="0" borderId="2" xfId="2" applyFont="1" applyBorder="1"/>
    <xf numFmtId="0" fontId="8" fillId="0" borderId="0" xfId="2" applyFont="1"/>
    <xf numFmtId="0" fontId="9" fillId="3" borderId="5" xfId="2" applyFont="1" applyFill="1" applyBorder="1" applyAlignment="1">
      <alignment vertical="center" wrapText="1"/>
    </xf>
    <xf numFmtId="10" fontId="9" fillId="3" borderId="5" xfId="2" applyNumberFormat="1" applyFont="1" applyFill="1" applyBorder="1" applyAlignment="1">
      <alignment vertical="center" wrapText="1"/>
    </xf>
    <xf numFmtId="0" fontId="4" fillId="0" borderId="2" xfId="2" applyFont="1" applyBorder="1"/>
    <xf numFmtId="4" fontId="4" fillId="2" borderId="2" xfId="2" applyNumberFormat="1" applyFont="1" applyFill="1" applyBorder="1" applyAlignment="1">
      <alignment horizontal="right"/>
    </xf>
    <xf numFmtId="10" fontId="8" fillId="0" borderId="0" xfId="3" applyNumberFormat="1" applyFont="1" applyAlignment="1">
      <alignment horizontal="center"/>
    </xf>
    <xf numFmtId="4" fontId="4" fillId="0" borderId="0" xfId="2" applyNumberFormat="1" applyFont="1"/>
    <xf numFmtId="0" fontId="8" fillId="0" borderId="0" xfId="2" applyFont="1" applyAlignment="1">
      <alignment horizontal="center"/>
    </xf>
    <xf numFmtId="4" fontId="4" fillId="0" borderId="2" xfId="2" applyNumberFormat="1" applyFont="1" applyBorder="1" applyAlignment="1">
      <alignment horizontal="right"/>
    </xf>
    <xf numFmtId="9" fontId="9" fillId="3" borderId="5" xfId="2" applyNumberFormat="1" applyFont="1" applyFill="1" applyBorder="1" applyAlignment="1">
      <alignment vertical="center" wrapText="1"/>
    </xf>
    <xf numFmtId="0" fontId="7" fillId="3" borderId="5" xfId="2" applyFont="1" applyFill="1" applyBorder="1" applyAlignment="1">
      <alignment vertical="center" wrapText="1"/>
    </xf>
    <xf numFmtId="10" fontId="9" fillId="3" borderId="5" xfId="3" applyNumberFormat="1" applyFont="1" applyFill="1" applyBorder="1" applyAlignment="1">
      <alignment vertical="center" wrapText="1"/>
    </xf>
    <xf numFmtId="4" fontId="4" fillId="0" borderId="0" xfId="2" applyNumberFormat="1" applyFont="1" applyAlignment="1">
      <alignment horizontal="right"/>
    </xf>
    <xf numFmtId="0" fontId="8" fillId="0" borderId="2" xfId="2" applyFont="1" applyBorder="1" applyAlignment="1">
      <alignment horizontal="center" vertical="center" wrapText="1"/>
    </xf>
    <xf numFmtId="0" fontId="4" fillId="0" borderId="2" xfId="2" applyFont="1" applyBorder="1" applyAlignment="1">
      <alignment horizontal="center" vertical="center" wrapText="1"/>
    </xf>
    <xf numFmtId="0" fontId="4" fillId="0" borderId="2" xfId="2" applyFont="1" applyBorder="1" applyAlignment="1">
      <alignment horizontal="center"/>
    </xf>
    <xf numFmtId="0" fontId="4" fillId="0" borderId="2" xfId="2" applyFont="1" applyBorder="1" applyAlignment="1">
      <alignment horizontal="left"/>
    </xf>
    <xf numFmtId="4" fontId="4" fillId="0" borderId="2" xfId="2" applyNumberFormat="1" applyFont="1" applyBorder="1"/>
    <xf numFmtId="0" fontId="7" fillId="4" borderId="10" xfId="2" applyFont="1" applyFill="1" applyBorder="1" applyAlignment="1">
      <alignment vertical="center" wrapText="1"/>
    </xf>
    <xf numFmtId="0" fontId="4" fillId="5" borderId="2" xfId="2" applyFont="1" applyFill="1" applyBorder="1" applyAlignment="1">
      <alignment horizontal="left"/>
    </xf>
    <xf numFmtId="4" fontId="4" fillId="5" borderId="2" xfId="2" applyNumberFormat="1" applyFont="1" applyFill="1" applyBorder="1"/>
    <xf numFmtId="0" fontId="8" fillId="0" borderId="2" xfId="2" applyFont="1" applyBorder="1" applyAlignment="1">
      <alignment horizontal="center" vertical="center"/>
    </xf>
    <xf numFmtId="0" fontId="8" fillId="0" borderId="0" xfId="2" applyFont="1" applyAlignment="1">
      <alignment horizontal="left"/>
    </xf>
    <xf numFmtId="0" fontId="0" fillId="0" borderId="0" xfId="0" applyAlignment="1">
      <alignment horizontal="center" vertical="center"/>
    </xf>
    <xf numFmtId="4" fontId="3" fillId="0" borderId="2" xfId="1" applyNumberFormat="1" applyFont="1" applyBorder="1" applyAlignment="1">
      <alignment horizontal="center"/>
    </xf>
    <xf numFmtId="0" fontId="0" fillId="0" borderId="0" xfId="0" applyAlignment="1">
      <alignment wrapText="1"/>
    </xf>
    <xf numFmtId="0" fontId="13" fillId="0" borderId="0" xfId="7" applyAlignment="1">
      <alignment wrapText="1"/>
    </xf>
    <xf numFmtId="43" fontId="0" fillId="0" borderId="0" xfId="4" applyFont="1"/>
    <xf numFmtId="43" fontId="0" fillId="0" borderId="0" xfId="4" applyFont="1" applyAlignment="1">
      <alignment horizontal="center" vertical="center"/>
    </xf>
    <xf numFmtId="8" fontId="0" fillId="0" borderId="0" xfId="4" applyNumberFormat="1" applyFont="1"/>
    <xf numFmtId="0" fontId="13" fillId="0" borderId="0" xfId="8" applyAlignment="1">
      <alignment wrapText="1"/>
    </xf>
    <xf numFmtId="166" fontId="14" fillId="0" borderId="0" xfId="0" applyNumberFormat="1" applyFont="1"/>
    <xf numFmtId="166" fontId="15" fillId="0" borderId="0" xfId="0" applyNumberFormat="1" applyFont="1"/>
    <xf numFmtId="43" fontId="0" fillId="0" borderId="0" xfId="0" applyNumberFormat="1"/>
    <xf numFmtId="0" fontId="0" fillId="0" borderId="0" xfId="0" applyAlignment="1">
      <alignment horizontal="center"/>
    </xf>
    <xf numFmtId="9" fontId="0" fillId="0" borderId="0" xfId="6" applyFont="1" applyAlignment="1">
      <alignment horizontal="center"/>
    </xf>
    <xf numFmtId="9" fontId="0" fillId="0" borderId="0" xfId="0" applyNumberFormat="1" applyAlignment="1">
      <alignment horizontal="center"/>
    </xf>
    <xf numFmtId="0" fontId="19" fillId="0" borderId="0" xfId="0" applyFont="1" applyAlignment="1">
      <alignment vertical="center" wrapText="1"/>
    </xf>
    <xf numFmtId="0" fontId="19" fillId="0" borderId="0" xfId="0" applyFont="1" applyAlignment="1">
      <alignment horizontal="center" vertical="center" wrapText="1"/>
    </xf>
    <xf numFmtId="0" fontId="20" fillId="0" borderId="0" xfId="0" applyFont="1" applyAlignment="1">
      <alignment horizontal="left" vertical="center" wrapText="1"/>
    </xf>
    <xf numFmtId="4" fontId="0" fillId="0" borderId="0" xfId="0" applyNumberFormat="1" applyAlignment="1">
      <alignment wrapText="1"/>
    </xf>
    <xf numFmtId="44" fontId="0" fillId="6" borderId="2" xfId="5" applyFont="1" applyFill="1" applyBorder="1" applyAlignment="1">
      <alignment vertical="center"/>
    </xf>
    <xf numFmtId="0" fontId="0" fillId="0" borderId="2" xfId="0" applyBorder="1" applyAlignment="1">
      <alignment horizontal="center" vertical="center"/>
    </xf>
    <xf numFmtId="0" fontId="0" fillId="0" borderId="2" xfId="0" applyBorder="1" applyAlignment="1">
      <alignment vertical="center" wrapText="1"/>
    </xf>
    <xf numFmtId="44" fontId="0" fillId="0" borderId="2" xfId="0" applyNumberFormat="1" applyBorder="1"/>
    <xf numFmtId="0" fontId="0" fillId="0" borderId="2" xfId="0" applyBorder="1"/>
    <xf numFmtId="44" fontId="0" fillId="6" borderId="6" xfId="5" applyFont="1" applyFill="1" applyBorder="1" applyAlignment="1">
      <alignment vertical="center"/>
    </xf>
    <xf numFmtId="0" fontId="0" fillId="0" borderId="6" xfId="0" applyBorder="1" applyAlignment="1">
      <alignment horizontal="center" vertical="center"/>
    </xf>
    <xf numFmtId="0" fontId="0" fillId="0" borderId="6" xfId="0" applyBorder="1" applyAlignment="1">
      <alignment vertical="center" wrapText="1"/>
    </xf>
    <xf numFmtId="0" fontId="25" fillId="0" borderId="0" xfId="0" applyFont="1" applyAlignment="1">
      <alignment vertical="center"/>
    </xf>
    <xf numFmtId="0" fontId="25" fillId="0" borderId="0" xfId="0" applyFont="1" applyAlignment="1">
      <alignment horizontal="center" vertical="center"/>
    </xf>
    <xf numFmtId="44" fontId="3" fillId="0" borderId="0" xfId="5" applyFont="1" applyFill="1" applyAlignment="1">
      <alignment vertical="center"/>
    </xf>
    <xf numFmtId="0" fontId="3" fillId="0" borderId="0" xfId="0" applyFont="1" applyAlignment="1">
      <alignment vertical="center"/>
    </xf>
    <xf numFmtId="0" fontId="3" fillId="0" borderId="0" xfId="0" applyFont="1" applyAlignment="1">
      <alignment vertical="center" wrapText="1"/>
    </xf>
    <xf numFmtId="0" fontId="3" fillId="0" borderId="0" xfId="0" applyFont="1" applyAlignment="1">
      <alignment horizontal="center" vertical="center"/>
    </xf>
    <xf numFmtId="0" fontId="26" fillId="0" borderId="0" xfId="0" applyFont="1" applyAlignment="1">
      <alignment vertical="center"/>
    </xf>
    <xf numFmtId="166" fontId="0" fillId="0" borderId="0" xfId="0" applyNumberFormat="1"/>
    <xf numFmtId="0" fontId="28" fillId="6" borderId="0" xfId="10" applyFont="1" applyFill="1" applyAlignment="1">
      <alignment vertical="center"/>
    </xf>
    <xf numFmtId="0" fontId="28" fillId="0" borderId="0" xfId="10" applyFont="1" applyAlignment="1">
      <alignment vertical="center"/>
    </xf>
    <xf numFmtId="0" fontId="29" fillId="0" borderId="0" xfId="10" applyFont="1" applyAlignment="1">
      <alignment vertical="center"/>
    </xf>
    <xf numFmtId="0" fontId="28" fillId="0" borderId="0" xfId="10" applyFont="1" applyAlignment="1">
      <alignment vertical="center" wrapText="1"/>
    </xf>
    <xf numFmtId="0" fontId="29" fillId="0" borderId="0" xfId="10" applyFont="1" applyAlignment="1">
      <alignment horizontal="center" vertical="center"/>
    </xf>
    <xf numFmtId="0" fontId="29" fillId="6" borderId="0" xfId="10" applyFont="1" applyFill="1" applyAlignment="1">
      <alignment vertical="center"/>
    </xf>
    <xf numFmtId="0" fontId="28" fillId="6" borderId="0" xfId="10" applyFont="1" applyFill="1" applyAlignment="1">
      <alignment horizontal="center" vertical="center"/>
    </xf>
    <xf numFmtId="0" fontId="28" fillId="0" borderId="0" xfId="10" applyFont="1" applyAlignment="1">
      <alignment horizontal="center" vertical="center"/>
    </xf>
    <xf numFmtId="0" fontId="29" fillId="0" borderId="0" xfId="10" applyFont="1" applyAlignment="1">
      <alignment horizontal="left" vertical="center"/>
    </xf>
    <xf numFmtId="168" fontId="30" fillId="0" borderId="0" xfId="13" applyNumberFormat="1" applyFont="1"/>
    <xf numFmtId="169" fontId="28" fillId="0" borderId="0" xfId="14" applyFont="1" applyAlignment="1">
      <alignment vertical="center"/>
    </xf>
    <xf numFmtId="170" fontId="28" fillId="0" borderId="0" xfId="10" applyNumberFormat="1" applyFont="1" applyAlignment="1">
      <alignment vertical="center"/>
    </xf>
    <xf numFmtId="0" fontId="29" fillId="0" borderId="13" xfId="10" applyFont="1" applyBorder="1" applyAlignment="1">
      <alignment horizontal="center" vertical="center"/>
    </xf>
    <xf numFmtId="0" fontId="29" fillId="0" borderId="0" xfId="10" applyFont="1" applyAlignment="1">
      <alignment vertical="center" wrapText="1"/>
    </xf>
    <xf numFmtId="4" fontId="29" fillId="0" borderId="13" xfId="10" applyNumberFormat="1" applyFont="1" applyBorder="1" applyAlignment="1">
      <alignment horizontal="center" vertical="center"/>
    </xf>
    <xf numFmtId="171" fontId="28" fillId="0" borderId="0" xfId="10" applyNumberFormat="1" applyFont="1" applyAlignment="1">
      <alignment vertical="center" wrapText="1"/>
    </xf>
    <xf numFmtId="0" fontId="29" fillId="0" borderId="16" xfId="10" applyFont="1" applyBorder="1" applyAlignment="1">
      <alignment horizontal="left" vertical="center"/>
    </xf>
    <xf numFmtId="0" fontId="29" fillId="0" borderId="17" xfId="10" applyFont="1" applyBorder="1" applyAlignment="1">
      <alignment horizontal="left" vertical="center"/>
    </xf>
    <xf numFmtId="0" fontId="29" fillId="0" borderId="19" xfId="10" applyFont="1" applyBorder="1" applyAlignment="1">
      <alignment horizontal="center" vertical="center" wrapText="1"/>
    </xf>
    <xf numFmtId="0" fontId="29" fillId="0" borderId="20" xfId="10" applyFont="1" applyBorder="1" applyAlignment="1">
      <alignment horizontal="center" vertical="center" wrapText="1"/>
    </xf>
    <xf numFmtId="0" fontId="29" fillId="0" borderId="21" xfId="10" applyFont="1" applyBorder="1" applyAlignment="1">
      <alignment horizontal="center" vertical="center" wrapText="1"/>
    </xf>
    <xf numFmtId="174" fontId="28" fillId="0" borderId="0" xfId="10" applyNumberFormat="1" applyFont="1" applyAlignment="1">
      <alignment vertical="center"/>
    </xf>
    <xf numFmtId="0" fontId="28" fillId="0" borderId="0" xfId="10" applyFont="1" applyAlignment="1">
      <alignment horizontal="left" vertical="center"/>
    </xf>
    <xf numFmtId="37" fontId="28" fillId="0" borderId="0" xfId="10" applyNumberFormat="1" applyFont="1" applyAlignment="1">
      <alignment horizontal="center" vertical="center"/>
    </xf>
    <xf numFmtId="173" fontId="29" fillId="0" borderId="22" xfId="10" applyNumberFormat="1" applyFont="1" applyBorder="1" applyAlignment="1">
      <alignment horizontal="center" vertical="center"/>
    </xf>
    <xf numFmtId="10" fontId="29" fillId="0" borderId="22" xfId="10" applyNumberFormat="1" applyFont="1" applyBorder="1" applyAlignment="1">
      <alignment horizontal="center" vertical="center"/>
    </xf>
    <xf numFmtId="37" fontId="28" fillId="0" borderId="0" xfId="10" applyNumberFormat="1" applyFont="1" applyAlignment="1">
      <alignment vertical="center"/>
    </xf>
    <xf numFmtId="0" fontId="33" fillId="0" borderId="0" xfId="10" applyFont="1" applyAlignment="1">
      <alignment horizontal="center" vertical="center"/>
    </xf>
    <xf numFmtId="10" fontId="28" fillId="0" borderId="0" xfId="10" applyNumberFormat="1" applyFont="1" applyAlignment="1">
      <alignment vertical="center"/>
    </xf>
    <xf numFmtId="166" fontId="28" fillId="0" borderId="0" xfId="10" applyNumberFormat="1" applyFont="1" applyAlignment="1">
      <alignment vertical="center"/>
    </xf>
    <xf numFmtId="43" fontId="28" fillId="0" borderId="0" xfId="4" applyFont="1" applyAlignment="1">
      <alignment vertical="center"/>
    </xf>
    <xf numFmtId="9" fontId="28" fillId="0" borderId="0" xfId="19" applyFont="1" applyAlignment="1">
      <alignment vertical="center"/>
    </xf>
    <xf numFmtId="166" fontId="28" fillId="0" borderId="0" xfId="10" applyNumberFormat="1" applyFont="1" applyAlignment="1">
      <alignment horizontal="right" vertical="center"/>
    </xf>
    <xf numFmtId="0" fontId="28" fillId="0" borderId="0" xfId="10" applyFont="1" applyAlignment="1">
      <alignment horizontal="right" vertical="center"/>
    </xf>
    <xf numFmtId="10" fontId="28" fillId="0" borderId="0" xfId="10" applyNumberFormat="1" applyFont="1" applyAlignment="1">
      <alignment horizontal="center" vertical="center"/>
    </xf>
    <xf numFmtId="0" fontId="29" fillId="0" borderId="26" xfId="10" applyFont="1" applyBorder="1" applyAlignment="1">
      <alignment horizontal="center" vertical="center"/>
    </xf>
    <xf numFmtId="0" fontId="29" fillId="0" borderId="24" xfId="10" applyFont="1" applyBorder="1" applyAlignment="1">
      <alignment horizontal="left" vertical="center"/>
    </xf>
    <xf numFmtId="9" fontId="29" fillId="0" borderId="24" xfId="19" applyFont="1" applyBorder="1" applyAlignment="1">
      <alignment vertical="center"/>
    </xf>
    <xf numFmtId="0" fontId="29" fillId="0" borderId="24" xfId="10" applyFont="1" applyBorder="1" applyAlignment="1">
      <alignment horizontal="right" vertical="center"/>
    </xf>
    <xf numFmtId="176" fontId="29" fillId="0" borderId="25" xfId="10" applyNumberFormat="1" applyFont="1" applyBorder="1" applyAlignment="1">
      <alignment horizontal="center" vertical="center"/>
    </xf>
    <xf numFmtId="10" fontId="29" fillId="0" borderId="27" xfId="10" applyNumberFormat="1" applyFont="1" applyBorder="1" applyAlignment="1">
      <alignment horizontal="center" vertical="center"/>
    </xf>
    <xf numFmtId="9" fontId="29" fillId="0" borderId="17" xfId="19" applyFont="1" applyBorder="1" applyAlignment="1">
      <alignment vertical="center"/>
    </xf>
    <xf numFmtId="0" fontId="29" fillId="0" borderId="17" xfId="10" applyFont="1" applyBorder="1" applyAlignment="1">
      <alignment horizontal="right" vertical="center"/>
    </xf>
    <xf numFmtId="176" fontId="29" fillId="0" borderId="17" xfId="10" applyNumberFormat="1" applyFont="1" applyBorder="1" applyAlignment="1">
      <alignment horizontal="center" vertical="center"/>
    </xf>
    <xf numFmtId="169" fontId="29" fillId="6" borderId="0" xfId="14" applyFont="1" applyFill="1" applyAlignment="1">
      <alignment vertical="center"/>
    </xf>
    <xf numFmtId="0" fontId="29" fillId="0" borderId="17" xfId="10" applyFont="1" applyBorder="1" applyAlignment="1">
      <alignment vertical="center"/>
    </xf>
    <xf numFmtId="166" fontId="29" fillId="0" borderId="17" xfId="10" applyNumberFormat="1" applyFont="1" applyBorder="1" applyAlignment="1">
      <alignment horizontal="center" vertical="center" wrapText="1"/>
    </xf>
    <xf numFmtId="10" fontId="28" fillId="6" borderId="0" xfId="10" applyNumberFormat="1" applyFont="1" applyFill="1" applyAlignment="1">
      <alignment vertical="center"/>
    </xf>
    <xf numFmtId="166" fontId="28" fillId="6" borderId="0" xfId="10" applyNumberFormat="1" applyFont="1" applyFill="1" applyAlignment="1">
      <alignment vertical="center"/>
    </xf>
    <xf numFmtId="169" fontId="28" fillId="6" borderId="0" xfId="14" applyFont="1" applyFill="1" applyAlignment="1">
      <alignment vertical="center"/>
    </xf>
    <xf numFmtId="177" fontId="28" fillId="6" borderId="0" xfId="10" applyNumberFormat="1" applyFont="1" applyFill="1" applyAlignment="1">
      <alignment vertical="center"/>
    </xf>
    <xf numFmtId="10" fontId="28" fillId="6" borderId="0" xfId="20" applyNumberFormat="1" applyFont="1" applyFill="1" applyAlignment="1">
      <alignment vertical="center"/>
    </xf>
    <xf numFmtId="166" fontId="0" fillId="8" borderId="0" xfId="0" applyNumberFormat="1" applyFill="1"/>
    <xf numFmtId="0" fontId="0" fillId="0" borderId="0" xfId="0" applyAlignment="1">
      <alignment horizontal="left" indent="1"/>
    </xf>
    <xf numFmtId="0" fontId="0" fillId="0" borderId="0" xfId="0" applyAlignment="1">
      <alignment horizontal="left" indent="2"/>
    </xf>
    <xf numFmtId="0" fontId="18" fillId="0" borderId="0" xfId="11" applyFont="1" applyAlignment="1">
      <alignment horizontal="center" vertical="center" wrapText="1"/>
    </xf>
    <xf numFmtId="164" fontId="18" fillId="0" borderId="0" xfId="12" applyFont="1" applyAlignment="1">
      <alignment horizontal="center" vertical="center" wrapText="1"/>
    </xf>
    <xf numFmtId="164" fontId="18" fillId="0" borderId="0" xfId="12" applyFont="1" applyAlignment="1">
      <alignment vertical="center" wrapText="1"/>
    </xf>
    <xf numFmtId="0" fontId="18" fillId="0" borderId="0" xfId="11" applyFont="1" applyAlignment="1">
      <alignment vertical="center" wrapText="1"/>
    </xf>
    <xf numFmtId="0" fontId="21" fillId="0" borderId="34" xfId="0" applyFont="1" applyBorder="1" applyAlignment="1">
      <alignment horizontal="center" vertical="center" wrapText="1"/>
    </xf>
    <xf numFmtId="0" fontId="29" fillId="0" borderId="37" xfId="10" applyFont="1" applyBorder="1" applyAlignment="1">
      <alignment horizontal="center" vertical="center" wrapText="1"/>
    </xf>
    <xf numFmtId="0" fontId="29" fillId="0" borderId="38" xfId="10" applyFont="1" applyBorder="1" applyAlignment="1">
      <alignment horizontal="center" vertical="center" wrapText="1"/>
    </xf>
    <xf numFmtId="0" fontId="28" fillId="0" borderId="35" xfId="10" applyFont="1" applyBorder="1" applyAlignment="1">
      <alignment horizontal="center" vertical="center"/>
    </xf>
    <xf numFmtId="0" fontId="28" fillId="0" borderId="37" xfId="10" applyFont="1" applyBorder="1" applyAlignment="1">
      <alignment horizontal="left" vertical="center"/>
    </xf>
    <xf numFmtId="9" fontId="28" fillId="0" borderId="37" xfId="15" applyFont="1" applyBorder="1" applyAlignment="1">
      <alignment horizontal="center" vertical="center"/>
    </xf>
    <xf numFmtId="166" fontId="28" fillId="0" borderId="37" xfId="10" applyNumberFormat="1" applyFont="1" applyBorder="1" applyAlignment="1">
      <alignment horizontal="center" vertical="center"/>
    </xf>
    <xf numFmtId="4" fontId="28" fillId="0" borderId="37" xfId="10" applyNumberFormat="1" applyFont="1" applyBorder="1" applyAlignment="1">
      <alignment horizontal="center" vertical="center"/>
    </xf>
    <xf numFmtId="172" fontId="28" fillId="0" borderId="37" xfId="10" applyNumberFormat="1" applyFont="1" applyBorder="1" applyAlignment="1">
      <alignment horizontal="center" vertical="center"/>
    </xf>
    <xf numFmtId="166" fontId="28" fillId="0" borderId="38" xfId="10" applyNumberFormat="1" applyFont="1" applyBorder="1" applyAlignment="1">
      <alignment horizontal="center" vertical="center"/>
    </xf>
    <xf numFmtId="0" fontId="28" fillId="0" borderId="35" xfId="10" applyFont="1" applyBorder="1" applyAlignment="1">
      <alignment horizontal="center" vertical="top"/>
    </xf>
    <xf numFmtId="0" fontId="28" fillId="0" borderId="35" xfId="16" applyFont="1" applyBorder="1" applyAlignment="1">
      <alignment horizontal="center" vertical="center"/>
    </xf>
    <xf numFmtId="0" fontId="28" fillId="0" borderId="37" xfId="10" applyFont="1" applyBorder="1" applyAlignment="1">
      <alignment horizontal="left" vertical="center" wrapText="1"/>
    </xf>
    <xf numFmtId="4" fontId="31" fillId="0" borderId="37" xfId="10" applyNumberFormat="1" applyFont="1" applyBorder="1" applyAlignment="1">
      <alignment horizontal="center" vertical="center"/>
    </xf>
    <xf numFmtId="173" fontId="28" fillId="0" borderId="38" xfId="10" applyNumberFormat="1" applyFont="1" applyBorder="1" applyAlignment="1">
      <alignment horizontal="center" vertical="center"/>
    </xf>
    <xf numFmtId="0" fontId="29" fillId="0" borderId="37" xfId="10" applyFont="1" applyBorder="1" applyAlignment="1">
      <alignment vertical="center"/>
    </xf>
    <xf numFmtId="4" fontId="32" fillId="0" borderId="37" xfId="10" applyNumberFormat="1" applyFont="1" applyBorder="1" applyAlignment="1">
      <alignment vertical="center"/>
    </xf>
    <xf numFmtId="172" fontId="29" fillId="0" borderId="37" xfId="10" applyNumberFormat="1" applyFont="1" applyBorder="1" applyAlignment="1">
      <alignment vertical="center"/>
    </xf>
    <xf numFmtId="0" fontId="29" fillId="0" borderId="38" xfId="10" applyFont="1" applyBorder="1" applyAlignment="1">
      <alignment vertical="center"/>
    </xf>
    <xf numFmtId="174" fontId="29" fillId="0" borderId="41" xfId="10" applyNumberFormat="1" applyFont="1" applyBorder="1" applyAlignment="1">
      <alignment horizontal="center" vertical="center"/>
    </xf>
    <xf numFmtId="4" fontId="28" fillId="0" borderId="37" xfId="10" applyNumberFormat="1" applyFont="1" applyBorder="1" applyAlignment="1">
      <alignment horizontal="center" vertical="center" wrapText="1"/>
    </xf>
    <xf numFmtId="166" fontId="29" fillId="0" borderId="41" xfId="10" applyNumberFormat="1" applyFont="1" applyBorder="1" applyAlignment="1">
      <alignment horizontal="center" vertical="center"/>
    </xf>
    <xf numFmtId="0" fontId="29" fillId="0" borderId="37" xfId="10" applyFont="1" applyBorder="1" applyAlignment="1">
      <alignment horizontal="center" vertical="center"/>
    </xf>
    <xf numFmtId="0" fontId="29" fillId="0" borderId="38" xfId="10" applyFont="1" applyBorder="1" applyAlignment="1">
      <alignment horizontal="center" vertical="center"/>
    </xf>
    <xf numFmtId="0" fontId="33" fillId="0" borderId="37" xfId="10" applyFont="1" applyBorder="1" applyAlignment="1">
      <alignment horizontal="left" vertical="center" wrapText="1"/>
    </xf>
    <xf numFmtId="174" fontId="33" fillId="0" borderId="37" xfId="10" applyNumberFormat="1" applyFont="1" applyBorder="1" applyAlignment="1">
      <alignment horizontal="center" vertical="center" wrapText="1"/>
    </xf>
    <xf numFmtId="181" fontId="33" fillId="0" borderId="38" xfId="17" applyNumberFormat="1" applyFont="1" applyBorder="1" applyAlignment="1">
      <alignment horizontal="center" vertical="center" wrapText="1"/>
    </xf>
    <xf numFmtId="175" fontId="33" fillId="0" borderId="37" xfId="10" quotePrefix="1" applyNumberFormat="1" applyFont="1" applyBorder="1" applyAlignment="1">
      <alignment horizontal="center" vertical="center" wrapText="1"/>
    </xf>
    <xf numFmtId="167" fontId="33" fillId="0" borderId="37" xfId="10" applyNumberFormat="1" applyFont="1" applyBorder="1" applyAlignment="1">
      <alignment horizontal="center" vertical="center" wrapText="1"/>
    </xf>
    <xf numFmtId="174" fontId="34" fillId="0" borderId="38" xfId="10" applyNumberFormat="1" applyFont="1" applyBorder="1" applyAlignment="1">
      <alignment horizontal="center" vertical="center"/>
    </xf>
    <xf numFmtId="9" fontId="33" fillId="0" borderId="37" xfId="10" applyNumberFormat="1" applyFont="1" applyBorder="1" applyAlignment="1">
      <alignment horizontal="center" vertical="center" wrapText="1"/>
    </xf>
    <xf numFmtId="166" fontId="33" fillId="0" borderId="37" xfId="10" applyNumberFormat="1" applyFont="1" applyBorder="1" applyAlignment="1">
      <alignment horizontal="center" vertical="center" wrapText="1"/>
    </xf>
    <xf numFmtId="10" fontId="33" fillId="0" borderId="37" xfId="18" applyNumberFormat="1" applyFont="1" applyBorder="1" applyAlignment="1">
      <alignment horizontal="center" vertical="center" wrapText="1"/>
    </xf>
    <xf numFmtId="174" fontId="33" fillId="0" borderId="38" xfId="10" applyNumberFormat="1" applyFont="1" applyBorder="1" applyAlignment="1">
      <alignment horizontal="center" vertical="center" wrapText="1"/>
    </xf>
    <xf numFmtId="10" fontId="29" fillId="0" borderId="41" xfId="10" applyNumberFormat="1" applyFont="1" applyBorder="1" applyAlignment="1">
      <alignment horizontal="center" vertical="center"/>
    </xf>
    <xf numFmtId="0" fontId="22" fillId="9" borderId="47" xfId="0" applyFont="1" applyFill="1" applyBorder="1" applyAlignment="1">
      <alignment horizontal="center" vertical="center"/>
    </xf>
    <xf numFmtId="0" fontId="22" fillId="9" borderId="48" xfId="0" applyFont="1" applyFill="1" applyBorder="1" applyAlignment="1">
      <alignment vertical="center" wrapText="1"/>
    </xf>
    <xf numFmtId="179" fontId="24" fillId="9" borderId="48" xfId="5" applyNumberFormat="1" applyFont="1" applyFill="1" applyBorder="1" applyAlignment="1">
      <alignment vertical="center"/>
    </xf>
    <xf numFmtId="179" fontId="24" fillId="9" borderId="47" xfId="5" applyNumberFormat="1" applyFont="1" applyFill="1" applyBorder="1" applyAlignment="1">
      <alignment vertical="center"/>
    </xf>
    <xf numFmtId="0" fontId="24" fillId="9" borderId="49" xfId="0" applyFont="1" applyFill="1" applyBorder="1" applyAlignment="1">
      <alignment horizontal="center" vertical="center"/>
    </xf>
    <xf numFmtId="0" fontId="24" fillId="0" borderId="47" xfId="0" applyFont="1" applyBorder="1" applyAlignment="1">
      <alignment horizontal="center" vertical="center"/>
    </xf>
    <xf numFmtId="0" fontId="23" fillId="0" borderId="48" xfId="0" applyFont="1" applyBorder="1" applyAlignment="1">
      <alignment vertical="center" wrapText="1"/>
    </xf>
    <xf numFmtId="178" fontId="24" fillId="0" borderId="47" xfId="5" applyNumberFormat="1" applyFont="1" applyFill="1" applyBorder="1" applyAlignment="1">
      <alignment vertical="center"/>
    </xf>
    <xf numFmtId="178" fontId="24" fillId="6" borderId="48" xfId="5" applyNumberFormat="1" applyFont="1" applyFill="1" applyBorder="1" applyAlignment="1">
      <alignment vertical="center"/>
    </xf>
    <xf numFmtId="0" fontId="24" fillId="6" borderId="47" xfId="0" applyFont="1" applyFill="1" applyBorder="1" applyAlignment="1">
      <alignment horizontal="center" vertical="center"/>
    </xf>
    <xf numFmtId="178" fontId="24" fillId="0" borderId="48" xfId="5" applyNumberFormat="1" applyFont="1" applyFill="1" applyBorder="1" applyAlignment="1">
      <alignment vertical="center"/>
    </xf>
    <xf numFmtId="0" fontId="23" fillId="0" borderId="48" xfId="0" applyFont="1" applyBorder="1" applyAlignment="1">
      <alignment horizontal="center" vertical="center"/>
    </xf>
    <xf numFmtId="0" fontId="21" fillId="9" borderId="48" xfId="0" applyFont="1" applyFill="1" applyBorder="1" applyAlignment="1">
      <alignment vertical="center" wrapText="1"/>
    </xf>
    <xf numFmtId="0" fontId="24" fillId="9" borderId="48" xfId="0" applyFont="1" applyFill="1" applyBorder="1" applyAlignment="1">
      <alignment vertical="center"/>
    </xf>
    <xf numFmtId="178" fontId="24" fillId="9" borderId="47" xfId="0" applyNumberFormat="1" applyFont="1" applyFill="1" applyBorder="1" applyAlignment="1">
      <alignment vertical="center"/>
    </xf>
    <xf numFmtId="178" fontId="24" fillId="9" borderId="48" xfId="0" applyNumberFormat="1" applyFont="1" applyFill="1" applyBorder="1" applyAlignment="1">
      <alignment vertical="center"/>
    </xf>
    <xf numFmtId="0" fontId="23" fillId="9" borderId="48" xfId="0" applyFont="1" applyFill="1" applyBorder="1" applyAlignment="1">
      <alignment horizontal="center" vertical="center"/>
    </xf>
    <xf numFmtId="178" fontId="24" fillId="9" borderId="47" xfId="5" applyNumberFormat="1" applyFont="1" applyFill="1" applyBorder="1" applyAlignment="1">
      <alignment vertical="center"/>
    </xf>
    <xf numFmtId="178" fontId="24" fillId="9" borderId="48" xfId="5" applyNumberFormat="1" applyFont="1" applyFill="1" applyBorder="1" applyAlignment="1">
      <alignment vertical="center"/>
    </xf>
    <xf numFmtId="0" fontId="21" fillId="9" borderId="47" xfId="0" applyFont="1" applyFill="1" applyBorder="1" applyAlignment="1">
      <alignment horizontal="center" vertical="center"/>
    </xf>
    <xf numFmtId="180" fontId="24" fillId="9" borderId="48" xfId="0" applyNumberFormat="1" applyFont="1" applyFill="1" applyBorder="1" applyAlignment="1">
      <alignment vertical="center"/>
    </xf>
    <xf numFmtId="43" fontId="24" fillId="9" borderId="49" xfId="0" applyNumberFormat="1" applyFont="1" applyFill="1" applyBorder="1" applyAlignment="1">
      <alignment horizontal="center" vertical="center"/>
    </xf>
    <xf numFmtId="178" fontId="24" fillId="6" borderId="47" xfId="5" applyNumberFormat="1" applyFont="1" applyFill="1" applyBorder="1" applyAlignment="1">
      <alignment vertical="center"/>
    </xf>
    <xf numFmtId="179" fontId="24" fillId="9" borderId="54" xfId="5" applyNumberFormat="1" applyFont="1" applyFill="1" applyBorder="1" applyAlignment="1">
      <alignment vertical="center"/>
    </xf>
    <xf numFmtId="1" fontId="24" fillId="9" borderId="54" xfId="0" applyNumberFormat="1" applyFont="1" applyFill="1" applyBorder="1" applyAlignment="1">
      <alignment horizontal="center" vertical="center"/>
    </xf>
    <xf numFmtId="1" fontId="23" fillId="9" borderId="54" xfId="0" applyNumberFormat="1" applyFont="1" applyFill="1" applyBorder="1" applyAlignment="1">
      <alignment horizontal="center" vertical="center"/>
    </xf>
    <xf numFmtId="1" fontId="24" fillId="9" borderId="54" xfId="5" applyNumberFormat="1" applyFont="1" applyFill="1" applyBorder="1" applyAlignment="1">
      <alignment horizontal="center" vertical="center"/>
    </xf>
    <xf numFmtId="44" fontId="21" fillId="0" borderId="48" xfId="5" applyFont="1" applyFill="1" applyBorder="1" applyAlignment="1">
      <alignment horizontal="center" vertical="center" wrapText="1"/>
    </xf>
    <xf numFmtId="0" fontId="27" fillId="0" borderId="59" xfId="0" applyFont="1" applyBorder="1" applyAlignment="1">
      <alignment horizontal="center" vertical="center" wrapText="1"/>
    </xf>
    <xf numFmtId="44" fontId="21" fillId="0" borderId="47" xfId="5" applyFont="1" applyFill="1" applyBorder="1" applyAlignment="1">
      <alignment horizontal="center" vertical="center" wrapText="1"/>
    </xf>
    <xf numFmtId="178" fontId="24" fillId="10" borderId="47" xfId="5" applyNumberFormat="1" applyFont="1" applyFill="1" applyBorder="1" applyAlignment="1">
      <alignment vertical="center"/>
    </xf>
    <xf numFmtId="178" fontId="24" fillId="10" borderId="48" xfId="5" applyNumberFormat="1" applyFont="1" applyFill="1" applyBorder="1" applyAlignment="1">
      <alignment vertical="center"/>
    </xf>
    <xf numFmtId="178" fontId="24" fillId="0" borderId="53" xfId="5" applyNumberFormat="1" applyFont="1" applyFill="1" applyBorder="1" applyAlignment="1">
      <alignment vertical="center"/>
    </xf>
    <xf numFmtId="0" fontId="0" fillId="0" borderId="48" xfId="0" applyBorder="1" applyAlignment="1">
      <alignment wrapText="1"/>
    </xf>
    <xf numFmtId="0" fontId="0" fillId="0" borderId="48" xfId="0" applyBorder="1"/>
    <xf numFmtId="44" fontId="0" fillId="0" borderId="48" xfId="0" applyNumberFormat="1" applyBorder="1"/>
    <xf numFmtId="0" fontId="19" fillId="0" borderId="48" xfId="0" applyFont="1" applyBorder="1" applyAlignment="1">
      <alignment vertical="center" wrapText="1"/>
    </xf>
    <xf numFmtId="0" fontId="0" fillId="0" borderId="60" xfId="0" applyBorder="1" applyAlignment="1">
      <alignment wrapText="1"/>
    </xf>
    <xf numFmtId="43" fontId="0" fillId="0" borderId="48" xfId="4" applyFont="1" applyBorder="1" applyAlignment="1">
      <alignment vertical="center"/>
    </xf>
    <xf numFmtId="0" fontId="0" fillId="0" borderId="48" xfId="0" applyBorder="1" applyAlignment="1">
      <alignment vertical="center"/>
    </xf>
    <xf numFmtId="0" fontId="5" fillId="0" borderId="48" xfId="2" applyBorder="1"/>
    <xf numFmtId="10" fontId="5" fillId="0" borderId="48" xfId="2" applyNumberFormat="1" applyBorder="1"/>
    <xf numFmtId="0" fontId="5" fillId="0" borderId="48" xfId="2" applyBorder="1" applyAlignment="1">
      <alignment horizontal="right"/>
    </xf>
    <xf numFmtId="0" fontId="23" fillId="0" borderId="49" xfId="0" applyFont="1" applyBorder="1" applyAlignment="1">
      <alignment horizontal="center" vertical="center"/>
    </xf>
    <xf numFmtId="0" fontId="23" fillId="11" borderId="48" xfId="0" applyFont="1" applyFill="1" applyBorder="1" applyAlignment="1">
      <alignment horizontal="center" vertical="center"/>
    </xf>
    <xf numFmtId="0" fontId="35" fillId="0" borderId="48" xfId="0" applyFont="1" applyBorder="1" applyAlignment="1">
      <alignment vertical="center" wrapText="1"/>
    </xf>
    <xf numFmtId="0" fontId="23" fillId="11" borderId="48" xfId="0" applyFont="1" applyFill="1" applyBorder="1" applyAlignment="1">
      <alignment vertical="center" wrapText="1"/>
    </xf>
    <xf numFmtId="0" fontId="23" fillId="0" borderId="60" xfId="0" applyFont="1" applyBorder="1" applyAlignment="1">
      <alignment vertical="center" wrapText="1"/>
    </xf>
    <xf numFmtId="0" fontId="35" fillId="0" borderId="48" xfId="0" applyFont="1" applyBorder="1" applyAlignment="1">
      <alignment horizontal="center" vertical="center"/>
    </xf>
    <xf numFmtId="0" fontId="35" fillId="0" borderId="49" xfId="0" applyFont="1" applyBorder="1" applyAlignment="1">
      <alignment horizontal="center" vertical="center"/>
    </xf>
    <xf numFmtId="0" fontId="23" fillId="12" borderId="49" xfId="0" applyFont="1" applyFill="1" applyBorder="1" applyAlignment="1">
      <alignment horizontal="center" vertical="center"/>
    </xf>
    <xf numFmtId="178" fontId="24" fillId="13" borderId="48" xfId="5" applyNumberFormat="1" applyFont="1" applyFill="1" applyBorder="1" applyAlignment="1">
      <alignment vertical="center"/>
    </xf>
    <xf numFmtId="44" fontId="3" fillId="10" borderId="48" xfId="5" applyFont="1" applyFill="1" applyBorder="1" applyAlignment="1">
      <alignment vertical="center"/>
    </xf>
    <xf numFmtId="0" fontId="6" fillId="0" borderId="0" xfId="2" applyFont="1" applyAlignment="1">
      <alignment horizontal="center"/>
    </xf>
    <xf numFmtId="0" fontId="5" fillId="0" borderId="0" xfId="2"/>
    <xf numFmtId="0" fontId="10" fillId="0" borderId="6" xfId="2" applyFont="1" applyBorder="1" applyAlignment="1">
      <alignment horizontal="center" vertical="center"/>
    </xf>
    <xf numFmtId="0" fontId="2" fillId="0" borderId="8" xfId="2" applyFont="1" applyBorder="1"/>
    <xf numFmtId="0" fontId="2" fillId="0" borderId="9" xfId="2" applyFont="1" applyBorder="1"/>
    <xf numFmtId="4" fontId="8" fillId="0" borderId="7" xfId="2" applyNumberFormat="1" applyFont="1" applyBorder="1" applyAlignment="1">
      <alignment horizontal="center"/>
    </xf>
    <xf numFmtId="0" fontId="2" fillId="0" borderId="3" xfId="2" applyFont="1" applyBorder="1"/>
    <xf numFmtId="0" fontId="2" fillId="0" borderId="1" xfId="2" applyFont="1" applyBorder="1"/>
    <xf numFmtId="0" fontId="4" fillId="0" borderId="6" xfId="2" applyFont="1" applyBorder="1" applyAlignment="1">
      <alignment horizontal="center" vertical="center"/>
    </xf>
    <xf numFmtId="0" fontId="3" fillId="0" borderId="11" xfId="1" applyFont="1" applyBorder="1" applyAlignment="1">
      <alignment horizontal="left" vertical="center" wrapText="1"/>
    </xf>
    <xf numFmtId="0" fontId="3" fillId="0" borderId="1" xfId="1" applyFont="1" applyBorder="1" applyAlignment="1">
      <alignment horizontal="left" vertical="center" wrapText="1"/>
    </xf>
    <xf numFmtId="0" fontId="33" fillId="0" borderId="35" xfId="10" applyFont="1" applyBorder="1" applyAlignment="1">
      <alignment horizontal="left" vertical="center" wrapText="1"/>
    </xf>
    <xf numFmtId="0" fontId="33" fillId="0" borderId="36" xfId="10" applyFont="1" applyBorder="1" applyAlignment="1">
      <alignment horizontal="left" vertical="center" wrapText="1"/>
    </xf>
    <xf numFmtId="0" fontId="34" fillId="0" borderId="42" xfId="10" applyFont="1" applyBorder="1" applyAlignment="1">
      <alignment horizontal="left" vertical="center" wrapText="1"/>
    </xf>
    <xf numFmtId="0" fontId="34" fillId="0" borderId="37" xfId="10" applyFont="1" applyBorder="1" applyAlignment="1">
      <alignment horizontal="left" vertical="center" wrapText="1"/>
    </xf>
    <xf numFmtId="0" fontId="29" fillId="0" borderId="35" xfId="10" applyFont="1" applyBorder="1" applyAlignment="1">
      <alignment horizontal="left" vertical="center"/>
    </xf>
    <xf numFmtId="0" fontId="29" fillId="0" borderId="43" xfId="10" applyFont="1" applyBorder="1" applyAlignment="1">
      <alignment horizontal="left" vertical="center"/>
    </xf>
    <xf numFmtId="0" fontId="29" fillId="0" borderId="36" xfId="10" applyFont="1" applyBorder="1" applyAlignment="1">
      <alignment horizontal="left" vertical="center"/>
    </xf>
    <xf numFmtId="0" fontId="29" fillId="0" borderId="44" xfId="10" applyFont="1" applyBorder="1" applyAlignment="1">
      <alignment horizontal="left" vertical="center"/>
    </xf>
    <xf numFmtId="0" fontId="29" fillId="0" borderId="45" xfId="10" applyFont="1" applyBorder="1" applyAlignment="1">
      <alignment horizontal="left" vertical="center"/>
    </xf>
    <xf numFmtId="0" fontId="29" fillId="0" borderId="46" xfId="10" applyFont="1" applyBorder="1" applyAlignment="1">
      <alignment horizontal="left" vertical="center"/>
    </xf>
    <xf numFmtId="0" fontId="29" fillId="0" borderId="16" xfId="10" applyFont="1" applyBorder="1" applyAlignment="1">
      <alignment horizontal="left" vertical="center" wrapText="1"/>
    </xf>
    <xf numFmtId="0" fontId="29" fillId="0" borderId="17" xfId="10" applyFont="1" applyBorder="1" applyAlignment="1">
      <alignment horizontal="left" vertical="center" wrapText="1"/>
    </xf>
    <xf numFmtId="0" fontId="29" fillId="0" borderId="18" xfId="10" applyFont="1" applyBorder="1" applyAlignment="1">
      <alignment horizontal="left" vertical="center" wrapText="1"/>
    </xf>
    <xf numFmtId="0" fontId="29" fillId="0" borderId="42" xfId="10" applyFont="1" applyBorder="1" applyAlignment="1">
      <alignment horizontal="center" vertical="center"/>
    </xf>
    <xf numFmtId="0" fontId="29" fillId="0" borderId="37" xfId="10" applyFont="1" applyBorder="1" applyAlignment="1">
      <alignment horizontal="center" vertical="center"/>
    </xf>
    <xf numFmtId="0" fontId="28" fillId="0" borderId="42" xfId="10" applyFont="1" applyBorder="1" applyAlignment="1">
      <alignment horizontal="left" vertical="center" wrapText="1"/>
    </xf>
    <xf numFmtId="0" fontId="28" fillId="0" borderId="37" xfId="10" applyFont="1" applyBorder="1" applyAlignment="1">
      <alignment horizontal="left" vertical="center" wrapText="1"/>
    </xf>
    <xf numFmtId="37" fontId="29" fillId="0" borderId="42" xfId="10" applyNumberFormat="1" applyFont="1" applyBorder="1" applyAlignment="1">
      <alignment horizontal="left" vertical="center"/>
    </xf>
    <xf numFmtId="37" fontId="29" fillId="0" borderId="37" xfId="10" applyNumberFormat="1" applyFont="1" applyBorder="1" applyAlignment="1">
      <alignment horizontal="left" vertical="center"/>
    </xf>
    <xf numFmtId="0" fontId="29" fillId="0" borderId="42" xfId="10" applyFont="1" applyBorder="1" applyAlignment="1">
      <alignment vertical="center"/>
    </xf>
    <xf numFmtId="0" fontId="29" fillId="0" borderId="37" xfId="10" applyFont="1" applyBorder="1" applyAlignment="1">
      <alignment vertical="center"/>
    </xf>
    <xf numFmtId="0" fontId="29" fillId="0" borderId="38" xfId="10" applyFont="1" applyBorder="1" applyAlignment="1">
      <alignment vertical="center"/>
    </xf>
    <xf numFmtId="165" fontId="29" fillId="0" borderId="42" xfId="10" applyNumberFormat="1" applyFont="1" applyBorder="1" applyAlignment="1">
      <alignment vertical="center"/>
    </xf>
    <xf numFmtId="165" fontId="29" fillId="0" borderId="37" xfId="10" applyNumberFormat="1" applyFont="1" applyBorder="1" applyAlignment="1">
      <alignment vertical="center"/>
    </xf>
    <xf numFmtId="165" fontId="29" fillId="0" borderId="38" xfId="10" applyNumberFormat="1" applyFont="1" applyBorder="1" applyAlignment="1">
      <alignment vertical="center"/>
    </xf>
    <xf numFmtId="0" fontId="28" fillId="0" borderId="42" xfId="10" applyFont="1" applyBorder="1" applyAlignment="1">
      <alignment horizontal="justify" vertical="center" wrapText="1"/>
    </xf>
    <xf numFmtId="0" fontId="28" fillId="0" borderId="37" xfId="10" applyFont="1" applyBorder="1" applyAlignment="1">
      <alignment horizontal="justify" vertical="center" wrapText="1"/>
    </xf>
    <xf numFmtId="37" fontId="29" fillId="0" borderId="39" xfId="10" applyNumberFormat="1" applyFont="1" applyBorder="1" applyAlignment="1">
      <alignment horizontal="left" vertical="center"/>
    </xf>
    <xf numFmtId="37" fontId="29" fillId="0" borderId="40" xfId="10" applyNumberFormat="1" applyFont="1" applyBorder="1" applyAlignment="1">
      <alignment horizontal="left" vertical="center"/>
    </xf>
    <xf numFmtId="0" fontId="29" fillId="0" borderId="23" xfId="10" applyFont="1" applyBorder="1" applyAlignment="1">
      <alignment horizontal="left" vertical="center"/>
    </xf>
    <xf numFmtId="0" fontId="29" fillId="0" borderId="20" xfId="10" applyFont="1" applyBorder="1" applyAlignment="1">
      <alignment horizontal="left" vertical="center"/>
    </xf>
    <xf numFmtId="0" fontId="29" fillId="0" borderId="21" xfId="10" applyFont="1" applyBorder="1" applyAlignment="1">
      <alignment horizontal="left" vertical="center"/>
    </xf>
    <xf numFmtId="0" fontId="29" fillId="0" borderId="42" xfId="10" applyFont="1" applyBorder="1" applyAlignment="1">
      <alignment horizontal="center" vertical="center" wrapText="1"/>
    </xf>
    <xf numFmtId="0" fontId="29" fillId="0" borderId="37" xfId="10" applyFont="1" applyBorder="1" applyAlignment="1">
      <alignment horizontal="center" vertical="center" wrapText="1"/>
    </xf>
    <xf numFmtId="0" fontId="29" fillId="0" borderId="54" xfId="9" applyFont="1" applyBorder="1" applyAlignment="1">
      <alignment horizontal="center" wrapText="1"/>
    </xf>
    <xf numFmtId="0" fontId="29" fillId="0" borderId="28" xfId="9" applyFont="1" applyBorder="1" applyAlignment="1">
      <alignment horizontal="center" wrapText="1"/>
    </xf>
    <xf numFmtId="0" fontId="29" fillId="0" borderId="60" xfId="9" applyFont="1" applyBorder="1" applyAlignment="1">
      <alignment horizontal="center" wrapText="1"/>
    </xf>
    <xf numFmtId="0" fontId="13" fillId="0" borderId="12" xfId="7" applyBorder="1" applyAlignment="1">
      <alignment horizontal="center" vertical="center" wrapText="1"/>
    </xf>
    <xf numFmtId="0" fontId="13" fillId="0" borderId="0" xfId="7" applyAlignment="1">
      <alignment horizontal="center" vertical="center" wrapText="1"/>
    </xf>
    <xf numFmtId="0" fontId="29" fillId="7" borderId="14" xfId="10" applyFont="1" applyFill="1" applyBorder="1" applyAlignment="1">
      <alignment horizontal="left" vertical="center"/>
    </xf>
    <xf numFmtId="0" fontId="29" fillId="0" borderId="15" xfId="10" applyFont="1" applyBorder="1" applyAlignment="1">
      <alignment horizontal="left" vertical="center"/>
    </xf>
    <xf numFmtId="0" fontId="29" fillId="0" borderId="16" xfId="10" applyFont="1" applyBorder="1" applyAlignment="1">
      <alignment horizontal="left" vertical="center"/>
    </xf>
    <xf numFmtId="0" fontId="29" fillId="0" borderId="17" xfId="10" applyFont="1" applyBorder="1" applyAlignment="1">
      <alignment horizontal="left" vertical="center"/>
    </xf>
    <xf numFmtId="0" fontId="29" fillId="0" borderId="18" xfId="10" applyFont="1" applyBorder="1" applyAlignment="1">
      <alignment horizontal="left" vertical="center"/>
    </xf>
    <xf numFmtId="0" fontId="28" fillId="0" borderId="37" xfId="10" applyFont="1" applyBorder="1" applyAlignment="1">
      <alignment horizontal="justify" vertical="top" wrapText="1"/>
    </xf>
    <xf numFmtId="0" fontId="28" fillId="0" borderId="38" xfId="10" applyFont="1" applyBorder="1" applyAlignment="1">
      <alignment horizontal="justify" vertical="top" wrapText="1"/>
    </xf>
    <xf numFmtId="0" fontId="22" fillId="0" borderId="57"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56" xfId="0" applyFont="1" applyBorder="1" applyAlignment="1">
      <alignment horizontal="center" vertical="center" wrapText="1"/>
    </xf>
    <xf numFmtId="0" fontId="22" fillId="0" borderId="32" xfId="0" applyFont="1" applyBorder="1" applyAlignment="1">
      <alignment horizontal="center" vertical="center" wrapText="1"/>
    </xf>
    <xf numFmtId="0" fontId="27" fillId="0" borderId="29" xfId="0" applyFont="1" applyBorder="1" applyAlignment="1">
      <alignment horizontal="center" vertical="center" wrapText="1"/>
    </xf>
    <xf numFmtId="0" fontId="27" fillId="0" borderId="30" xfId="0" applyFont="1" applyBorder="1" applyAlignment="1">
      <alignment horizontal="center" vertical="center" wrapText="1"/>
    </xf>
    <xf numFmtId="0" fontId="3" fillId="0" borderId="31" xfId="0" applyFont="1" applyBorder="1" applyAlignment="1">
      <alignment horizontal="center" vertical="center"/>
    </xf>
    <xf numFmtId="0" fontId="3" fillId="0" borderId="29" xfId="0" applyFont="1" applyBorder="1" applyAlignment="1">
      <alignment horizontal="center" vertical="center"/>
    </xf>
    <xf numFmtId="0" fontId="3" fillId="0" borderId="47" xfId="0" applyFont="1" applyBorder="1" applyAlignment="1">
      <alignment horizontal="center" vertical="center"/>
    </xf>
    <xf numFmtId="0" fontId="3" fillId="0" borderId="48" xfId="0" applyFont="1" applyBorder="1" applyAlignment="1">
      <alignment horizontal="center" vertical="center"/>
    </xf>
    <xf numFmtId="0" fontId="3" fillId="0" borderId="50" xfId="0" applyFont="1" applyBorder="1" applyAlignment="1">
      <alignment horizontal="center" vertical="center"/>
    </xf>
    <xf numFmtId="0" fontId="3" fillId="0" borderId="51" xfId="0" applyFont="1" applyBorder="1" applyAlignment="1">
      <alignment horizontal="center" vertical="center"/>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1" xfId="0" applyFont="1" applyBorder="1" applyAlignment="1">
      <alignment horizontal="center" vertical="center" wrapText="1"/>
    </xf>
    <xf numFmtId="0" fontId="27" fillId="0" borderId="52" xfId="0" applyFont="1" applyBorder="1" applyAlignment="1">
      <alignment horizontal="center" vertical="center" wrapText="1"/>
    </xf>
    <xf numFmtId="0" fontId="27" fillId="0" borderId="31" xfId="0" applyFont="1" applyBorder="1" applyAlignment="1">
      <alignment horizontal="center" vertical="center" wrapText="1"/>
    </xf>
    <xf numFmtId="0" fontId="22" fillId="0" borderId="58" xfId="0" applyFont="1" applyBorder="1" applyAlignment="1">
      <alignment horizontal="center" vertical="center" wrapText="1"/>
    </xf>
    <xf numFmtId="0" fontId="22" fillId="0" borderId="55" xfId="0" applyFont="1" applyBorder="1" applyAlignment="1">
      <alignment horizontal="center" vertical="center" wrapText="1"/>
    </xf>
  </cellXfs>
  <cellStyles count="26">
    <cellStyle name="Hipervínculo" xfId="7" builtinId="8"/>
    <cellStyle name="Hyperlink" xfId="8" xr:uid="{00000000-000B-0000-0000-000008000000}"/>
    <cellStyle name="Millares" xfId="4" builtinId="3"/>
    <cellStyle name="Millares 2" xfId="21" xr:uid="{25410E49-EAF9-4918-B200-EA492072E2C8}"/>
    <cellStyle name="Millares 2 2" xfId="25" xr:uid="{760DB3EA-2D96-48E5-8DC9-C49A5F74B9FD}"/>
    <cellStyle name="Millares 2 3" xfId="12" xr:uid="{4950EFE4-3763-42D6-A925-C8004CC32B5A}"/>
    <cellStyle name="Moneda" xfId="5" builtinId="4"/>
    <cellStyle name="Moneda 2" xfId="22" xr:uid="{28102AEA-BA3B-42FE-BA69-C7AC2CB43DED}"/>
    <cellStyle name="Moneda 3" xfId="23" xr:uid="{48C05588-9D02-4D39-8E32-267619F168D5}"/>
    <cellStyle name="Moneda 3 3" xfId="14" xr:uid="{38582B5D-75EE-452D-8795-3475BA6245F9}"/>
    <cellStyle name="Moneda 4 2" xfId="17" xr:uid="{092A3A7E-7129-4405-8128-96C36EDA2BC9}"/>
    <cellStyle name="Normal" xfId="0" builtinId="0"/>
    <cellStyle name="Normal 2" xfId="1" xr:uid="{F9EB6507-E700-447A-BA50-9CF339E1C434}"/>
    <cellStyle name="Normal 2 2 2 2 2" xfId="16" xr:uid="{ADCC965D-8E8B-49BD-B580-32E30E883D1B}"/>
    <cellStyle name="Normal 22" xfId="13" xr:uid="{A76C7824-26A2-47A2-B469-D9367349CBB6}"/>
    <cellStyle name="Normal 3" xfId="2" xr:uid="{B4F5E928-EF0A-43C3-BC42-0028D468B25A}"/>
    <cellStyle name="Normal 3 2" xfId="9" xr:uid="{D61F61D6-BD21-454D-8136-1289E65B491D}"/>
    <cellStyle name="Normal 3 3" xfId="24" xr:uid="{4A9E8B43-8016-4BEC-BB43-0F2C0A359284}"/>
    <cellStyle name="Normal 4 5" xfId="11" xr:uid="{7CDF9F1C-29EC-4604-AE47-9C25CC16FBA5}"/>
    <cellStyle name="Normal_Libro1" xfId="10" xr:uid="{0BC34BD2-F1A4-4457-9EB9-981C56005D12}"/>
    <cellStyle name="Porcentaje" xfId="6" builtinId="5"/>
    <cellStyle name="Porcentaje 2" xfId="3" xr:uid="{5890D5B5-0CB9-4428-84B6-708D4461BF9A}"/>
    <cellStyle name="Porcentaje 2 2 2" xfId="15" xr:uid="{3E0F9525-74FC-4663-A721-089F39B34F0B}"/>
    <cellStyle name="Porcentaje 3" xfId="20" xr:uid="{EE1882FA-ED21-4A9F-9C99-C30D16F412B6}"/>
    <cellStyle name="Porcentaje 4" xfId="18" xr:uid="{6F443DEB-DB08-43A2-85F8-1D2D774BDB5B}"/>
    <cellStyle name="Porcentual_AIU 2008 SESAC JULIO 42" xfId="19" xr:uid="{0A885325-50DB-4755-9DBC-EF2254C56A1C}"/>
  </cellStyles>
  <dxfs count="0"/>
  <tableStyles count="0" defaultTableStyle="TableStyleMedium2" defaultPivotStyle="PivotStyleLight16"/>
  <colors>
    <mruColors>
      <color rgb="FF6B677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Procesos!$B$13</c:f>
              <c:strCache>
                <c:ptCount val="1"/>
                <c:pt idx="0">
                  <c:v>PRESUPUESTO EN MM</c:v>
                </c:pt>
              </c:strCache>
            </c:strRef>
          </c:tx>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Procesos!$A$14:$A$18</c:f>
              <c:strCache>
                <c:ptCount val="5"/>
                <c:pt idx="0">
                  <c:v>BOTICA</c:v>
                </c:pt>
                <c:pt idx="1">
                  <c:v>IMPRENTA</c:v>
                </c:pt>
                <c:pt idx="2">
                  <c:v>COLONIAL</c:v>
                </c:pt>
                <c:pt idx="3">
                  <c:v>FRAGUA &amp; PALMA</c:v>
                </c:pt>
                <c:pt idx="4">
                  <c:v>TOTAL MANTENIMIENTOS</c:v>
                </c:pt>
              </c:strCache>
            </c:strRef>
          </c:cat>
          <c:val>
            <c:numRef>
              <c:f>Procesos!$B$14:$B$18</c:f>
              <c:numCache>
                <c:formatCode>_("$"* #,##0.00_);_("$"* \(#,##0.00\);_("$"* "-"??_);_(@_)</c:formatCode>
                <c:ptCount val="5"/>
              </c:numCache>
            </c:numRef>
          </c:val>
          <c:extLst>
            <c:ext xmlns:c16="http://schemas.microsoft.com/office/drawing/2014/chart" uri="{C3380CC4-5D6E-409C-BE32-E72D297353CC}">
              <c16:uniqueId val="{00000000-58B3-4EBD-A439-ABA0275F8C09}"/>
            </c:ext>
          </c:extLst>
        </c:ser>
        <c:dLbls>
          <c:dLblPos val="inEnd"/>
          <c:showLegendKey val="0"/>
          <c:showVal val="1"/>
          <c:showCatName val="0"/>
          <c:showSerName val="0"/>
          <c:showPercent val="0"/>
          <c:showBubbleSize val="0"/>
        </c:dLbls>
        <c:gapWidth val="41"/>
        <c:axId val="894358544"/>
        <c:axId val="894358064"/>
      </c:barChart>
      <c:catAx>
        <c:axId val="894358544"/>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effectLst/>
                <a:latin typeface="+mn-lt"/>
                <a:ea typeface="+mn-ea"/>
                <a:cs typeface="+mn-cs"/>
              </a:defRPr>
            </a:pPr>
            <a:endParaRPr lang="es-CO"/>
          </a:p>
        </c:txPr>
        <c:crossAx val="894358064"/>
        <c:crosses val="autoZero"/>
        <c:auto val="1"/>
        <c:lblAlgn val="ctr"/>
        <c:lblOffset val="100"/>
        <c:noMultiLvlLbl val="0"/>
      </c:catAx>
      <c:valAx>
        <c:axId val="894358064"/>
        <c:scaling>
          <c:orientation val="minMax"/>
        </c:scaling>
        <c:delete val="1"/>
        <c:axPos val="l"/>
        <c:numFmt formatCode="_(&quot;$&quot;* #,##0.00_);_(&quot;$&quot;* \(#,##0.00\);_(&quot;$&quot;* &quot;-&quot;??_);_(@_)" sourceLinked="1"/>
        <c:majorTickMark val="none"/>
        <c:minorTickMark val="none"/>
        <c:tickLblPos val="nextTo"/>
        <c:crossAx val="894358544"/>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xdr:from>
      <xdr:col>0</xdr:col>
      <xdr:colOff>148213</xdr:colOff>
      <xdr:row>18</xdr:row>
      <xdr:rowOff>28575</xdr:rowOff>
    </xdr:from>
    <xdr:to>
      <xdr:col>5</xdr:col>
      <xdr:colOff>117475</xdr:colOff>
      <xdr:row>32</xdr:row>
      <xdr:rowOff>145184</xdr:rowOff>
    </xdr:to>
    <xdr:graphicFrame macro="">
      <xdr:nvGraphicFramePr>
        <xdr:cNvPr id="3" name="Gráfico 2">
          <a:extLst>
            <a:ext uri="{FF2B5EF4-FFF2-40B4-BE49-F238E27FC236}">
              <a16:creationId xmlns:a16="http://schemas.microsoft.com/office/drawing/2014/main" id="{88272994-B384-FF14-2E92-BB42A3AA3E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0</xdr:col>
      <xdr:colOff>1143000</xdr:colOff>
      <xdr:row>34</xdr:row>
      <xdr:rowOff>104775</xdr:rowOff>
    </xdr:from>
    <xdr:ext cx="1828800" cy="0"/>
    <xdr:pic>
      <xdr:nvPicPr>
        <xdr:cNvPr id="2" name="image3.jpg" descr="Escudo_de_Cundinamarca.jpg">
          <a:extLst>
            <a:ext uri="{FF2B5EF4-FFF2-40B4-BE49-F238E27FC236}">
              <a16:creationId xmlns:a16="http://schemas.microsoft.com/office/drawing/2014/main" id="{65FB058B-393A-4BF5-84C3-AD5D5E0827CC}"/>
            </a:ext>
          </a:extLst>
        </xdr:cNvPr>
        <xdr:cNvPicPr preferRelativeResize="0"/>
      </xdr:nvPicPr>
      <xdr:blipFill>
        <a:blip xmlns:r="http://schemas.openxmlformats.org/officeDocument/2006/relationships" r:embed="rId1" cstate="print"/>
        <a:stretch>
          <a:fillRect/>
        </a:stretch>
      </xdr:blipFill>
      <xdr:spPr>
        <a:xfrm>
          <a:off x="1143000" y="7953375"/>
          <a:ext cx="1828800" cy="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editAs="oneCell">
    <xdr:from>
      <xdr:col>1</xdr:col>
      <xdr:colOff>1</xdr:colOff>
      <xdr:row>121</xdr:row>
      <xdr:rowOff>0</xdr:rowOff>
    </xdr:from>
    <xdr:to>
      <xdr:col>9</xdr:col>
      <xdr:colOff>560533</xdr:colOff>
      <xdr:row>179</xdr:row>
      <xdr:rowOff>127000</xdr:rowOff>
    </xdr:to>
    <xdr:pic>
      <xdr:nvPicPr>
        <xdr:cNvPr id="5" name="Imagen 1">
          <a:extLst>
            <a:ext uri="{FF2B5EF4-FFF2-40B4-BE49-F238E27FC236}">
              <a16:creationId xmlns:a16="http://schemas.microsoft.com/office/drawing/2014/main" id="{0E47B305-2FFC-1BC6-21D1-B586A2C1924E}"/>
            </a:ext>
          </a:extLst>
        </xdr:cNvPr>
        <xdr:cNvPicPr>
          <a:picLocks noChangeAspect="1"/>
        </xdr:cNvPicPr>
      </xdr:nvPicPr>
      <xdr:blipFill>
        <a:blip xmlns:r="http://schemas.openxmlformats.org/officeDocument/2006/relationships" r:embed="rId1"/>
        <a:stretch>
          <a:fillRect/>
        </a:stretch>
      </xdr:blipFill>
      <xdr:spPr>
        <a:xfrm>
          <a:off x="609601" y="22282150"/>
          <a:ext cx="8209107" cy="10623550"/>
        </a:xfrm>
        <a:prstGeom prst="rect">
          <a:avLst/>
        </a:prstGeom>
      </xdr:spPr>
    </xdr:pic>
    <xdr:clientData/>
  </xdr:twoCellAnchor>
  <xdr:twoCellAnchor editAs="oneCell">
    <xdr:from>
      <xdr:col>1</xdr:col>
      <xdr:colOff>1</xdr:colOff>
      <xdr:row>180</xdr:row>
      <xdr:rowOff>0</xdr:rowOff>
    </xdr:from>
    <xdr:to>
      <xdr:col>9</xdr:col>
      <xdr:colOff>482023</xdr:colOff>
      <xdr:row>238</xdr:row>
      <xdr:rowOff>25400</xdr:rowOff>
    </xdr:to>
    <xdr:pic>
      <xdr:nvPicPr>
        <xdr:cNvPr id="10" name="Imagen 2">
          <a:extLst>
            <a:ext uri="{FF2B5EF4-FFF2-40B4-BE49-F238E27FC236}">
              <a16:creationId xmlns:a16="http://schemas.microsoft.com/office/drawing/2014/main" id="{B4CB74F2-4054-611A-9A9D-7FECDFA05879}"/>
            </a:ext>
          </a:extLst>
        </xdr:cNvPr>
        <xdr:cNvPicPr>
          <a:picLocks noChangeAspect="1"/>
        </xdr:cNvPicPr>
      </xdr:nvPicPr>
      <xdr:blipFill>
        <a:blip xmlns:r="http://schemas.openxmlformats.org/officeDocument/2006/relationships" r:embed="rId2"/>
        <a:stretch>
          <a:fillRect/>
        </a:stretch>
      </xdr:blipFill>
      <xdr:spPr>
        <a:xfrm>
          <a:off x="609601" y="33147000"/>
          <a:ext cx="8130597" cy="10521950"/>
        </a:xfrm>
        <a:prstGeom prst="rect">
          <a:avLst/>
        </a:prstGeom>
      </xdr:spPr>
    </xdr:pic>
    <xdr:clientData/>
  </xdr:twoCellAnchor>
  <xdr:twoCellAnchor editAs="oneCell">
    <xdr:from>
      <xdr:col>1</xdr:col>
      <xdr:colOff>1</xdr:colOff>
      <xdr:row>240</xdr:row>
      <xdr:rowOff>0</xdr:rowOff>
    </xdr:from>
    <xdr:to>
      <xdr:col>9</xdr:col>
      <xdr:colOff>207241</xdr:colOff>
      <xdr:row>296</xdr:row>
      <xdr:rowOff>31750</xdr:rowOff>
    </xdr:to>
    <xdr:pic>
      <xdr:nvPicPr>
        <xdr:cNvPr id="14" name="Imagen 3">
          <a:extLst>
            <a:ext uri="{FF2B5EF4-FFF2-40B4-BE49-F238E27FC236}">
              <a16:creationId xmlns:a16="http://schemas.microsoft.com/office/drawing/2014/main" id="{D08418EB-7859-C1A6-7F3F-5727B900590F}"/>
            </a:ext>
          </a:extLst>
        </xdr:cNvPr>
        <xdr:cNvPicPr>
          <a:picLocks noChangeAspect="1"/>
        </xdr:cNvPicPr>
      </xdr:nvPicPr>
      <xdr:blipFill>
        <a:blip xmlns:r="http://schemas.openxmlformats.org/officeDocument/2006/relationships" r:embed="rId3"/>
        <a:stretch>
          <a:fillRect/>
        </a:stretch>
      </xdr:blipFill>
      <xdr:spPr>
        <a:xfrm>
          <a:off x="609601" y="44196000"/>
          <a:ext cx="7855815" cy="10166350"/>
        </a:xfrm>
        <a:prstGeom prst="rect">
          <a:avLst/>
        </a:prstGeom>
      </xdr:spPr>
    </xdr:pic>
    <xdr:clientData/>
  </xdr:twoCellAnchor>
  <xdr:twoCellAnchor editAs="oneCell">
    <xdr:from>
      <xdr:col>1</xdr:col>
      <xdr:colOff>127000</xdr:colOff>
      <xdr:row>296</xdr:row>
      <xdr:rowOff>69851</xdr:rowOff>
    </xdr:from>
    <xdr:to>
      <xdr:col>9</xdr:col>
      <xdr:colOff>115511</xdr:colOff>
      <xdr:row>360</xdr:row>
      <xdr:rowOff>82551</xdr:rowOff>
    </xdr:to>
    <xdr:pic>
      <xdr:nvPicPr>
        <xdr:cNvPr id="21" name="Imagen 4">
          <a:extLst>
            <a:ext uri="{FF2B5EF4-FFF2-40B4-BE49-F238E27FC236}">
              <a16:creationId xmlns:a16="http://schemas.microsoft.com/office/drawing/2014/main" id="{531ABB67-11C8-4FD5-F069-A53B71697D2A}"/>
            </a:ext>
          </a:extLst>
        </xdr:cNvPr>
        <xdr:cNvPicPr>
          <a:picLocks noChangeAspect="1"/>
        </xdr:cNvPicPr>
      </xdr:nvPicPr>
      <xdr:blipFill rotWithShape="1">
        <a:blip xmlns:r="http://schemas.openxmlformats.org/officeDocument/2006/relationships" r:embed="rId4"/>
        <a:srcRect l="51400" b="4511"/>
        <a:stretch/>
      </xdr:blipFill>
      <xdr:spPr>
        <a:xfrm>
          <a:off x="736600" y="54578251"/>
          <a:ext cx="7637086" cy="11595100"/>
        </a:xfrm>
        <a:prstGeom prst="rect">
          <a:avLst/>
        </a:prstGeom>
      </xdr:spPr>
    </xdr:pic>
    <xdr:clientData/>
  </xdr:twoCellAnchor>
  <xdr:twoCellAnchor editAs="oneCell">
    <xdr:from>
      <xdr:col>1</xdr:col>
      <xdr:colOff>1</xdr:colOff>
      <xdr:row>361</xdr:row>
      <xdr:rowOff>0</xdr:rowOff>
    </xdr:from>
    <xdr:to>
      <xdr:col>9</xdr:col>
      <xdr:colOff>111125</xdr:colOff>
      <xdr:row>416</xdr:row>
      <xdr:rowOff>88339</xdr:rowOff>
    </xdr:to>
    <xdr:pic>
      <xdr:nvPicPr>
        <xdr:cNvPr id="26" name="Imagen 5">
          <a:extLst>
            <a:ext uri="{FF2B5EF4-FFF2-40B4-BE49-F238E27FC236}">
              <a16:creationId xmlns:a16="http://schemas.microsoft.com/office/drawing/2014/main" id="{8F42B9B9-68DC-D49A-762B-D5DC9283A718}"/>
            </a:ext>
          </a:extLst>
        </xdr:cNvPr>
        <xdr:cNvPicPr>
          <a:picLocks noChangeAspect="1"/>
        </xdr:cNvPicPr>
      </xdr:nvPicPr>
      <xdr:blipFill>
        <a:blip xmlns:r="http://schemas.openxmlformats.org/officeDocument/2006/relationships" r:embed="rId5"/>
        <a:stretch>
          <a:fillRect/>
        </a:stretch>
      </xdr:blipFill>
      <xdr:spPr>
        <a:xfrm>
          <a:off x="609601" y="66478150"/>
          <a:ext cx="7759699" cy="1004196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410883</xdr:colOff>
      <xdr:row>1</xdr:row>
      <xdr:rowOff>59765</xdr:rowOff>
    </xdr:from>
    <xdr:to>
      <xdr:col>1</xdr:col>
      <xdr:colOff>2868706</xdr:colOff>
      <xdr:row>2</xdr:row>
      <xdr:rowOff>249671</xdr:rowOff>
    </xdr:to>
    <xdr:pic>
      <xdr:nvPicPr>
        <xdr:cNvPr id="8" name="Imagen 2">
          <a:extLst>
            <a:ext uri="{FF2B5EF4-FFF2-40B4-BE49-F238E27FC236}">
              <a16:creationId xmlns:a16="http://schemas.microsoft.com/office/drawing/2014/main" id="{F1C9AD28-8F21-4169-A195-A2261B0CA0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75765" y="59765"/>
          <a:ext cx="2457823" cy="952840"/>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Mauricio Correa Mendieta" id="{5DA9AEFD-31DA-4A14-A145-872B4873E1D6}" userId="S::MCorrea@minvivienda.gov.co::504818d5-dbef-47f1-8e4d-81f6bf615f8a"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6" dT="2025-04-03T21:04:01.67" personId="{5DA9AEFD-31DA-4A14-A145-872B4873E1D6}" id="{47594734-9634-4A6D-B759-49EF9640BA81}">
    <text xml:space="preserve">Se cotiza caja de 3 módulos para tener uno de 6 se requieren 2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8" Type="http://schemas.openxmlformats.org/officeDocument/2006/relationships/hyperlink" Target="https://www.homecenter.com.co/homecenter-co/product/73641/varilla-corrugada-g60-w-8-1-pulg-x-6m/73641/" TargetMode="External"/><Relationship Id="rId13" Type="http://schemas.openxmlformats.org/officeDocument/2006/relationships/hyperlink" Target="https://corona.co/productos/pinturas/pintura-super-lavable-zero/p/407611001" TargetMode="External"/><Relationship Id="rId18" Type="http://schemas.openxmlformats.org/officeDocument/2006/relationships/hyperlink" Target="https://www.acesco.com.co/descargas/fichastecnicas/ficha-tecnica-cubiertas.pdf" TargetMode="External"/><Relationship Id="rId3" Type="http://schemas.openxmlformats.org/officeDocument/2006/relationships/hyperlink" Target="https://www.decorceramica.com/griferia-lavamanos-de-sensor-public-kg25cr033/p" TargetMode="External"/><Relationship Id="rId7" Type="http://schemas.openxmlformats.org/officeDocument/2006/relationships/hyperlink" Target="https://www.homecenter.com.co/homecenter-co/product/73637/varilla-corrugada-g60-w-4-1-2-pulg-x-6m/73637/" TargetMode="External"/><Relationship Id="rId12" Type="http://schemas.openxmlformats.org/officeDocument/2006/relationships/hyperlink" Target="https://www.homecenter.com.co/homecenter-co/product/348429/lija-agua-1500-pliego/348429/" TargetMode="External"/><Relationship Id="rId17" Type="http://schemas.openxmlformats.org/officeDocument/2006/relationships/hyperlink" Target="https://senalizacion.com.co/producto/planos-de-evacuacion/" TargetMode="External"/><Relationship Id="rId2" Type="http://schemas.openxmlformats.org/officeDocument/2006/relationships/hyperlink" Target="https://tamescolombia.com.co/cb/institucional/185-griferia-llave-sensor-lavamanos-pared-institucional.html" TargetMode="External"/><Relationship Id="rId16" Type="http://schemas.openxmlformats.org/officeDocument/2006/relationships/hyperlink" Target="https://corona.co/productos/griferias/griferias-institucionales/griferia-para-lavamanos-institucional-electronica/p/706000001" TargetMode="External"/><Relationship Id="rId1" Type="http://schemas.openxmlformats.org/officeDocument/2006/relationships/hyperlink" Target="https://corona.co/productos/servicios/instalaciones/instalaciones-para-banos/instalacion-de-griferia-electronica-para-lavamanos/p/700480" TargetMode="External"/><Relationship Id="rId6" Type="http://schemas.openxmlformats.org/officeDocument/2006/relationships/hyperlink" Target="https://www.tiendargos.com.co/Concreto-Premezclado?map=c" TargetMode="External"/><Relationship Id="rId11" Type="http://schemas.openxmlformats.org/officeDocument/2006/relationships/hyperlink" Target="https://coval.com.co/pdfs/listasprecios/ult_sumicol.pdf" TargetMode="External"/><Relationship Id="rId5" Type="http://schemas.openxmlformats.org/officeDocument/2006/relationships/hyperlink" Target="https://www.boccherini.com.co/griferia-lavamanos-con-sensor-horizontal-en-bronce/p" TargetMode="External"/><Relationship Id="rId15" Type="http://schemas.openxmlformats.org/officeDocument/2006/relationships/hyperlink" Target="https://www.homecenter.com.co/homecenter-co/product/83658/pintura-para-interior-anti-hongo-y-moho-blanco-1-galon/83657/" TargetMode="External"/><Relationship Id="rId10" Type="http://schemas.openxmlformats.org/officeDocument/2006/relationships/hyperlink" Target="https://www.homecenter.com.co/homecenter-co/product/434990/madera-plastica-wpc-ekowood-h100-30-nogal-003-x-010-x-560-mts/434990/" TargetMode="External"/><Relationship Id="rId19" Type="http://schemas.openxmlformats.org/officeDocument/2006/relationships/printerSettings" Target="../printerSettings/printerSettings3.bin"/><Relationship Id="rId4" Type="http://schemas.openxmlformats.org/officeDocument/2006/relationships/hyperlink" Target="https://corona.co/productos/griferias/griferias-institucionales/griferia-para-lavamanos-institucional-electronica/p/706000001" TargetMode="External"/><Relationship Id="rId9" Type="http://schemas.openxmlformats.org/officeDocument/2006/relationships/hyperlink" Target="https://www.google.com/search?q=angulo+de+1+1%2F4+x+3%2F16+precio&amp;rlz=1C1ALOY_esCO1046CO1046&amp;oq=ANGULOS+DE+1-1%2F4+X+3%2F16&amp;aqs=chrome.1.69i57j0i22i30l6.11944436493j0j15&amp;sourceid=chrome&amp;ie=UTF-8" TargetMode="External"/><Relationship Id="rId14" Type="http://schemas.openxmlformats.org/officeDocument/2006/relationships/hyperlink" Target="https://www.homecenter.com.co/homecenter-co/product/25440/pintura-para-exterior-1-galon-blanco/25440/"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spg.minvivienda.gov.co/files/mod_documentos/documentos/GCT-G-01/versiones/GCT-G-01_V4_copia_controlada.pdf" TargetMode="Externa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370B7-A467-4D99-BE82-9597EBD43D26}">
  <dimension ref="A1:I18"/>
  <sheetViews>
    <sheetView view="pageBreakPreview" topLeftCell="A11" zoomScale="140" zoomScaleNormal="132" zoomScaleSheetLayoutView="140" workbookViewId="0">
      <selection activeCell="E12" sqref="E12"/>
    </sheetView>
  </sheetViews>
  <sheetFormatPr baseColWidth="10" defaultColWidth="11.42578125" defaultRowHeight="15" x14ac:dyDescent="0.25"/>
  <cols>
    <col min="1" max="1" width="22.5703125" style="32" customWidth="1"/>
    <col min="2" max="3" width="17.42578125" customWidth="1"/>
    <col min="4" max="4" width="16.140625" customWidth="1"/>
    <col min="5" max="5" width="32" style="41" customWidth="1"/>
    <col min="6" max="6" width="77.5703125" style="32" customWidth="1"/>
    <col min="7" max="7" width="19" customWidth="1"/>
  </cols>
  <sheetData>
    <row r="1" spans="1:9" hidden="1" x14ac:dyDescent="0.25">
      <c r="A1" s="191" t="s">
        <v>0</v>
      </c>
      <c r="B1" s="192" t="s">
        <v>1</v>
      </c>
      <c r="C1" s="192"/>
      <c r="D1" s="193" t="e">
        <f>+Items!#REF!/1000000</f>
        <v>#REF!</v>
      </c>
      <c r="E1" s="42"/>
    </row>
    <row r="2" spans="1:9" hidden="1" x14ac:dyDescent="0.25">
      <c r="A2" s="191" t="s">
        <v>0</v>
      </c>
      <c r="B2" s="192" t="s">
        <v>2</v>
      </c>
      <c r="C2" s="192"/>
      <c r="D2" s="193" t="e">
        <f>+Items!#REF!/1000000</f>
        <v>#REF!</v>
      </c>
      <c r="E2" s="42"/>
    </row>
    <row r="3" spans="1:9" hidden="1" x14ac:dyDescent="0.25">
      <c r="A3" s="191" t="s">
        <v>3</v>
      </c>
      <c r="B3" s="192" t="s">
        <v>4</v>
      </c>
      <c r="C3" s="192"/>
      <c r="D3" s="193" t="e">
        <f>+Items!#REF!/1000000</f>
        <v>#REF!</v>
      </c>
      <c r="E3" s="42"/>
    </row>
    <row r="4" spans="1:9" hidden="1" x14ac:dyDescent="0.25">
      <c r="A4" s="191" t="s">
        <v>3</v>
      </c>
      <c r="B4" s="192" t="s">
        <v>5</v>
      </c>
      <c r="C4" s="192"/>
      <c r="D4" s="193" t="e">
        <f>+Items!#REF!/1000000</f>
        <v>#REF!</v>
      </c>
      <c r="E4" s="42"/>
    </row>
    <row r="5" spans="1:9" hidden="1" x14ac:dyDescent="0.25">
      <c r="A5" s="191" t="s">
        <v>6</v>
      </c>
      <c r="B5" s="192" t="s">
        <v>7</v>
      </c>
      <c r="C5" s="192"/>
      <c r="D5" s="193" t="e">
        <f>+Items!#REF!/1000000</f>
        <v>#REF!</v>
      </c>
      <c r="E5" s="42"/>
    </row>
    <row r="6" spans="1:9" hidden="1" x14ac:dyDescent="0.25">
      <c r="A6" s="191" t="s">
        <v>6</v>
      </c>
      <c r="B6" s="192" t="s">
        <v>8</v>
      </c>
      <c r="C6" s="192"/>
      <c r="D6" s="193" t="e">
        <f>+Items!#REF!/1000000</f>
        <v>#REF!</v>
      </c>
      <c r="E6" s="42"/>
      <c r="F6" s="47"/>
    </row>
    <row r="7" spans="1:9" hidden="1" x14ac:dyDescent="0.25">
      <c r="A7" s="191" t="s">
        <v>9</v>
      </c>
      <c r="B7" s="192" t="s">
        <v>10</v>
      </c>
      <c r="C7" s="192"/>
      <c r="D7" s="193" t="e">
        <f>+Items!#REF!/1000000</f>
        <v>#REF!</v>
      </c>
      <c r="E7" s="42"/>
    </row>
    <row r="8" spans="1:9" hidden="1" x14ac:dyDescent="0.25">
      <c r="A8" s="191" t="s">
        <v>11</v>
      </c>
      <c r="B8" s="192" t="s">
        <v>11</v>
      </c>
      <c r="C8" s="192"/>
      <c r="D8" s="193" t="e">
        <f>+#REF!</f>
        <v>#REF!</v>
      </c>
      <c r="E8" s="42"/>
    </row>
    <row r="9" spans="1:9" hidden="1" x14ac:dyDescent="0.25">
      <c r="A9" s="191" t="s">
        <v>12</v>
      </c>
      <c r="B9" s="192" t="s">
        <v>12</v>
      </c>
      <c r="C9" s="192"/>
      <c r="D9" s="193" t="e">
        <f>+#REF!</f>
        <v>#REF!</v>
      </c>
      <c r="E9" s="42"/>
    </row>
    <row r="10" spans="1:9" hidden="1" x14ac:dyDescent="0.25">
      <c r="A10" s="191" t="s">
        <v>13</v>
      </c>
      <c r="B10" s="192"/>
      <c r="C10" s="192"/>
      <c r="D10" s="193" t="e">
        <f>SUM(D1:D7)</f>
        <v>#REF!</v>
      </c>
      <c r="E10" s="43"/>
    </row>
    <row r="13" spans="1:9" s="32" customFormat="1" ht="43.5" customHeight="1" x14ac:dyDescent="0.25">
      <c r="A13" s="44" t="s">
        <v>14</v>
      </c>
      <c r="B13" s="45" t="s">
        <v>15</v>
      </c>
      <c r="C13" s="45" t="s">
        <v>16</v>
      </c>
      <c r="D13" s="45" t="s">
        <v>17</v>
      </c>
      <c r="E13" s="44" t="s">
        <v>18</v>
      </c>
      <c r="F13" s="194" t="s">
        <v>18</v>
      </c>
      <c r="G13" s="194" t="s">
        <v>16</v>
      </c>
      <c r="H13" s="194" t="s">
        <v>17</v>
      </c>
      <c r="I13" s="194" t="s">
        <v>19</v>
      </c>
    </row>
    <row r="14" spans="1:9" x14ac:dyDescent="0.25">
      <c r="A14" s="46" t="s">
        <v>20</v>
      </c>
      <c r="B14" s="48"/>
      <c r="C14" s="48"/>
      <c r="D14" s="49"/>
      <c r="E14" s="50"/>
      <c r="F14" s="195"/>
      <c r="G14" s="196"/>
      <c r="H14" s="197"/>
      <c r="I14" s="192"/>
    </row>
    <row r="15" spans="1:9" x14ac:dyDescent="0.25">
      <c r="A15" s="46" t="s">
        <v>21</v>
      </c>
      <c r="B15" s="48"/>
      <c r="C15" s="48"/>
      <c r="D15" s="49"/>
      <c r="E15" s="50"/>
      <c r="F15" s="195"/>
      <c r="G15" s="196"/>
      <c r="H15" s="197"/>
      <c r="I15" s="192"/>
    </row>
    <row r="16" spans="1:9" x14ac:dyDescent="0.25">
      <c r="A16" s="46" t="s">
        <v>22</v>
      </c>
      <c r="B16" s="48"/>
      <c r="C16" s="48"/>
      <c r="D16" s="49"/>
      <c r="E16" s="50"/>
      <c r="F16" s="195"/>
      <c r="G16" s="196"/>
      <c r="H16" s="197"/>
      <c r="I16" s="192"/>
    </row>
    <row r="17" spans="1:9" x14ac:dyDescent="0.25">
      <c r="A17" s="46" t="s">
        <v>23</v>
      </c>
      <c r="B17" s="53"/>
      <c r="C17" s="53"/>
      <c r="D17" s="54"/>
      <c r="E17" s="55"/>
      <c r="F17" s="195"/>
      <c r="G17" s="196"/>
      <c r="H17" s="197"/>
      <c r="I17" s="192"/>
    </row>
    <row r="18" spans="1:9" ht="46.5" customHeight="1" x14ac:dyDescent="0.25">
      <c r="A18" s="46" t="s">
        <v>24</v>
      </c>
      <c r="B18" s="51"/>
      <c r="C18" s="48"/>
      <c r="D18" s="52"/>
      <c r="E18" s="52"/>
    </row>
  </sheetData>
  <pageMargins left="0.7" right="0.7" top="0.75" bottom="0.75" header="0.3" footer="0.3"/>
  <pageSetup scale="96"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DC8A6-C709-4177-95C4-8A8AECAFAF5A}">
  <sheetPr codeName="Hoja1"/>
  <dimension ref="A1:J55"/>
  <sheetViews>
    <sheetView topLeftCell="A12" workbookViewId="0">
      <selection activeCell="D26" sqref="D26"/>
    </sheetView>
  </sheetViews>
  <sheetFormatPr baseColWidth="10" defaultColWidth="14.42578125" defaultRowHeight="14.25" x14ac:dyDescent="0.2"/>
  <cols>
    <col min="1" max="1" width="48.140625" style="3" customWidth="1"/>
    <col min="2" max="2" width="19.42578125" style="3" customWidth="1"/>
    <col min="3" max="3" width="15.5703125" style="3" customWidth="1"/>
    <col min="4" max="6" width="12.85546875" style="3" customWidth="1"/>
    <col min="7" max="8" width="11.42578125" style="3" customWidth="1"/>
    <col min="9" max="9" width="45.42578125" style="3" customWidth="1"/>
    <col min="10" max="10" width="52.85546875" style="3" customWidth="1"/>
    <col min="11" max="25" width="11.42578125" style="3" customWidth="1"/>
    <col min="26" max="16384" width="14.42578125" style="3"/>
  </cols>
  <sheetData>
    <row r="1" spans="1:10" ht="19.5" thickBot="1" x14ac:dyDescent="0.35">
      <c r="A1" s="211" t="s">
        <v>25</v>
      </c>
      <c r="B1" s="212"/>
      <c r="C1" s="212"/>
      <c r="D1" s="212"/>
      <c r="E1" s="212"/>
      <c r="F1" s="212"/>
    </row>
    <row r="2" spans="1:10" ht="19.5" thickTop="1" thickBot="1" x14ac:dyDescent="0.3">
      <c r="A2" s="4" t="s">
        <v>26</v>
      </c>
      <c r="B2" s="4">
        <f>2.73+9.28</f>
        <v>12.01</v>
      </c>
      <c r="C2" s="4"/>
      <c r="D2" s="4"/>
      <c r="E2" s="4"/>
      <c r="F2" s="4"/>
      <c r="I2" s="5" t="s">
        <v>27</v>
      </c>
      <c r="J2" s="5" t="s">
        <v>28</v>
      </c>
    </row>
    <row r="3" spans="1:10" ht="18.75" thickBot="1" x14ac:dyDescent="0.3">
      <c r="A3" s="6" t="s">
        <v>29</v>
      </c>
      <c r="B3" s="6"/>
      <c r="C3" s="7"/>
      <c r="D3" s="7"/>
      <c r="E3" s="7"/>
      <c r="F3" s="7"/>
      <c r="I3" s="8" t="s">
        <v>30</v>
      </c>
      <c r="J3" s="9">
        <v>8.3299999999999999E-2</v>
      </c>
    </row>
    <row r="4" spans="1:10" ht="18.75" thickBot="1" x14ac:dyDescent="0.3">
      <c r="A4" s="10" t="s">
        <v>31</v>
      </c>
      <c r="B4" s="11">
        <v>1423500</v>
      </c>
      <c r="C4" s="11">
        <v>1462000</v>
      </c>
      <c r="D4" s="12">
        <f>140606/B4</f>
        <v>9.8774850720056193E-2</v>
      </c>
      <c r="E4" s="13">
        <f>B4*1.53</f>
        <v>2177955</v>
      </c>
      <c r="F4" s="14"/>
      <c r="I4" s="8" t="s">
        <v>32</v>
      </c>
      <c r="J4" s="9">
        <v>8.3299999999999999E-2</v>
      </c>
    </row>
    <row r="5" spans="1:10" ht="18.75" thickBot="1" x14ac:dyDescent="0.3">
      <c r="A5" s="10" t="s">
        <v>33</v>
      </c>
      <c r="B5" s="15">
        <f>B4/30</f>
        <v>47450</v>
      </c>
      <c r="C5" s="13"/>
      <c r="D5" s="14"/>
      <c r="E5" s="13">
        <f>E4</f>
        <v>2177955</v>
      </c>
      <c r="F5" s="14">
        <f>E5/25</f>
        <v>87118.2</v>
      </c>
      <c r="I5" s="8" t="s">
        <v>34</v>
      </c>
      <c r="J5" s="16">
        <v>0.12</v>
      </c>
    </row>
    <row r="6" spans="1:10" ht="18.75" thickBot="1" x14ac:dyDescent="0.3">
      <c r="A6" s="10" t="s">
        <v>35</v>
      </c>
      <c r="B6" s="15">
        <f>B5/8</f>
        <v>5931.25</v>
      </c>
      <c r="C6" s="13"/>
      <c r="D6" s="14"/>
      <c r="E6" s="13"/>
      <c r="F6" s="14">
        <f>F5/8</f>
        <v>10889.775</v>
      </c>
      <c r="I6" s="8" t="s">
        <v>36</v>
      </c>
      <c r="J6" s="16">
        <v>0.1</v>
      </c>
    </row>
    <row r="7" spans="1:10" ht="18.75" thickBot="1" x14ac:dyDescent="0.3">
      <c r="A7" s="10" t="s">
        <v>37</v>
      </c>
      <c r="B7" s="11">
        <v>1.91</v>
      </c>
      <c r="C7" s="13"/>
      <c r="D7" s="14"/>
      <c r="E7" s="13"/>
      <c r="F7" s="14"/>
      <c r="I7" s="17" t="s">
        <v>38</v>
      </c>
      <c r="J7" s="17"/>
    </row>
    <row r="8" spans="1:10" ht="18.75" thickBot="1" x14ac:dyDescent="0.3">
      <c r="A8" s="10" t="s">
        <v>39</v>
      </c>
      <c r="B8" s="11">
        <v>1.91</v>
      </c>
      <c r="C8" s="13"/>
      <c r="D8" s="14"/>
      <c r="E8" s="13"/>
      <c r="F8" s="14"/>
      <c r="I8" s="8" t="s">
        <v>40</v>
      </c>
      <c r="J8" s="18">
        <v>0.122</v>
      </c>
    </row>
    <row r="9" spans="1:10" ht="18.75" thickBot="1" x14ac:dyDescent="0.3">
      <c r="A9" s="10" t="s">
        <v>41</v>
      </c>
      <c r="B9" s="11">
        <v>1.91</v>
      </c>
      <c r="C9" s="13"/>
      <c r="D9" s="14"/>
      <c r="E9" s="13"/>
      <c r="F9" s="14"/>
      <c r="I9" s="8" t="s">
        <v>42</v>
      </c>
      <c r="J9" s="9">
        <v>4.1700000000000001E-2</v>
      </c>
    </row>
    <row r="10" spans="1:10" ht="18.75" thickBot="1" x14ac:dyDescent="0.3">
      <c r="A10" s="10" t="s">
        <v>43</v>
      </c>
      <c r="B10" s="11">
        <v>1.91</v>
      </c>
      <c r="C10" s="13"/>
      <c r="D10" s="14"/>
      <c r="E10" s="13"/>
      <c r="F10" s="14"/>
      <c r="I10" s="17" t="s">
        <v>44</v>
      </c>
      <c r="J10" s="17"/>
    </row>
    <row r="11" spans="1:10" ht="18.75" thickBot="1" x14ac:dyDescent="0.3">
      <c r="A11" s="4"/>
      <c r="B11" s="19"/>
      <c r="C11" s="13"/>
      <c r="D11" s="14"/>
      <c r="E11" s="13"/>
      <c r="F11" s="14"/>
      <c r="I11" s="8" t="s">
        <v>45</v>
      </c>
      <c r="J11" s="16">
        <v>0.04</v>
      </c>
    </row>
    <row r="12" spans="1:10" ht="18.75" thickBot="1" x14ac:dyDescent="0.3">
      <c r="A12" s="213" t="s">
        <v>46</v>
      </c>
      <c r="B12" s="216" t="s">
        <v>47</v>
      </c>
      <c r="C12" s="217"/>
      <c r="D12" s="217"/>
      <c r="E12" s="217"/>
      <c r="F12" s="218"/>
      <c r="I12" s="8" t="s">
        <v>48</v>
      </c>
      <c r="J12" s="16">
        <v>0.02</v>
      </c>
    </row>
    <row r="13" spans="1:10" ht="30.75" thickBot="1" x14ac:dyDescent="0.25">
      <c r="A13" s="214"/>
      <c r="B13" s="20" t="s">
        <v>49</v>
      </c>
      <c r="C13" s="20" t="s">
        <v>50</v>
      </c>
      <c r="D13" s="20" t="s">
        <v>51</v>
      </c>
      <c r="E13" s="20" t="s">
        <v>52</v>
      </c>
      <c r="F13" s="20" t="s">
        <v>53</v>
      </c>
      <c r="I13" s="8" t="s">
        <v>54</v>
      </c>
      <c r="J13" s="16">
        <v>0.02</v>
      </c>
    </row>
    <row r="14" spans="1:10" ht="30.75" thickBot="1" x14ac:dyDescent="0.25">
      <c r="A14" s="214"/>
      <c r="B14" s="219" t="s">
        <v>55</v>
      </c>
      <c r="C14" s="21" t="s">
        <v>56</v>
      </c>
      <c r="D14" s="21" t="s">
        <v>57</v>
      </c>
      <c r="E14" s="21" t="s">
        <v>58</v>
      </c>
      <c r="F14" s="21" t="s">
        <v>59</v>
      </c>
      <c r="I14" s="8" t="s">
        <v>60</v>
      </c>
      <c r="J14" s="9">
        <v>8.5000000000000006E-2</v>
      </c>
    </row>
    <row r="15" spans="1:10" ht="18.75" thickBot="1" x14ac:dyDescent="0.3">
      <c r="A15" s="215"/>
      <c r="B15" s="215"/>
      <c r="C15" s="22" t="s">
        <v>61</v>
      </c>
      <c r="D15" s="22" t="s">
        <v>62</v>
      </c>
      <c r="E15" s="22" t="s">
        <v>63</v>
      </c>
      <c r="F15" s="22" t="s">
        <v>64</v>
      </c>
      <c r="I15" s="8" t="s">
        <v>65</v>
      </c>
      <c r="J15" s="16">
        <v>0.12</v>
      </c>
    </row>
    <row r="16" spans="1:10" ht="18" x14ac:dyDescent="0.25">
      <c r="A16" s="23" t="s">
        <v>66</v>
      </c>
      <c r="B16" s="24">
        <f>B6*B7</f>
        <v>11328.6875</v>
      </c>
      <c r="C16" s="24">
        <f>B16*1.1</f>
        <v>12461.556250000001</v>
      </c>
      <c r="D16" s="24">
        <f>B16*1.15</f>
        <v>13027.990624999999</v>
      </c>
      <c r="E16" s="24">
        <f>B16*1.2</f>
        <v>13594.424999999999</v>
      </c>
      <c r="F16" s="24">
        <f>B16*1.3</f>
        <v>14727.293750000001</v>
      </c>
      <c r="I16" s="8" t="s">
        <v>67</v>
      </c>
      <c r="J16" s="9">
        <v>6.9599999999999995E-2</v>
      </c>
    </row>
    <row r="17" spans="1:10" ht="15.75" thickBot="1" x14ac:dyDescent="0.3">
      <c r="A17" s="23" t="s">
        <v>68</v>
      </c>
      <c r="B17" s="24">
        <f>B16*$B$9</f>
        <v>21637.793125</v>
      </c>
      <c r="C17" s="24">
        <f t="shared" ref="C17:F17" si="0">C16*$B$9</f>
        <v>23801.572437500003</v>
      </c>
      <c r="D17" s="24">
        <f t="shared" si="0"/>
        <v>24883.462093749997</v>
      </c>
      <c r="E17" s="24">
        <f t="shared" si="0"/>
        <v>25965.351749999998</v>
      </c>
      <c r="F17" s="24">
        <f t="shared" si="0"/>
        <v>28129.131062500001</v>
      </c>
    </row>
    <row r="18" spans="1:10" ht="18.75" thickBot="1" x14ac:dyDescent="0.3">
      <c r="A18" s="23" t="s">
        <v>69</v>
      </c>
      <c r="B18" s="24">
        <f>B6*B8</f>
        <v>11328.6875</v>
      </c>
      <c r="C18" s="24">
        <f>B18*1.1</f>
        <v>12461.556250000001</v>
      </c>
      <c r="D18" s="24">
        <f>B18*1.15</f>
        <v>13027.990624999999</v>
      </c>
      <c r="E18" s="24">
        <f>B18*1.2</f>
        <v>13594.424999999999</v>
      </c>
      <c r="F18" s="24">
        <f>B18*1.3</f>
        <v>14727.293750000001</v>
      </c>
      <c r="I18" s="17" t="s">
        <v>70</v>
      </c>
      <c r="J18" s="17"/>
    </row>
    <row r="19" spans="1:10" ht="18.75" thickBot="1" x14ac:dyDescent="0.3">
      <c r="A19" s="23" t="s">
        <v>71</v>
      </c>
      <c r="B19" s="24">
        <f>B18*$B$10</f>
        <v>21637.793125</v>
      </c>
      <c r="C19" s="24">
        <f t="shared" ref="C19:F19" si="1">C18*$B$10</f>
        <v>23801.572437500003</v>
      </c>
      <c r="D19" s="24">
        <f t="shared" si="1"/>
        <v>24883.462093749997</v>
      </c>
      <c r="E19" s="24">
        <f>E18*$B$10</f>
        <v>25965.351749999998</v>
      </c>
      <c r="F19" s="24">
        <f t="shared" si="1"/>
        <v>28129.131062500001</v>
      </c>
      <c r="I19" s="25" t="s">
        <v>72</v>
      </c>
      <c r="J19" s="25"/>
    </row>
    <row r="20" spans="1:10" ht="15" x14ac:dyDescent="0.25">
      <c r="A20" s="23" t="s">
        <v>73</v>
      </c>
      <c r="B20" s="24">
        <f t="shared" ref="B20:F21" si="2">B16+B18</f>
        <v>22657.375</v>
      </c>
      <c r="C20" s="24">
        <f t="shared" si="2"/>
        <v>24923.112500000003</v>
      </c>
      <c r="D20" s="24">
        <f t="shared" si="2"/>
        <v>26055.981249999997</v>
      </c>
      <c r="E20" s="24">
        <f t="shared" si="2"/>
        <v>27188.85</v>
      </c>
      <c r="F20" s="24">
        <f t="shared" si="2"/>
        <v>29454.587500000001</v>
      </c>
      <c r="I20" s="198"/>
      <c r="J20" s="199">
        <f>SUM(J3:J19)</f>
        <v>0.90489999999999993</v>
      </c>
    </row>
    <row r="21" spans="1:10" ht="15" x14ac:dyDescent="0.25">
      <c r="A21" s="23" t="s">
        <v>74</v>
      </c>
      <c r="B21" s="24">
        <f t="shared" si="2"/>
        <v>43275.58625</v>
      </c>
      <c r="C21" s="24">
        <f t="shared" si="2"/>
        <v>47603.144875000005</v>
      </c>
      <c r="D21" s="24">
        <f t="shared" si="2"/>
        <v>49766.924187499993</v>
      </c>
      <c r="E21" s="24">
        <f t="shared" si="2"/>
        <v>51930.703499999996</v>
      </c>
      <c r="F21" s="24">
        <f t="shared" si="2"/>
        <v>56258.262125000001</v>
      </c>
      <c r="I21" s="200" t="s">
        <v>75</v>
      </c>
      <c r="J21" s="199">
        <f>ROUNDUP(+J20+1,2)</f>
        <v>1.91</v>
      </c>
    </row>
    <row r="22" spans="1:10" ht="15" x14ac:dyDescent="0.25">
      <c r="A22" s="23" t="s">
        <v>76</v>
      </c>
      <c r="B22" s="24">
        <f t="shared" ref="B22:F25" si="3">B16*8</f>
        <v>90629.5</v>
      </c>
      <c r="C22" s="24">
        <f>C16*8</f>
        <v>99692.450000000012</v>
      </c>
      <c r="D22" s="24">
        <f t="shared" si="3"/>
        <v>104223.92499999999</v>
      </c>
      <c r="E22" s="24">
        <f t="shared" si="3"/>
        <v>108755.4</v>
      </c>
      <c r="F22" s="24">
        <f t="shared" si="3"/>
        <v>117818.35</v>
      </c>
    </row>
    <row r="23" spans="1:10" ht="15" x14ac:dyDescent="0.25">
      <c r="A23" s="23" t="s">
        <v>77</v>
      </c>
      <c r="B23" s="24">
        <f>B17*8</f>
        <v>173102.345</v>
      </c>
      <c r="C23" s="24">
        <f t="shared" si="3"/>
        <v>190412.57950000002</v>
      </c>
      <c r="D23" s="24">
        <f>D17*8</f>
        <v>199067.69674999997</v>
      </c>
      <c r="E23" s="24">
        <f t="shared" si="3"/>
        <v>207722.81399999998</v>
      </c>
      <c r="F23" s="24">
        <f t="shared" si="3"/>
        <v>225033.0485</v>
      </c>
    </row>
    <row r="24" spans="1:10" ht="15" x14ac:dyDescent="0.25">
      <c r="A24" s="23" t="s">
        <v>78</v>
      </c>
      <c r="B24" s="24">
        <f>B18*8</f>
        <v>90629.5</v>
      </c>
      <c r="C24" s="24">
        <f t="shared" si="3"/>
        <v>99692.450000000012</v>
      </c>
      <c r="D24" s="24">
        <f t="shared" si="3"/>
        <v>104223.92499999999</v>
      </c>
      <c r="E24" s="24">
        <f t="shared" si="3"/>
        <v>108755.4</v>
      </c>
      <c r="F24" s="24">
        <f t="shared" si="3"/>
        <v>117818.35</v>
      </c>
    </row>
    <row r="25" spans="1:10" ht="15" x14ac:dyDescent="0.25">
      <c r="A25" s="23" t="s">
        <v>79</v>
      </c>
      <c r="B25" s="24">
        <f>B19*8</f>
        <v>173102.345</v>
      </c>
      <c r="C25" s="24">
        <f t="shared" si="3"/>
        <v>190412.57950000002</v>
      </c>
      <c r="D25" s="24">
        <f t="shared" si="3"/>
        <v>199067.69674999997</v>
      </c>
      <c r="E25" s="24">
        <f>E19*8</f>
        <v>207722.81399999998</v>
      </c>
      <c r="F25" s="24">
        <f t="shared" si="3"/>
        <v>225033.0485</v>
      </c>
    </row>
    <row r="26" spans="1:10" ht="15" x14ac:dyDescent="0.25">
      <c r="A26" s="26" t="s">
        <v>80</v>
      </c>
      <c r="B26" s="27">
        <f>B22+B24</f>
        <v>181259</v>
      </c>
      <c r="C26" s="27">
        <f>C22+C24</f>
        <v>199384.90000000002</v>
      </c>
      <c r="D26" s="27">
        <f>D22+D24</f>
        <v>208447.84999999998</v>
      </c>
      <c r="E26" s="27">
        <f t="shared" ref="E26:F26" si="4">E22+E24</f>
        <v>217510.8</v>
      </c>
      <c r="F26" s="27">
        <f t="shared" si="4"/>
        <v>235636.7</v>
      </c>
    </row>
    <row r="27" spans="1:10" ht="15" x14ac:dyDescent="0.25">
      <c r="A27" s="23" t="s">
        <v>81</v>
      </c>
      <c r="B27" s="24">
        <f t="shared" ref="B27:F27" si="5">B23+B25</f>
        <v>346204.69</v>
      </c>
      <c r="C27" s="24">
        <f t="shared" si="5"/>
        <v>380825.15900000004</v>
      </c>
      <c r="D27" s="24">
        <f t="shared" si="5"/>
        <v>398135.39349999995</v>
      </c>
      <c r="E27" s="24">
        <f t="shared" si="5"/>
        <v>415445.62799999997</v>
      </c>
      <c r="F27" s="24">
        <f t="shared" si="5"/>
        <v>450066.09700000001</v>
      </c>
    </row>
    <row r="28" spans="1:10" ht="15" x14ac:dyDescent="0.25">
      <c r="A28" s="4"/>
      <c r="B28" s="4"/>
      <c r="C28" s="4"/>
      <c r="D28" s="4"/>
      <c r="E28" s="4"/>
      <c r="F28" s="4"/>
    </row>
    <row r="29" spans="1:10" ht="15" x14ac:dyDescent="0.25">
      <c r="A29" s="4"/>
      <c r="B29" s="4"/>
      <c r="C29" s="4"/>
      <c r="D29" s="4"/>
      <c r="E29" s="4"/>
      <c r="F29" s="4"/>
    </row>
    <row r="30" spans="1:10" ht="30" x14ac:dyDescent="0.25">
      <c r="A30" s="4"/>
      <c r="B30" s="28" t="s">
        <v>47</v>
      </c>
      <c r="C30" s="20" t="s">
        <v>82</v>
      </c>
      <c r="D30" s="4"/>
      <c r="E30" s="4"/>
      <c r="F30" s="4"/>
    </row>
    <row r="31" spans="1:10" ht="15" x14ac:dyDescent="0.25">
      <c r="A31" s="29"/>
      <c r="B31" s="23" t="s">
        <v>49</v>
      </c>
      <c r="C31" s="24">
        <f>ROUND(B26,0)</f>
        <v>181259</v>
      </c>
      <c r="D31" s="4"/>
      <c r="E31" s="4"/>
      <c r="F31" s="4"/>
    </row>
    <row r="32" spans="1:10" ht="15" x14ac:dyDescent="0.25">
      <c r="A32" s="29"/>
      <c r="B32" s="23" t="s">
        <v>50</v>
      </c>
      <c r="C32" s="24">
        <f>ROUND(C26,0)</f>
        <v>199385</v>
      </c>
      <c r="D32" s="4"/>
      <c r="E32" s="4"/>
      <c r="F32" s="4"/>
    </row>
    <row r="33" spans="1:6" ht="15" x14ac:dyDescent="0.25">
      <c r="A33" s="29"/>
      <c r="B33" s="23" t="s">
        <v>51</v>
      </c>
      <c r="C33" s="24">
        <f>ROUND(D26,0)</f>
        <v>208448</v>
      </c>
      <c r="D33" s="4"/>
      <c r="E33" s="4"/>
      <c r="F33" s="4"/>
    </row>
    <row r="34" spans="1:6" ht="15" x14ac:dyDescent="0.25">
      <c r="A34" s="29"/>
      <c r="B34" s="23" t="s">
        <v>83</v>
      </c>
      <c r="C34" s="24">
        <f>ROUND(C22,0)</f>
        <v>99692</v>
      </c>
      <c r="D34" s="4"/>
      <c r="E34" s="4"/>
      <c r="F34" s="4"/>
    </row>
    <row r="35" spans="1:6" ht="15" x14ac:dyDescent="0.25">
      <c r="A35" s="29"/>
      <c r="B35" s="23" t="s">
        <v>84</v>
      </c>
      <c r="C35" s="24">
        <f>ROUND(+C22*2,0)</f>
        <v>199385</v>
      </c>
      <c r="D35" s="4"/>
      <c r="E35" s="4"/>
      <c r="F35" s="4"/>
    </row>
    <row r="36" spans="1:6" ht="15" x14ac:dyDescent="0.25">
      <c r="A36" s="29"/>
      <c r="B36" s="23" t="s">
        <v>85</v>
      </c>
      <c r="C36" s="24">
        <f>ROUND(+D24,0)</f>
        <v>104224</v>
      </c>
      <c r="D36" s="4"/>
      <c r="E36" s="4"/>
      <c r="F36" s="4"/>
    </row>
    <row r="37" spans="1:6" ht="15" x14ac:dyDescent="0.25">
      <c r="A37" s="29"/>
      <c r="B37" s="23" t="s">
        <v>86</v>
      </c>
      <c r="C37" s="24">
        <f>ROUND(+D22,0)</f>
        <v>104224</v>
      </c>
      <c r="D37" s="4"/>
      <c r="E37" s="4"/>
      <c r="F37" s="4"/>
    </row>
    <row r="38" spans="1:6" ht="15" x14ac:dyDescent="0.25">
      <c r="A38" s="29"/>
      <c r="B38" s="23" t="s">
        <v>87</v>
      </c>
      <c r="C38" s="24">
        <f>ROUND(+D22*2,0)</f>
        <v>208448</v>
      </c>
      <c r="D38" s="4"/>
      <c r="E38" s="4"/>
      <c r="F38" s="4"/>
    </row>
    <row r="39" spans="1:6" ht="15" x14ac:dyDescent="0.25">
      <c r="A39" s="29"/>
      <c r="B39" s="23" t="s">
        <v>52</v>
      </c>
      <c r="C39" s="24">
        <f>ROUND(E26,0)</f>
        <v>217511</v>
      </c>
      <c r="D39" s="4"/>
      <c r="E39" s="4"/>
      <c r="F39" s="4"/>
    </row>
    <row r="40" spans="1:6" ht="15" x14ac:dyDescent="0.25">
      <c r="A40" s="29"/>
      <c r="B40" s="23" t="s">
        <v>53</v>
      </c>
      <c r="C40" s="24">
        <f>ROUND(F26,0)</f>
        <v>235637</v>
      </c>
      <c r="D40" s="4"/>
      <c r="E40" s="4"/>
      <c r="F40" s="4"/>
    </row>
    <row r="41" spans="1:6" ht="15" x14ac:dyDescent="0.25">
      <c r="A41" s="29"/>
      <c r="B41" s="23" t="s">
        <v>88</v>
      </c>
      <c r="C41" s="24">
        <f>ROUND(B22,0)</f>
        <v>90630</v>
      </c>
      <c r="D41" s="4"/>
      <c r="E41" s="4"/>
      <c r="F41" s="4"/>
    </row>
    <row r="42" spans="1:6" ht="15" x14ac:dyDescent="0.25">
      <c r="A42" s="4"/>
      <c r="B42" s="23" t="s">
        <v>89</v>
      </c>
      <c r="C42" s="24">
        <f>ROUND(B22*2,0)</f>
        <v>181259</v>
      </c>
      <c r="D42" s="4"/>
      <c r="E42" s="4"/>
      <c r="F42" s="4"/>
    </row>
    <row r="43" spans="1:6" ht="15" x14ac:dyDescent="0.25">
      <c r="A43" s="4"/>
      <c r="B43" s="23" t="s">
        <v>90</v>
      </c>
      <c r="C43" s="24">
        <f>ROUND(B22*3,0)</f>
        <v>271889</v>
      </c>
      <c r="D43" s="4"/>
      <c r="E43" s="4"/>
      <c r="F43" s="4"/>
    </row>
    <row r="44" spans="1:6" ht="15" x14ac:dyDescent="0.25">
      <c r="A44" s="4"/>
      <c r="B44" s="23" t="s">
        <v>91</v>
      </c>
      <c r="C44" s="24">
        <f>ROUND(B22*4,0)</f>
        <v>362518</v>
      </c>
      <c r="D44" s="4"/>
      <c r="E44" s="4"/>
      <c r="F44" s="4"/>
    </row>
    <row r="45" spans="1:6" ht="15" x14ac:dyDescent="0.25">
      <c r="A45" s="4"/>
      <c r="B45" s="23" t="s">
        <v>92</v>
      </c>
      <c r="C45" s="24">
        <f>ROUND(B22*5,0)</f>
        <v>453148</v>
      </c>
      <c r="D45" s="4"/>
      <c r="E45" s="4"/>
      <c r="F45" s="4"/>
    </row>
    <row r="46" spans="1:6" ht="15" x14ac:dyDescent="0.25">
      <c r="A46" s="4"/>
      <c r="B46" s="23" t="s">
        <v>93</v>
      </c>
      <c r="C46" s="24">
        <f>ROUND(B22*6,0)</f>
        <v>543777</v>
      </c>
      <c r="D46" s="4"/>
      <c r="E46" s="4"/>
      <c r="F46" s="4"/>
    </row>
    <row r="47" spans="1:6" ht="15" x14ac:dyDescent="0.25">
      <c r="A47" s="4"/>
      <c r="B47" s="23" t="s">
        <v>94</v>
      </c>
      <c r="C47" s="24">
        <f>ROUND(B22*7,0)</f>
        <v>634407</v>
      </c>
      <c r="D47" s="4"/>
      <c r="E47" s="4"/>
      <c r="F47" s="4"/>
    </row>
    <row r="48" spans="1:6" ht="15" x14ac:dyDescent="0.25">
      <c r="A48" s="4"/>
      <c r="B48" s="23" t="s">
        <v>95</v>
      </c>
      <c r="C48" s="24">
        <f>ROUND(B22*8,0)</f>
        <v>725036</v>
      </c>
      <c r="D48" s="4"/>
      <c r="E48" s="4"/>
      <c r="F48" s="4"/>
    </row>
    <row r="49" spans="1:6" ht="15" x14ac:dyDescent="0.25">
      <c r="A49" s="4"/>
      <c r="B49" s="23" t="s">
        <v>96</v>
      </c>
      <c r="C49" s="24">
        <f>ROUND(B22*9,0)</f>
        <v>815666</v>
      </c>
      <c r="D49" s="4"/>
      <c r="E49" s="4"/>
      <c r="F49" s="4"/>
    </row>
    <row r="50" spans="1:6" ht="15" x14ac:dyDescent="0.25">
      <c r="A50" s="4"/>
      <c r="B50" s="23" t="s">
        <v>97</v>
      </c>
      <c r="C50" s="24">
        <f>ROUND(B24,0)</f>
        <v>90630</v>
      </c>
      <c r="D50" s="4"/>
      <c r="E50" s="4"/>
      <c r="F50" s="4"/>
    </row>
    <row r="51" spans="1:6" ht="15" x14ac:dyDescent="0.25">
      <c r="A51" s="4"/>
      <c r="B51" s="23" t="s">
        <v>98</v>
      </c>
      <c r="C51" s="24">
        <f>B24*2</f>
        <v>181259</v>
      </c>
      <c r="D51" s="4"/>
      <c r="E51" s="4"/>
      <c r="F51" s="4"/>
    </row>
    <row r="52" spans="1:6" ht="15" x14ac:dyDescent="0.25">
      <c r="A52" s="4"/>
      <c r="B52" s="23" t="s">
        <v>99</v>
      </c>
      <c r="C52" s="24">
        <f>ROUND(B24*3,0)</f>
        <v>271889</v>
      </c>
      <c r="D52" s="4"/>
      <c r="E52" s="4"/>
      <c r="F52" s="4"/>
    </row>
    <row r="53" spans="1:6" ht="15" x14ac:dyDescent="0.25">
      <c r="A53" s="4"/>
      <c r="B53" s="23" t="s">
        <v>100</v>
      </c>
      <c r="C53" s="24">
        <f>ROUND(+B24*7,0)</f>
        <v>634407</v>
      </c>
      <c r="D53" s="4"/>
      <c r="E53" s="4"/>
      <c r="F53" s="4"/>
    </row>
    <row r="54" spans="1:6" ht="15" x14ac:dyDescent="0.25">
      <c r="A54" s="4"/>
      <c r="B54" s="10" t="s">
        <v>101</v>
      </c>
      <c r="C54" s="24">
        <f>C51</f>
        <v>181259</v>
      </c>
      <c r="D54" s="4"/>
      <c r="E54" s="4"/>
      <c r="F54" s="4"/>
    </row>
    <row r="55" spans="1:6" ht="15" x14ac:dyDescent="0.25">
      <c r="A55" s="4"/>
      <c r="B55" s="10" t="s">
        <v>102</v>
      </c>
      <c r="C55" s="24">
        <f>C41</f>
        <v>90630</v>
      </c>
      <c r="D55" s="4"/>
      <c r="E55" s="4"/>
      <c r="F55" s="4"/>
    </row>
  </sheetData>
  <mergeCells count="4">
    <mergeCell ref="A1:F1"/>
    <mergeCell ref="A12:A15"/>
    <mergeCell ref="B12:F12"/>
    <mergeCell ref="B14:B15"/>
  </mergeCells>
  <pageMargins left="0.7" right="0.7" top="0.75" bottom="0.75" header="0" footer="0"/>
  <pageSetup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7107D-40E9-4D1A-9E5D-1D18F3850606}">
  <sheetPr codeName="Hoja2"/>
  <dimension ref="A1:G28"/>
  <sheetViews>
    <sheetView topLeftCell="A6" workbookViewId="0">
      <selection activeCell="B10" sqref="B10"/>
    </sheetView>
  </sheetViews>
  <sheetFormatPr baseColWidth="10" defaultColWidth="11.42578125" defaultRowHeight="15" x14ac:dyDescent="0.25"/>
  <cols>
    <col min="1" max="1" width="35.85546875" style="32" customWidth="1"/>
    <col min="2" max="2" width="77.42578125" style="32" customWidth="1"/>
    <col min="3" max="3" width="11.42578125" style="30"/>
    <col min="4" max="4" width="13.140625" style="34" bestFit="1" customWidth="1"/>
    <col min="6" max="6" width="23.42578125" customWidth="1"/>
  </cols>
  <sheetData>
    <row r="1" spans="1:7" x14ac:dyDescent="0.25">
      <c r="A1" s="32" t="s">
        <v>103</v>
      </c>
      <c r="B1" s="32" t="s">
        <v>104</v>
      </c>
      <c r="C1" s="30" t="s">
        <v>105</v>
      </c>
      <c r="D1" s="35" t="s">
        <v>106</v>
      </c>
    </row>
    <row r="2" spans="1:7" ht="30" x14ac:dyDescent="0.25">
      <c r="A2" s="32" t="s">
        <v>107</v>
      </c>
      <c r="B2" s="33" t="s">
        <v>108</v>
      </c>
      <c r="C2" s="30" t="s">
        <v>109</v>
      </c>
      <c r="D2" s="34">
        <f>90000*1.19</f>
        <v>107100</v>
      </c>
    </row>
    <row r="3" spans="1:7" ht="30" x14ac:dyDescent="0.25">
      <c r="A3" s="32" t="s">
        <v>110</v>
      </c>
      <c r="B3" s="33" t="s">
        <v>111</v>
      </c>
      <c r="D3" s="34">
        <v>678100</v>
      </c>
    </row>
    <row r="4" spans="1:7" ht="30" x14ac:dyDescent="0.25">
      <c r="A4" s="32" t="s">
        <v>112</v>
      </c>
      <c r="B4" s="33" t="s">
        <v>113</v>
      </c>
      <c r="D4" s="34">
        <f>509900*1.19</f>
        <v>606781</v>
      </c>
    </row>
    <row r="5" spans="1:7" ht="30" x14ac:dyDescent="0.25">
      <c r="A5" s="32" t="s">
        <v>112</v>
      </c>
      <c r="B5" s="33" t="s">
        <v>114</v>
      </c>
      <c r="D5" s="34">
        <f>515000*1.19</f>
        <v>612850</v>
      </c>
    </row>
    <row r="6" spans="1:7" ht="30" x14ac:dyDescent="0.25">
      <c r="A6" s="32" t="s">
        <v>112</v>
      </c>
      <c r="B6" s="33" t="s">
        <v>111</v>
      </c>
      <c r="D6" s="34">
        <f>678100*1.19</f>
        <v>806939</v>
      </c>
    </row>
    <row r="7" spans="1:7" ht="30" x14ac:dyDescent="0.25">
      <c r="A7" s="32" t="s">
        <v>112</v>
      </c>
      <c r="B7" s="33" t="s">
        <v>115</v>
      </c>
      <c r="D7" s="34">
        <f>471300*1.19</f>
        <v>560847</v>
      </c>
    </row>
    <row r="8" spans="1:7" x14ac:dyDescent="0.25">
      <c r="A8" s="32" t="s">
        <v>116</v>
      </c>
      <c r="B8" s="33" t="s">
        <v>117</v>
      </c>
      <c r="D8" s="34">
        <v>571200</v>
      </c>
    </row>
    <row r="9" spans="1:7" ht="30" x14ac:dyDescent="0.25">
      <c r="A9" s="32" t="s">
        <v>118</v>
      </c>
      <c r="B9" s="33" t="s">
        <v>119</v>
      </c>
      <c r="D9" s="34">
        <f>4300*1.19</f>
        <v>5117</v>
      </c>
    </row>
    <row r="10" spans="1:7" ht="30" x14ac:dyDescent="0.25">
      <c r="A10" s="32" t="s">
        <v>118</v>
      </c>
      <c r="B10" s="33" t="s">
        <v>120</v>
      </c>
      <c r="D10" s="36">
        <f>4358.59*1.19</f>
        <v>5186.7221</v>
      </c>
      <c r="F10" t="s">
        <v>121</v>
      </c>
      <c r="G10" s="34">
        <f>639840/30</f>
        <v>21328</v>
      </c>
    </row>
    <row r="11" spans="1:7" ht="60" x14ac:dyDescent="0.25">
      <c r="A11" s="32" t="s">
        <v>122</v>
      </c>
      <c r="B11" s="37" t="s">
        <v>123</v>
      </c>
      <c r="C11" s="30" t="s">
        <v>124</v>
      </c>
      <c r="D11" s="38">
        <f>13925*1.19</f>
        <v>16570.75</v>
      </c>
      <c r="F11" t="s">
        <v>125</v>
      </c>
      <c r="G11" s="34">
        <f>20000*1.19</f>
        <v>23800</v>
      </c>
    </row>
    <row r="12" spans="1:7" ht="30" x14ac:dyDescent="0.25">
      <c r="A12" s="32" t="s">
        <v>126</v>
      </c>
      <c r="B12" s="37" t="s">
        <v>127</v>
      </c>
      <c r="C12" s="30" t="s">
        <v>124</v>
      </c>
      <c r="D12" s="39">
        <f>22482.14*1.19</f>
        <v>26753.746599999999</v>
      </c>
      <c r="F12" t="s">
        <v>128</v>
      </c>
      <c r="G12" s="34">
        <f>((432726+200000)/4)/7</f>
        <v>22597.357142857141</v>
      </c>
    </row>
    <row r="13" spans="1:7" x14ac:dyDescent="0.25">
      <c r="A13" s="32" t="s">
        <v>129</v>
      </c>
      <c r="B13" s="33" t="s">
        <v>130</v>
      </c>
      <c r="C13" s="30" t="s">
        <v>131</v>
      </c>
      <c r="D13" s="34">
        <f>602*1.19</f>
        <v>716.38</v>
      </c>
      <c r="G13" s="40">
        <f>+AVERAGE(G10:G12)</f>
        <v>22575.11904761905</v>
      </c>
    </row>
    <row r="14" spans="1:7" ht="30" x14ac:dyDescent="0.25">
      <c r="A14" s="32" t="s">
        <v>132</v>
      </c>
      <c r="C14" s="30" t="s">
        <v>133</v>
      </c>
      <c r="D14" s="34">
        <f>+G13</f>
        <v>22575.11904761905</v>
      </c>
    </row>
    <row r="15" spans="1:7" ht="30" x14ac:dyDescent="0.25">
      <c r="A15" s="32" t="s">
        <v>134</v>
      </c>
      <c r="B15" s="33" t="s">
        <v>135</v>
      </c>
      <c r="C15" s="30" t="s">
        <v>136</v>
      </c>
      <c r="D15" s="34">
        <v>2900</v>
      </c>
    </row>
    <row r="16" spans="1:7" x14ac:dyDescent="0.25">
      <c r="A16" s="32" t="s">
        <v>137</v>
      </c>
      <c r="B16" s="33" t="s">
        <v>138</v>
      </c>
      <c r="C16" s="30" t="s">
        <v>139</v>
      </c>
      <c r="D16" s="34">
        <f>82600*1.19</f>
        <v>98294</v>
      </c>
    </row>
    <row r="17" spans="1:4" ht="30" x14ac:dyDescent="0.25">
      <c r="A17" s="32" t="s">
        <v>140</v>
      </c>
      <c r="B17" s="33" t="s">
        <v>141</v>
      </c>
      <c r="C17" s="30" t="s">
        <v>139</v>
      </c>
      <c r="D17" s="34">
        <f>103900*1.19</f>
        <v>123641</v>
      </c>
    </row>
    <row r="18" spans="1:4" ht="30" x14ac:dyDescent="0.25">
      <c r="A18" s="32" t="s">
        <v>142</v>
      </c>
      <c r="B18" s="33" t="s">
        <v>143</v>
      </c>
      <c r="C18" s="30" t="s">
        <v>139</v>
      </c>
      <c r="D18" s="34">
        <f>146900*1.19</f>
        <v>174811</v>
      </c>
    </row>
    <row r="20" spans="1:4" x14ac:dyDescent="0.25">
      <c r="A20" s="32" t="s">
        <v>144</v>
      </c>
      <c r="B20" s="32" t="s">
        <v>145</v>
      </c>
      <c r="C20" s="30" t="s">
        <v>146</v>
      </c>
      <c r="D20" s="34">
        <v>665680</v>
      </c>
    </row>
    <row r="21" spans="1:4" x14ac:dyDescent="0.25">
      <c r="A21" s="32" t="s">
        <v>147</v>
      </c>
      <c r="B21" s="32" t="s">
        <v>145</v>
      </c>
      <c r="C21" s="30" t="s">
        <v>146</v>
      </c>
      <c r="D21" s="34">
        <v>629118</v>
      </c>
    </row>
    <row r="22" spans="1:4" x14ac:dyDescent="0.25">
      <c r="A22" s="32" t="s">
        <v>148</v>
      </c>
      <c r="B22" s="32" t="s">
        <v>145</v>
      </c>
      <c r="C22" s="30" t="s">
        <v>146</v>
      </c>
      <c r="D22" s="34">
        <v>585250</v>
      </c>
    </row>
    <row r="23" spans="1:4" x14ac:dyDescent="0.25">
      <c r="A23" s="220" t="s">
        <v>149</v>
      </c>
      <c r="B23" s="221"/>
      <c r="C23" s="1" t="s">
        <v>150</v>
      </c>
      <c r="D23" s="2">
        <v>5720</v>
      </c>
    </row>
    <row r="24" spans="1:4" x14ac:dyDescent="0.25">
      <c r="A24" s="220" t="s">
        <v>151</v>
      </c>
      <c r="B24" s="221"/>
      <c r="C24" s="31" t="s">
        <v>150</v>
      </c>
      <c r="D24" s="2">
        <v>6521</v>
      </c>
    </row>
    <row r="25" spans="1:4" x14ac:dyDescent="0.25">
      <c r="A25" s="32" t="s">
        <v>152</v>
      </c>
      <c r="B25" s="32" t="s">
        <v>153</v>
      </c>
      <c r="C25" s="30" t="s">
        <v>154</v>
      </c>
      <c r="D25" s="34">
        <v>256362</v>
      </c>
    </row>
    <row r="26" spans="1:4" x14ac:dyDescent="0.25">
      <c r="A26" s="32" t="s">
        <v>155</v>
      </c>
      <c r="B26" s="33" t="s">
        <v>156</v>
      </c>
    </row>
    <row r="28" spans="1:4" x14ac:dyDescent="0.25">
      <c r="A28" s="32" t="s">
        <v>157</v>
      </c>
      <c r="B28" s="37" t="s">
        <v>158</v>
      </c>
    </row>
  </sheetData>
  <mergeCells count="2">
    <mergeCell ref="A23:B23"/>
    <mergeCell ref="A24:B24"/>
  </mergeCells>
  <hyperlinks>
    <hyperlink ref="B2" r:id="rId1" xr:uid="{13DB8274-AE3C-42AF-ADE5-A4C766C0D6A2}"/>
    <hyperlink ref="B4" r:id="rId2" xr:uid="{B635F789-AE19-4F7E-9683-7B4971EDB558}"/>
    <hyperlink ref="B5" r:id="rId3" xr:uid="{3F555AC5-115C-485E-9C26-8A6EBA528FB3}"/>
    <hyperlink ref="B6" r:id="rId4" xr:uid="{106A4CAE-9FC5-463F-8D43-DF8FF7B5297D}"/>
    <hyperlink ref="B7" r:id="rId5" xr:uid="{E41AD7C7-5523-4E4C-A252-829EB216490A}"/>
    <hyperlink ref="B8" r:id="rId6" xr:uid="{743C505D-86D5-47BA-A58F-BE6CD13D56AB}"/>
    <hyperlink ref="B9" r:id="rId7" xr:uid="{9BE52C7E-77EF-4CE9-8EB0-36C2F951CC4B}"/>
    <hyperlink ref="B10" r:id="rId8" xr:uid="{84DAA438-4FBF-46EB-9509-B7D8A0588134}"/>
    <hyperlink ref="B11" r:id="rId9" xr:uid="{14A82548-22FD-4D76-BD95-C6D193B7DC92}"/>
    <hyperlink ref="B12" r:id="rId10" xr:uid="{7AD918C1-232F-4B35-ADBD-240C189448D2}"/>
    <hyperlink ref="B13" r:id="rId11" xr:uid="{5AE55765-D124-4C0B-8A76-B1153B743158}"/>
    <hyperlink ref="B15" r:id="rId12" xr:uid="{C05C5C9E-2C41-49B8-B6A5-26EB955D7AAE}"/>
    <hyperlink ref="B16" r:id="rId13" xr:uid="{AC150F48-A715-4A44-A34A-77F7D4821E65}"/>
    <hyperlink ref="B17" r:id="rId14" xr:uid="{18081EE0-01D7-431E-A94F-EF3324495EFF}"/>
    <hyperlink ref="B18" r:id="rId15" xr:uid="{F7E26191-65E6-4342-99BF-CA2D207A5689}"/>
    <hyperlink ref="B3" r:id="rId16" xr:uid="{245CF36C-98A8-49DA-83D5-0D8EF1105951}"/>
    <hyperlink ref="B28" r:id="rId17" xr:uid="{EB6D4A0B-C5C3-42A7-A86C-238C49856573}"/>
    <hyperlink ref="B26" r:id="rId18" xr:uid="{B141A741-5429-4389-85DE-F946AF9099C4}"/>
  </hyperlinks>
  <pageMargins left="0.7" right="0.7" top="0.75" bottom="0.75" header="0.3" footer="0.3"/>
  <pageSetup paperSize="9" orientation="portrait" r:id="rId1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83C37-490D-45DD-ABB1-427D6F568A9D}">
  <dimension ref="A1:K71"/>
  <sheetViews>
    <sheetView view="pageBreakPreview" zoomScale="115" zoomScaleNormal="100" zoomScaleSheetLayoutView="115" workbookViewId="0">
      <selection activeCell="I61" sqref="I61"/>
    </sheetView>
  </sheetViews>
  <sheetFormatPr baseColWidth="10" defaultColWidth="9.140625" defaultRowHeight="8.25" outlineLevelRow="1" x14ac:dyDescent="0.25"/>
  <cols>
    <col min="1" max="1" width="6.5703125" style="70" customWidth="1"/>
    <col min="2" max="2" width="27.7109375" style="64" customWidth="1"/>
    <col min="3" max="3" width="12.85546875" style="64" customWidth="1"/>
    <col min="4" max="4" width="10.7109375" style="64" customWidth="1"/>
    <col min="5" max="5" width="11.5703125" style="64" customWidth="1"/>
    <col min="6" max="6" width="12.85546875" style="64" customWidth="1"/>
    <col min="7" max="7" width="15.7109375" style="64" customWidth="1"/>
    <col min="8" max="8" width="33.42578125" style="64" customWidth="1"/>
    <col min="9" max="9" width="44.42578125" style="64" customWidth="1"/>
    <col min="10" max="10" width="18.28515625" style="64" customWidth="1"/>
    <col min="11" max="16384" width="9.140625" style="64"/>
  </cols>
  <sheetData>
    <row r="1" spans="1:10" s="65" customFormat="1" ht="12.75" customHeight="1" x14ac:dyDescent="0.15">
      <c r="A1" s="256"/>
      <c r="B1" s="257"/>
      <c r="C1" s="257"/>
      <c r="D1" s="257"/>
      <c r="E1" s="257"/>
      <c r="F1" s="257"/>
      <c r="G1" s="258"/>
      <c r="I1" s="119" t="s">
        <v>159</v>
      </c>
      <c r="J1" s="120" t="s">
        <v>160</v>
      </c>
    </row>
    <row r="2" spans="1:10" s="65" customFormat="1" ht="15" customHeight="1" x14ac:dyDescent="0.25">
      <c r="A2" s="71"/>
      <c r="H2" s="259" t="s">
        <v>161</v>
      </c>
      <c r="I2" s="260"/>
      <c r="J2" s="260"/>
    </row>
    <row r="3" spans="1:10" s="65" customFormat="1" ht="24.75" x14ac:dyDescent="0.15">
      <c r="A3" s="71"/>
      <c r="B3" s="72" t="s">
        <v>162</v>
      </c>
      <c r="C3" s="73" t="e">
        <f>Items!#REF!</f>
        <v>#REF!</v>
      </c>
      <c r="D3" s="74"/>
      <c r="E3" s="75"/>
      <c r="H3" s="67" t="s">
        <v>163</v>
      </c>
      <c r="I3" s="121">
        <v>8922619</v>
      </c>
      <c r="J3" s="121">
        <f>+ROUND(I3/1.6546,0)*1.08</f>
        <v>5824023.1200000001</v>
      </c>
    </row>
    <row r="4" spans="1:10" s="65" customFormat="1" ht="12.75" customHeight="1" x14ac:dyDescent="0.25">
      <c r="A4" s="71"/>
      <c r="B4" s="66" t="s">
        <v>164</v>
      </c>
      <c r="C4" s="76">
        <v>4</v>
      </c>
      <c r="H4" s="67" t="s">
        <v>165</v>
      </c>
      <c r="I4" s="121">
        <v>7758799</v>
      </c>
      <c r="J4" s="121">
        <f>+ROUND(I4/1.6546,0)*1.08</f>
        <v>5064367.32</v>
      </c>
    </row>
    <row r="5" spans="1:10" s="65" customFormat="1" ht="12.75" customHeight="1" x14ac:dyDescent="0.25">
      <c r="A5" s="71"/>
      <c r="B5" s="77" t="s">
        <v>166</v>
      </c>
      <c r="C5" s="78">
        <v>1.87</v>
      </c>
      <c r="H5" s="79" t="s">
        <v>167</v>
      </c>
      <c r="I5" s="121">
        <v>4979531</v>
      </c>
      <c r="J5" s="121">
        <f>+ROUND(I5/1.6546,0)*1.08</f>
        <v>3250267.56</v>
      </c>
    </row>
    <row r="6" spans="1:10" s="66" customFormat="1" ht="15.6" customHeight="1" x14ac:dyDescent="0.25">
      <c r="A6" s="261" t="s">
        <v>168</v>
      </c>
      <c r="B6" s="261"/>
      <c r="C6" s="261"/>
      <c r="D6" s="261"/>
      <c r="E6" s="261"/>
      <c r="F6" s="261"/>
      <c r="G6" s="261"/>
      <c r="H6" s="77" t="s">
        <v>169</v>
      </c>
      <c r="I6" s="121">
        <v>3760784</v>
      </c>
      <c r="J6" s="121">
        <f>+ROUND(I6/1.6546,0)*1.08</f>
        <v>2454760.08</v>
      </c>
    </row>
    <row r="7" spans="1:10" s="65" customFormat="1" ht="12.75" x14ac:dyDescent="0.25">
      <c r="A7" s="262"/>
      <c r="B7" s="262"/>
      <c r="C7" s="262"/>
      <c r="D7" s="262"/>
      <c r="E7" s="262"/>
      <c r="F7" s="262"/>
      <c r="G7" s="262"/>
      <c r="H7" s="67"/>
      <c r="I7" s="121"/>
      <c r="J7" s="121"/>
    </row>
    <row r="8" spans="1:10" s="65" customFormat="1" x14ac:dyDescent="0.25">
      <c r="A8" s="263" t="s">
        <v>170</v>
      </c>
      <c r="B8" s="264"/>
      <c r="C8" s="264"/>
      <c r="D8" s="264"/>
      <c r="E8" s="264"/>
      <c r="F8" s="264"/>
      <c r="G8" s="265"/>
    </row>
    <row r="9" spans="1:10" s="67" customFormat="1" ht="41.25" x14ac:dyDescent="0.25">
      <c r="A9" s="82" t="s">
        <v>171</v>
      </c>
      <c r="B9" s="83" t="s">
        <v>172</v>
      </c>
      <c r="C9" s="83" t="s">
        <v>173</v>
      </c>
      <c r="D9" s="83" t="s">
        <v>174</v>
      </c>
      <c r="E9" s="83" t="s">
        <v>175</v>
      </c>
      <c r="F9" s="83" t="s">
        <v>176</v>
      </c>
      <c r="G9" s="84" t="s">
        <v>177</v>
      </c>
      <c r="H9" s="79"/>
      <c r="I9" s="121"/>
      <c r="J9" s="121"/>
    </row>
    <row r="10" spans="1:10" s="67" customFormat="1" ht="12.75" x14ac:dyDescent="0.25">
      <c r="A10" s="226" t="s">
        <v>178</v>
      </c>
      <c r="B10" s="228"/>
      <c r="C10" s="124" t="s">
        <v>179</v>
      </c>
      <c r="D10" s="124" t="s">
        <v>180</v>
      </c>
      <c r="E10" s="124" t="s">
        <v>181</v>
      </c>
      <c r="F10" s="124" t="s">
        <v>182</v>
      </c>
      <c r="G10" s="125" t="s">
        <v>183</v>
      </c>
      <c r="I10" s="122"/>
      <c r="J10" s="121"/>
    </row>
    <row r="11" spans="1:10" s="65" customFormat="1" ht="12.75" outlineLevel="1" x14ac:dyDescent="0.25">
      <c r="A11" s="126">
        <v>1</v>
      </c>
      <c r="B11" s="127" t="s">
        <v>184</v>
      </c>
      <c r="C11" s="128">
        <v>0.5</v>
      </c>
      <c r="D11" s="129">
        <f>+J3</f>
        <v>5824023.1200000001</v>
      </c>
      <c r="E11" s="130">
        <f>$C$5</f>
        <v>1.87</v>
      </c>
      <c r="F11" s="131">
        <v>4</v>
      </c>
      <c r="G11" s="132">
        <f>ROUND(+C11*D11*F11*E11,0)</f>
        <v>21781846</v>
      </c>
      <c r="H11" s="79"/>
      <c r="I11" s="121"/>
      <c r="J11" s="121"/>
    </row>
    <row r="12" spans="1:10" s="65" customFormat="1" ht="49.5" customHeight="1" outlineLevel="1" x14ac:dyDescent="0.25">
      <c r="A12" s="133" t="s">
        <v>185</v>
      </c>
      <c r="B12" s="266" t="s">
        <v>186</v>
      </c>
      <c r="C12" s="266"/>
      <c r="D12" s="266"/>
      <c r="E12" s="266"/>
      <c r="F12" s="266"/>
      <c r="G12" s="267"/>
    </row>
    <row r="13" spans="1:10" s="65" customFormat="1" outlineLevel="1" x14ac:dyDescent="0.25">
      <c r="A13" s="134">
        <v>1</v>
      </c>
      <c r="B13" s="135" t="s">
        <v>187</v>
      </c>
      <c r="C13" s="128">
        <v>0.5</v>
      </c>
      <c r="D13" s="129">
        <f>J5</f>
        <v>3250267.56</v>
      </c>
      <c r="E13" s="130">
        <f>$C$5</f>
        <v>1.87</v>
      </c>
      <c r="F13" s="131">
        <v>4</v>
      </c>
      <c r="G13" s="132">
        <f>ROUND(+C13*D13*F13*E13,0)</f>
        <v>12156001</v>
      </c>
    </row>
    <row r="14" spans="1:10" s="65" customFormat="1" ht="44.1" customHeight="1" outlineLevel="1" x14ac:dyDescent="0.25">
      <c r="A14" s="133" t="s">
        <v>185</v>
      </c>
      <c r="B14" s="266" t="s">
        <v>188</v>
      </c>
      <c r="C14" s="266"/>
      <c r="D14" s="266"/>
      <c r="E14" s="266"/>
      <c r="F14" s="266"/>
      <c r="G14" s="267"/>
    </row>
    <row r="15" spans="1:10" s="67" customFormat="1" ht="41.25" outlineLevel="1" x14ac:dyDescent="0.25">
      <c r="A15" s="226" t="s">
        <v>189</v>
      </c>
      <c r="B15" s="228"/>
      <c r="C15" s="83" t="s">
        <v>173</v>
      </c>
      <c r="D15" s="83" t="s">
        <v>174</v>
      </c>
      <c r="E15" s="83" t="s">
        <v>175</v>
      </c>
      <c r="F15" s="83" t="s">
        <v>176</v>
      </c>
      <c r="G15" s="84" t="s">
        <v>177</v>
      </c>
    </row>
    <row r="16" spans="1:10" s="65" customFormat="1" outlineLevel="1" x14ac:dyDescent="0.25">
      <c r="A16" s="126">
        <v>1</v>
      </c>
      <c r="B16" s="135" t="s">
        <v>190</v>
      </c>
      <c r="C16" s="128">
        <v>0.5</v>
      </c>
      <c r="D16" s="129">
        <f>J6</f>
        <v>2454760.08</v>
      </c>
      <c r="E16" s="136">
        <f>$C$5</f>
        <v>1.87</v>
      </c>
      <c r="F16" s="131">
        <f>+C$4</f>
        <v>4</v>
      </c>
      <c r="G16" s="137">
        <f>ROUND(+C16*D16*F16*E16,0)*A16</f>
        <v>9180803</v>
      </c>
    </row>
    <row r="17" spans="1:8" s="65" customFormat="1" outlineLevel="1" x14ac:dyDescent="0.25">
      <c r="A17" s="126">
        <v>1</v>
      </c>
      <c r="B17" s="135" t="s">
        <v>191</v>
      </c>
      <c r="C17" s="128">
        <v>0.5</v>
      </c>
      <c r="D17" s="129">
        <v>1623500</v>
      </c>
      <c r="E17" s="136">
        <f>$C$5</f>
        <v>1.87</v>
      </c>
      <c r="F17" s="131">
        <f>+C$4</f>
        <v>4</v>
      </c>
      <c r="G17" s="137">
        <f>ROUND(+C17*D17*F17*E17,0)*A17</f>
        <v>6071890</v>
      </c>
    </row>
    <row r="18" spans="1:8" s="67" customFormat="1" outlineLevel="1" x14ac:dyDescent="0.25">
      <c r="A18" s="226" t="s">
        <v>192</v>
      </c>
      <c r="B18" s="228"/>
      <c r="C18" s="138"/>
      <c r="D18" s="138"/>
      <c r="E18" s="139"/>
      <c r="F18" s="140"/>
      <c r="G18" s="141"/>
    </row>
    <row r="19" spans="1:8" s="65" customFormat="1" outlineLevel="1" x14ac:dyDescent="0.25">
      <c r="A19" s="126">
        <v>1</v>
      </c>
      <c r="B19" s="135" t="s">
        <v>193</v>
      </c>
      <c r="C19" s="128">
        <v>0.05</v>
      </c>
      <c r="D19" s="129">
        <f>J5</f>
        <v>3250267.56</v>
      </c>
      <c r="E19" s="136">
        <v>1.91</v>
      </c>
      <c r="F19" s="131">
        <f>$C$4</f>
        <v>4</v>
      </c>
      <c r="G19" s="137">
        <f>ROUND(+C19*D19*F19*E19,0)*A19</f>
        <v>1241602</v>
      </c>
    </row>
    <row r="20" spans="1:8" s="65" customFormat="1" outlineLevel="1" x14ac:dyDescent="0.25">
      <c r="A20" s="126">
        <v>1</v>
      </c>
      <c r="B20" s="135" t="s">
        <v>194</v>
      </c>
      <c r="C20" s="128">
        <v>0.05</v>
      </c>
      <c r="D20" s="129">
        <f>J5</f>
        <v>3250267.56</v>
      </c>
      <c r="E20" s="136">
        <v>1.91</v>
      </c>
      <c r="F20" s="131">
        <f>$C$4</f>
        <v>4</v>
      </c>
      <c r="G20" s="137">
        <f>ROUND(+C20*D20*F20*E20,0)*A20</f>
        <v>1241602</v>
      </c>
      <c r="H20" s="79"/>
    </row>
    <row r="21" spans="1:8" s="65" customFormat="1" outlineLevel="1" x14ac:dyDescent="0.25">
      <c r="A21" s="126">
        <v>1</v>
      </c>
      <c r="B21" s="135" t="s">
        <v>195</v>
      </c>
      <c r="C21" s="128">
        <v>0.05</v>
      </c>
      <c r="D21" s="129">
        <v>1623500</v>
      </c>
      <c r="E21" s="136">
        <v>1.91</v>
      </c>
      <c r="F21" s="131">
        <f>$C$4</f>
        <v>4</v>
      </c>
      <c r="G21" s="137">
        <f>C21*D21*F21*E21</f>
        <v>620177</v>
      </c>
      <c r="H21" s="79"/>
    </row>
    <row r="22" spans="1:8" s="65" customFormat="1" outlineLevel="1" x14ac:dyDescent="0.25">
      <c r="A22" s="134">
        <v>1</v>
      </c>
      <c r="B22" s="135" t="s">
        <v>196</v>
      </c>
      <c r="C22" s="128">
        <v>0.05</v>
      </c>
      <c r="D22" s="129">
        <f>H52</f>
        <v>1423500</v>
      </c>
      <c r="E22" s="136">
        <v>1.91</v>
      </c>
      <c r="F22" s="131">
        <f>$C$4</f>
        <v>4</v>
      </c>
      <c r="G22" s="132">
        <f>ROUND(+C22*D22*F22*E22,0)</f>
        <v>543777</v>
      </c>
    </row>
    <row r="23" spans="1:8" s="65" customFormat="1" x14ac:dyDescent="0.25">
      <c r="A23" s="249" t="s">
        <v>197</v>
      </c>
      <c r="B23" s="250"/>
      <c r="C23" s="250"/>
      <c r="D23" s="250"/>
      <c r="E23" s="250"/>
      <c r="F23" s="250"/>
      <c r="G23" s="142">
        <f>SUM(G11:G22)</f>
        <v>52837698</v>
      </c>
    </row>
    <row r="24" spans="1:8" s="65" customFormat="1" x14ac:dyDescent="0.25">
      <c r="A24" s="71"/>
      <c r="D24" s="85"/>
    </row>
    <row r="25" spans="1:8" s="68" customFormat="1" ht="16.5" outlineLevel="1" x14ac:dyDescent="0.25">
      <c r="A25" s="254" t="s">
        <v>198</v>
      </c>
      <c r="B25" s="255"/>
      <c r="C25" s="124"/>
      <c r="D25" s="124"/>
      <c r="E25" s="124" t="s">
        <v>199</v>
      </c>
      <c r="F25" s="124" t="s">
        <v>200</v>
      </c>
      <c r="G25" s="125" t="s">
        <v>46</v>
      </c>
    </row>
    <row r="26" spans="1:8" s="65" customFormat="1" outlineLevel="1" x14ac:dyDescent="0.25">
      <c r="A26" s="247" t="s">
        <v>201</v>
      </c>
      <c r="B26" s="248"/>
      <c r="C26" s="143"/>
      <c r="D26" s="130"/>
      <c r="E26" s="129">
        <v>100000</v>
      </c>
      <c r="F26" s="131">
        <f t="shared" ref="F26:F32" si="0">$C$4</f>
        <v>4</v>
      </c>
      <c r="G26" s="132">
        <f t="shared" ref="G26:G32" si="1">+E26*F26</f>
        <v>400000</v>
      </c>
    </row>
    <row r="27" spans="1:8" s="65" customFormat="1" outlineLevel="1" x14ac:dyDescent="0.25">
      <c r="A27" s="247" t="s">
        <v>202</v>
      </c>
      <c r="B27" s="248"/>
      <c r="C27" s="143"/>
      <c r="D27" s="130"/>
      <c r="E27" s="129">
        <v>50000</v>
      </c>
      <c r="F27" s="131">
        <f t="shared" si="0"/>
        <v>4</v>
      </c>
      <c r="G27" s="132">
        <f t="shared" si="1"/>
        <v>200000</v>
      </c>
    </row>
    <row r="28" spans="1:8" s="65" customFormat="1" outlineLevel="1" x14ac:dyDescent="0.25">
      <c r="A28" s="247" t="s">
        <v>203</v>
      </c>
      <c r="B28" s="248"/>
      <c r="C28" s="143"/>
      <c r="D28" s="130"/>
      <c r="E28" s="129">
        <v>20000</v>
      </c>
      <c r="F28" s="131">
        <f t="shared" si="0"/>
        <v>4</v>
      </c>
      <c r="G28" s="132">
        <f t="shared" si="1"/>
        <v>80000</v>
      </c>
    </row>
    <row r="29" spans="1:8" s="65" customFormat="1" outlineLevel="1" x14ac:dyDescent="0.25">
      <c r="A29" s="247" t="s">
        <v>204</v>
      </c>
      <c r="B29" s="248"/>
      <c r="C29" s="143"/>
      <c r="D29" s="130"/>
      <c r="E29" s="129">
        <v>20000</v>
      </c>
      <c r="F29" s="131">
        <f t="shared" si="0"/>
        <v>4</v>
      </c>
      <c r="G29" s="132">
        <f t="shared" si="1"/>
        <v>80000</v>
      </c>
    </row>
    <row r="30" spans="1:8" s="65" customFormat="1" outlineLevel="1" x14ac:dyDescent="0.25">
      <c r="A30" s="247" t="s">
        <v>205</v>
      </c>
      <c r="B30" s="248"/>
      <c r="C30" s="143"/>
      <c r="D30" s="130"/>
      <c r="E30" s="129">
        <v>50000</v>
      </c>
      <c r="F30" s="131">
        <f t="shared" si="0"/>
        <v>4</v>
      </c>
      <c r="G30" s="132">
        <f t="shared" si="1"/>
        <v>200000</v>
      </c>
    </row>
    <row r="31" spans="1:8" s="65" customFormat="1" outlineLevel="1" x14ac:dyDescent="0.25">
      <c r="A31" s="247" t="s">
        <v>206</v>
      </c>
      <c r="B31" s="248"/>
      <c r="C31" s="143"/>
      <c r="D31" s="130"/>
      <c r="E31" s="129">
        <v>100000</v>
      </c>
      <c r="F31" s="131">
        <f t="shared" si="0"/>
        <v>4</v>
      </c>
      <c r="G31" s="132">
        <f t="shared" si="1"/>
        <v>400000</v>
      </c>
    </row>
    <row r="32" spans="1:8" s="65" customFormat="1" outlineLevel="1" x14ac:dyDescent="0.25">
      <c r="A32" s="247" t="s">
        <v>207</v>
      </c>
      <c r="B32" s="248"/>
      <c r="C32" s="143"/>
      <c r="D32" s="130"/>
      <c r="E32" s="129">
        <v>50000</v>
      </c>
      <c r="F32" s="131">
        <f t="shared" si="0"/>
        <v>4</v>
      </c>
      <c r="G32" s="132">
        <f t="shared" si="1"/>
        <v>200000</v>
      </c>
    </row>
    <row r="33" spans="1:11" s="65" customFormat="1" x14ac:dyDescent="0.25">
      <c r="A33" s="249" t="s">
        <v>208</v>
      </c>
      <c r="B33" s="250"/>
      <c r="C33" s="250"/>
      <c r="D33" s="250"/>
      <c r="E33" s="250"/>
      <c r="F33" s="250"/>
      <c r="G33" s="144">
        <f>ROUND(SUM(G25:G32),0)</f>
        <v>1560000</v>
      </c>
    </row>
    <row r="34" spans="1:11" s="65" customFormat="1" x14ac:dyDescent="0.25">
      <c r="A34" s="71"/>
      <c r="B34" s="86"/>
      <c r="C34" s="86"/>
      <c r="D34" s="86"/>
      <c r="E34" s="86"/>
      <c r="F34" s="86"/>
      <c r="G34" s="87"/>
    </row>
    <row r="35" spans="1:11" s="65" customFormat="1" x14ac:dyDescent="0.25">
      <c r="A35" s="232" t="s">
        <v>209</v>
      </c>
      <c r="B35" s="233"/>
      <c r="C35" s="233"/>
      <c r="D35" s="233"/>
      <c r="E35" s="233"/>
      <c r="F35" s="234"/>
      <c r="G35" s="88">
        <f>ROUND((G23+G33),0)</f>
        <v>54397698</v>
      </c>
    </row>
    <row r="36" spans="1:11" s="65" customFormat="1" x14ac:dyDescent="0.25">
      <c r="A36" s="232" t="s">
        <v>210</v>
      </c>
      <c r="B36" s="233"/>
      <c r="C36" s="233"/>
      <c r="D36" s="233"/>
      <c r="E36" s="233"/>
      <c r="F36" s="234"/>
      <c r="G36" s="89" t="e">
        <f>+ROUND(G35/C3,3)</f>
        <v>#REF!</v>
      </c>
    </row>
    <row r="37" spans="1:11" s="65" customFormat="1" x14ac:dyDescent="0.25">
      <c r="A37" s="71"/>
      <c r="B37" s="86"/>
      <c r="C37" s="86"/>
      <c r="D37" s="86"/>
      <c r="E37" s="86"/>
      <c r="F37" s="86"/>
      <c r="G37" s="90"/>
    </row>
    <row r="38" spans="1:11" s="65" customFormat="1" x14ac:dyDescent="0.25">
      <c r="A38" s="251" t="s">
        <v>211</v>
      </c>
      <c r="B38" s="252"/>
      <c r="C38" s="252"/>
      <c r="D38" s="252"/>
      <c r="E38" s="252"/>
      <c r="F38" s="252"/>
      <c r="G38" s="253"/>
    </row>
    <row r="39" spans="1:11" s="68" customFormat="1" outlineLevel="1" x14ac:dyDescent="0.25">
      <c r="A39" s="244" t="s">
        <v>212</v>
      </c>
      <c r="B39" s="245"/>
      <c r="C39" s="245"/>
      <c r="D39" s="245"/>
      <c r="E39" s="245"/>
      <c r="F39" s="245"/>
      <c r="G39" s="246"/>
    </row>
    <row r="40" spans="1:11" s="68" customFormat="1" outlineLevel="1" x14ac:dyDescent="0.25">
      <c r="A40" s="235" t="s">
        <v>213</v>
      </c>
      <c r="B40" s="236"/>
      <c r="C40" s="236"/>
      <c r="D40" s="236"/>
      <c r="E40" s="145" t="s">
        <v>214</v>
      </c>
      <c r="F40" s="145" t="s">
        <v>215</v>
      </c>
      <c r="G40" s="146" t="s">
        <v>46</v>
      </c>
    </row>
    <row r="41" spans="1:11" s="65" customFormat="1" outlineLevel="1" x14ac:dyDescent="0.25">
      <c r="A41" s="237" t="s">
        <v>216</v>
      </c>
      <c r="B41" s="238"/>
      <c r="C41" s="147"/>
      <c r="D41" s="147"/>
      <c r="E41" s="148" t="e">
        <f>+C3*1.2</f>
        <v>#REF!</v>
      </c>
      <c r="F41" s="91" t="s">
        <v>217</v>
      </c>
      <c r="G41" s="149" t="e">
        <f>+E41*6.9/1000</f>
        <v>#REF!</v>
      </c>
      <c r="I41" s="92"/>
      <c r="J41" s="92"/>
      <c r="K41" s="92"/>
    </row>
    <row r="42" spans="1:11" s="65" customFormat="1" outlineLevel="1" x14ac:dyDescent="0.25">
      <c r="A42" s="237" t="s">
        <v>218</v>
      </c>
      <c r="B42" s="238"/>
      <c r="C42" s="147"/>
      <c r="D42" s="147"/>
      <c r="E42" s="148" t="e">
        <f>+E41</f>
        <v>#REF!</v>
      </c>
      <c r="F42" s="150" t="s">
        <v>219</v>
      </c>
      <c r="G42" s="149" t="e">
        <f>+E42*4/1000</f>
        <v>#REF!</v>
      </c>
      <c r="I42" s="92"/>
      <c r="J42" s="92"/>
      <c r="K42" s="92"/>
    </row>
    <row r="43" spans="1:11" s="65" customFormat="1" outlineLevel="1" x14ac:dyDescent="0.25">
      <c r="A43" s="237" t="s">
        <v>220</v>
      </c>
      <c r="B43" s="238"/>
      <c r="C43" s="147"/>
      <c r="D43" s="147"/>
      <c r="E43" s="148" t="e">
        <f>+E41</f>
        <v>#REF!</v>
      </c>
      <c r="F43" s="151">
        <v>0.05</v>
      </c>
      <c r="G43" s="149" t="e">
        <f>E43*F43</f>
        <v>#REF!</v>
      </c>
      <c r="I43" s="92"/>
      <c r="J43" s="92"/>
      <c r="K43" s="92"/>
    </row>
    <row r="44" spans="1:11" s="65" customFormat="1" outlineLevel="1" x14ac:dyDescent="0.25">
      <c r="A44" s="237" t="s">
        <v>221</v>
      </c>
      <c r="B44" s="238"/>
      <c r="C44" s="147"/>
      <c r="D44" s="147"/>
      <c r="E44" s="148" t="e">
        <f>+E41</f>
        <v>#REF!</v>
      </c>
      <c r="F44" s="151">
        <v>5.0000000000000001E-3</v>
      </c>
      <c r="G44" s="149" t="e">
        <f>E44*F44</f>
        <v>#REF!</v>
      </c>
      <c r="H44" s="65" t="s">
        <v>222</v>
      </c>
      <c r="I44" s="92"/>
      <c r="J44" s="92"/>
      <c r="K44" s="92"/>
    </row>
    <row r="45" spans="1:11" s="65" customFormat="1" outlineLevel="1" x14ac:dyDescent="0.25">
      <c r="A45" s="239" t="s">
        <v>223</v>
      </c>
      <c r="B45" s="240"/>
      <c r="C45" s="240"/>
      <c r="D45" s="240"/>
      <c r="E45" s="240"/>
      <c r="F45" s="240"/>
      <c r="G45" s="152" t="e">
        <f>ROUND(SUM(G41:G44),0)</f>
        <v>#REF!</v>
      </c>
      <c r="H45" s="92"/>
      <c r="I45" s="92"/>
      <c r="J45" s="92"/>
      <c r="K45" s="92"/>
    </row>
    <row r="46" spans="1:11" s="65" customFormat="1" outlineLevel="1" x14ac:dyDescent="0.25">
      <c r="A46" s="241" t="s">
        <v>224</v>
      </c>
      <c r="B46" s="242"/>
      <c r="C46" s="242"/>
      <c r="D46" s="242"/>
      <c r="E46" s="242"/>
      <c r="F46" s="242"/>
      <c r="G46" s="243"/>
    </row>
    <row r="47" spans="1:11" s="66" customFormat="1" ht="16.5" outlineLevel="1" x14ac:dyDescent="0.25">
      <c r="A47" s="235" t="s">
        <v>213</v>
      </c>
      <c r="B47" s="236"/>
      <c r="C47" s="145" t="s">
        <v>214</v>
      </c>
      <c r="D47" s="145" t="s">
        <v>225</v>
      </c>
      <c r="E47" s="124" t="s">
        <v>226</v>
      </c>
      <c r="F47" s="124" t="s">
        <v>227</v>
      </c>
      <c r="G47" s="146" t="s">
        <v>228</v>
      </c>
    </row>
    <row r="48" spans="1:11" s="65" customFormat="1" outlineLevel="1" x14ac:dyDescent="0.25">
      <c r="A48" s="222" t="s">
        <v>229</v>
      </c>
      <c r="B48" s="223"/>
      <c r="C48" s="148" t="e">
        <f>$E$41</f>
        <v>#REF!</v>
      </c>
      <c r="D48" s="153">
        <v>0.1</v>
      </c>
      <c r="E48" s="154" t="e">
        <f>ROUND(+C48*D48,0)</f>
        <v>#REF!</v>
      </c>
      <c r="F48" s="155">
        <v>3.0000000000000001E-3</v>
      </c>
      <c r="G48" s="156" t="e">
        <f>+E48*F48</f>
        <v>#REF!</v>
      </c>
      <c r="H48" s="93" t="s">
        <v>230</v>
      </c>
    </row>
    <row r="49" spans="1:9" s="65" customFormat="1" outlineLevel="1" x14ac:dyDescent="0.25">
      <c r="A49" s="222" t="s">
        <v>231</v>
      </c>
      <c r="B49" s="223"/>
      <c r="C49" s="148" t="e">
        <f>$E$41</f>
        <v>#REF!</v>
      </c>
      <c r="D49" s="153">
        <v>0.05</v>
      </c>
      <c r="E49" s="154" t="e">
        <f>ROUND(+C49*D49,0)</f>
        <v>#REF!</v>
      </c>
      <c r="F49" s="155">
        <v>5.4999999999999997E-3</v>
      </c>
      <c r="G49" s="156" t="e">
        <f>+E49*1%</f>
        <v>#REF!</v>
      </c>
      <c r="H49" s="65" t="s">
        <v>232</v>
      </c>
    </row>
    <row r="50" spans="1:9" s="65" customFormat="1" outlineLevel="1" x14ac:dyDescent="0.25">
      <c r="A50" s="222" t="s">
        <v>233</v>
      </c>
      <c r="B50" s="223"/>
      <c r="C50" s="148" t="e">
        <f>$E$41</f>
        <v>#REF!</v>
      </c>
      <c r="D50" s="153">
        <v>0.2</v>
      </c>
      <c r="E50" s="154" t="e">
        <f>ROUND(+C50*D50,0)</f>
        <v>#REF!</v>
      </c>
      <c r="F50" s="155">
        <v>7.4999999999999997E-3</v>
      </c>
      <c r="G50" s="156" t="e">
        <f>+E50*1%</f>
        <v>#REF!</v>
      </c>
      <c r="H50" s="65" t="s">
        <v>234</v>
      </c>
    </row>
    <row r="51" spans="1:9" s="65" customFormat="1" outlineLevel="1" x14ac:dyDescent="0.25">
      <c r="A51" s="222" t="s">
        <v>235</v>
      </c>
      <c r="B51" s="223"/>
      <c r="C51" s="148">
        <f>200*H52</f>
        <v>284700000</v>
      </c>
      <c r="D51" s="153" t="s">
        <v>236</v>
      </c>
      <c r="E51" s="154">
        <f>200*H52</f>
        <v>284700000</v>
      </c>
      <c r="F51" s="155">
        <v>5.0000000000000001E-4</v>
      </c>
      <c r="G51" s="156">
        <f>+E51*F51</f>
        <v>142350</v>
      </c>
      <c r="H51" s="65" t="s">
        <v>237</v>
      </c>
    </row>
    <row r="52" spans="1:9" s="65" customFormat="1" outlineLevel="1" x14ac:dyDescent="0.25">
      <c r="A52" s="222" t="s">
        <v>238</v>
      </c>
      <c r="B52" s="223"/>
      <c r="C52" s="148"/>
      <c r="D52" s="153"/>
      <c r="E52" s="154"/>
      <c r="F52" s="155">
        <v>0.19</v>
      </c>
      <c r="G52" s="156" t="e">
        <f>+(G48+G49+G50+G51)*F52</f>
        <v>#REF!</v>
      </c>
      <c r="H52" s="94">
        <v>1423500</v>
      </c>
      <c r="I52" s="65" t="s">
        <v>239</v>
      </c>
    </row>
    <row r="53" spans="1:9" s="65" customFormat="1" outlineLevel="1" x14ac:dyDescent="0.25">
      <c r="A53" s="224" t="s">
        <v>240</v>
      </c>
      <c r="B53" s="225"/>
      <c r="C53" s="225"/>
      <c r="D53" s="225"/>
      <c r="E53" s="225"/>
      <c r="F53" s="225"/>
      <c r="G53" s="152" t="e">
        <f>SUM(G48:G52)</f>
        <v>#REF!</v>
      </c>
    </row>
    <row r="54" spans="1:9" s="65" customFormat="1" outlineLevel="1" x14ac:dyDescent="0.25">
      <c r="A54" s="226" t="s">
        <v>241</v>
      </c>
      <c r="B54" s="227"/>
      <c r="C54" s="227"/>
      <c r="D54" s="227"/>
      <c r="E54" s="227"/>
      <c r="F54" s="228"/>
      <c r="G54" s="152" t="e">
        <f>ROUND(+G45+G53,0)</f>
        <v>#REF!</v>
      </c>
    </row>
    <row r="55" spans="1:9" s="65" customFormat="1" x14ac:dyDescent="0.25">
      <c r="A55" s="229" t="s">
        <v>242</v>
      </c>
      <c r="B55" s="230"/>
      <c r="C55" s="230"/>
      <c r="D55" s="230"/>
      <c r="E55" s="230"/>
      <c r="F55" s="231"/>
      <c r="G55" s="157" t="e">
        <f>+ROUND(G54/C$3,3)</f>
        <v>#REF!</v>
      </c>
    </row>
    <row r="56" spans="1:9" x14ac:dyDescent="0.25">
      <c r="A56" s="71"/>
      <c r="B56" s="86"/>
      <c r="C56" s="95"/>
      <c r="D56" s="96"/>
      <c r="E56" s="97"/>
      <c r="F56" s="97"/>
      <c r="G56" s="98"/>
    </row>
    <row r="57" spans="1:9" x14ac:dyDescent="0.25">
      <c r="A57" s="232" t="s">
        <v>243</v>
      </c>
      <c r="B57" s="233"/>
      <c r="C57" s="233"/>
      <c r="D57" s="233"/>
      <c r="E57" s="233"/>
      <c r="F57" s="234"/>
      <c r="G57" s="89" t="e">
        <f>ROUND(+G36+G55,3)</f>
        <v>#REF!</v>
      </c>
    </row>
    <row r="58" spans="1:9" x14ac:dyDescent="0.25">
      <c r="A58" s="99"/>
      <c r="B58" s="100"/>
      <c r="C58" s="101"/>
      <c r="D58" s="102"/>
      <c r="E58" s="102"/>
      <c r="F58" s="103"/>
      <c r="G58" s="104"/>
    </row>
    <row r="59" spans="1:9" s="69" customFormat="1" x14ac:dyDescent="0.25">
      <c r="A59" s="80" t="s">
        <v>244</v>
      </c>
      <c r="B59" s="81"/>
      <c r="C59" s="105"/>
      <c r="D59" s="106"/>
      <c r="E59" s="106"/>
      <c r="F59" s="107"/>
      <c r="G59" s="89">
        <v>0.03</v>
      </c>
    </row>
    <row r="60" spans="1:9" x14ac:dyDescent="0.25">
      <c r="A60" s="99"/>
      <c r="B60" s="100"/>
      <c r="C60" s="101"/>
      <c r="D60" s="102"/>
      <c r="E60" s="102"/>
      <c r="F60" s="103"/>
      <c r="G60" s="104"/>
    </row>
    <row r="61" spans="1:9" s="69" customFormat="1" x14ac:dyDescent="0.25">
      <c r="A61" s="80" t="s">
        <v>245</v>
      </c>
      <c r="B61" s="81"/>
      <c r="C61" s="105"/>
      <c r="D61" s="106"/>
      <c r="E61" s="106"/>
      <c r="F61" s="107"/>
      <c r="G61" s="89">
        <v>0.05</v>
      </c>
      <c r="H61" s="108"/>
    </row>
    <row r="62" spans="1:9" x14ac:dyDescent="0.25">
      <c r="A62" s="71"/>
      <c r="B62" s="86"/>
      <c r="C62" s="95"/>
      <c r="D62" s="97"/>
      <c r="E62" s="96"/>
      <c r="F62" s="98"/>
      <c r="G62" s="98"/>
    </row>
    <row r="63" spans="1:9" ht="16.5" x14ac:dyDescent="0.25">
      <c r="A63" s="80" t="s">
        <v>246</v>
      </c>
      <c r="B63" s="81"/>
      <c r="C63" s="109"/>
      <c r="D63" s="109"/>
      <c r="E63" s="109"/>
      <c r="F63" s="110" t="s">
        <v>247</v>
      </c>
      <c r="G63" s="89" t="e">
        <f>ROUND(G57+G59+G61,3)</f>
        <v>#REF!</v>
      </c>
      <c r="H63" s="111"/>
      <c r="I63" s="111"/>
    </row>
    <row r="64" spans="1:9" x14ac:dyDescent="0.25">
      <c r="G64" s="111"/>
    </row>
    <row r="65" spans="2:7" x14ac:dyDescent="0.25">
      <c r="G65" s="112"/>
    </row>
    <row r="66" spans="2:7" x14ac:dyDescent="0.25">
      <c r="G66" s="112"/>
    </row>
    <row r="67" spans="2:7" x14ac:dyDescent="0.25">
      <c r="G67" s="112"/>
    </row>
    <row r="68" spans="2:7" x14ac:dyDescent="0.25">
      <c r="D68" s="113"/>
      <c r="G68" s="112"/>
    </row>
    <row r="69" spans="2:7" x14ac:dyDescent="0.25">
      <c r="G69" s="114"/>
    </row>
    <row r="70" spans="2:7" x14ac:dyDescent="0.25">
      <c r="G70" s="112"/>
    </row>
    <row r="71" spans="2:7" x14ac:dyDescent="0.25">
      <c r="B71" s="115"/>
    </row>
  </sheetData>
  <mergeCells count="41">
    <mergeCell ref="A25:B25"/>
    <mergeCell ref="A1:G1"/>
    <mergeCell ref="H2:J2"/>
    <mergeCell ref="A6:G6"/>
    <mergeCell ref="A7:G7"/>
    <mergeCell ref="A8:G8"/>
    <mergeCell ref="A10:B10"/>
    <mergeCell ref="B12:G12"/>
    <mergeCell ref="B14:G14"/>
    <mergeCell ref="A15:B15"/>
    <mergeCell ref="A18:B18"/>
    <mergeCell ref="A23:F23"/>
    <mergeCell ref="A39:G39"/>
    <mergeCell ref="A26:B26"/>
    <mergeCell ref="A27:B27"/>
    <mergeCell ref="A28:B28"/>
    <mergeCell ref="A29:B29"/>
    <mergeCell ref="A30:B30"/>
    <mergeCell ref="A31:B31"/>
    <mergeCell ref="A32:B32"/>
    <mergeCell ref="A33:F33"/>
    <mergeCell ref="A35:F35"/>
    <mergeCell ref="A36:F36"/>
    <mergeCell ref="A38:G38"/>
    <mergeCell ref="A51:B51"/>
    <mergeCell ref="A40:D40"/>
    <mergeCell ref="A41:B41"/>
    <mergeCell ref="A42:B42"/>
    <mergeCell ref="A43:B43"/>
    <mergeCell ref="A44:B44"/>
    <mergeCell ref="A45:F45"/>
    <mergeCell ref="A46:G46"/>
    <mergeCell ref="A47:B47"/>
    <mergeCell ref="A48:B48"/>
    <mergeCell ref="A49:B49"/>
    <mergeCell ref="A50:B50"/>
    <mergeCell ref="A52:B52"/>
    <mergeCell ref="A53:F53"/>
    <mergeCell ref="A54:F54"/>
    <mergeCell ref="A55:F55"/>
    <mergeCell ref="A57:F57"/>
  </mergeCells>
  <hyperlinks>
    <hyperlink ref="H2" r:id="rId1" xr:uid="{C57487DB-DEF1-4D77-BBFA-711C678500EB}"/>
  </hyperlinks>
  <pageMargins left="0.7" right="0.7" top="0.75" bottom="0.75" header="0.3" footer="0.3"/>
  <pageSetup scale="88" orientation="portrait"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FF66C-43C7-440B-A780-63299CAEF554}">
  <dimension ref="B2:H162"/>
  <sheetViews>
    <sheetView topLeftCell="F112" workbookViewId="0">
      <selection activeCell="F112" sqref="F112"/>
    </sheetView>
  </sheetViews>
  <sheetFormatPr baseColWidth="10" defaultColWidth="8.7109375" defaultRowHeight="15" x14ac:dyDescent="0.25"/>
  <cols>
    <col min="2" max="2" width="35.42578125" customWidth="1"/>
    <col min="3" max="3" width="13" customWidth="1"/>
    <col min="4" max="4" width="13.7109375" bestFit="1" customWidth="1"/>
    <col min="5" max="5" width="12.7109375" bestFit="1" customWidth="1"/>
    <col min="6" max="6" width="11.140625" bestFit="1" customWidth="1"/>
    <col min="7" max="7" width="11.28515625" customWidth="1"/>
  </cols>
  <sheetData>
    <row r="2" spans="2:6" x14ac:dyDescent="0.25">
      <c r="C2" t="s">
        <v>248</v>
      </c>
      <c r="D2" t="s">
        <v>249</v>
      </c>
      <c r="E2" t="s">
        <v>250</v>
      </c>
      <c r="F2" t="s">
        <v>251</v>
      </c>
    </row>
    <row r="3" spans="2:6" x14ac:dyDescent="0.25">
      <c r="B3" t="s">
        <v>252</v>
      </c>
      <c r="C3" s="63">
        <f>42856*1.19</f>
        <v>50998.64</v>
      </c>
      <c r="D3" s="63">
        <f>70187*1.19</f>
        <v>83522.53</v>
      </c>
      <c r="E3" s="63">
        <f>68373*1.19</f>
        <v>81363.87</v>
      </c>
      <c r="F3" s="116">
        <f>+(C3+D3+E3)/3</f>
        <v>71961.679999999993</v>
      </c>
    </row>
    <row r="4" spans="2:6" x14ac:dyDescent="0.25">
      <c r="C4" t="s">
        <v>248</v>
      </c>
      <c r="D4" t="s">
        <v>249</v>
      </c>
      <c r="E4" s="63" t="s">
        <v>253</v>
      </c>
      <c r="F4" s="116"/>
    </row>
    <row r="5" spans="2:6" x14ac:dyDescent="0.25">
      <c r="B5" t="s">
        <v>254</v>
      </c>
      <c r="C5" s="63">
        <f>58758.87*1.19</f>
        <v>69923.055300000007</v>
      </c>
      <c r="D5" s="63">
        <f>48298*1.19</f>
        <v>57474.619999999995</v>
      </c>
      <c r="E5" s="63">
        <f>80560*1.19</f>
        <v>95866.4</v>
      </c>
      <c r="F5" s="116">
        <f t="shared" ref="F5:F6" si="0">+(C5+D5+E5)/3</f>
        <v>74421.358433333327</v>
      </c>
    </row>
    <row r="6" spans="2:6" x14ac:dyDescent="0.25">
      <c r="B6" t="s">
        <v>255</v>
      </c>
      <c r="C6" s="63">
        <f>21468*1.19</f>
        <v>25546.92</v>
      </c>
      <c r="D6" s="63">
        <f>27899*1.19</f>
        <v>33199.81</v>
      </c>
      <c r="E6" s="63">
        <f>40350.45*1.19</f>
        <v>48017.035499999991</v>
      </c>
      <c r="F6" s="116">
        <f t="shared" si="0"/>
        <v>35587.921833333327</v>
      </c>
    </row>
    <row r="7" spans="2:6" x14ac:dyDescent="0.25">
      <c r="C7" t="s">
        <v>248</v>
      </c>
      <c r="D7" t="s">
        <v>250</v>
      </c>
      <c r="E7" s="63" t="s">
        <v>253</v>
      </c>
      <c r="F7" s="116"/>
    </row>
    <row r="8" spans="2:6" x14ac:dyDescent="0.25">
      <c r="B8" t="s">
        <v>256</v>
      </c>
      <c r="C8" s="63">
        <f>16485*1.19</f>
        <v>19617.149999999998</v>
      </c>
      <c r="D8" s="63">
        <f>18094*1.19</f>
        <v>21531.86</v>
      </c>
      <c r="E8" s="63">
        <v>25731</v>
      </c>
      <c r="F8" s="116">
        <f>+(C8+D8+E8)/3</f>
        <v>22293.336666666666</v>
      </c>
    </row>
    <row r="9" spans="2:6" x14ac:dyDescent="0.25">
      <c r="C9" s="63" t="s">
        <v>257</v>
      </c>
      <c r="D9" s="63" t="s">
        <v>258</v>
      </c>
      <c r="E9" s="63"/>
      <c r="F9" s="116"/>
    </row>
    <row r="10" spans="2:6" x14ac:dyDescent="0.25">
      <c r="B10" t="s">
        <v>259</v>
      </c>
      <c r="C10" s="63">
        <v>109900</v>
      </c>
      <c r="D10" s="63">
        <v>98500</v>
      </c>
      <c r="E10" s="63">
        <f>97222.5*1.19</f>
        <v>115694.77499999999</v>
      </c>
      <c r="F10" s="116">
        <f>+(C10+D10+E10)/3</f>
        <v>108031.59166666667</v>
      </c>
    </row>
    <row r="11" spans="2:6" x14ac:dyDescent="0.25">
      <c r="C11" s="63" t="s">
        <v>260</v>
      </c>
      <c r="D11" s="63" t="s">
        <v>249</v>
      </c>
      <c r="E11" s="63" t="s">
        <v>253</v>
      </c>
      <c r="F11" s="116"/>
    </row>
    <row r="12" spans="2:6" x14ac:dyDescent="0.25">
      <c r="B12" t="s">
        <v>261</v>
      </c>
      <c r="C12" s="63">
        <f>15000*1.19</f>
        <v>17850</v>
      </c>
      <c r="D12" s="63">
        <f>27580*1.19</f>
        <v>32820.199999999997</v>
      </c>
      <c r="E12" s="63">
        <f>19500*1.19</f>
        <v>23205</v>
      </c>
      <c r="F12" s="116">
        <f>+(C12+D12+E12)/3</f>
        <v>24625.066666666666</v>
      </c>
    </row>
    <row r="13" spans="2:6" x14ac:dyDescent="0.25">
      <c r="C13" s="63"/>
      <c r="D13" s="63"/>
      <c r="E13" s="63"/>
      <c r="F13" s="116"/>
    </row>
    <row r="14" spans="2:6" x14ac:dyDescent="0.25">
      <c r="B14" t="s">
        <v>262</v>
      </c>
      <c r="C14" s="63">
        <f>18000*1.19</f>
        <v>21420</v>
      </c>
      <c r="D14" s="63">
        <f>20325*1.19</f>
        <v>24186.75</v>
      </c>
      <c r="E14" s="63">
        <v>22500</v>
      </c>
      <c r="F14" s="116">
        <f>+(C14+D14+E14)/3</f>
        <v>22702.25</v>
      </c>
    </row>
    <row r="15" spans="2:6" x14ac:dyDescent="0.25">
      <c r="C15" t="s">
        <v>253</v>
      </c>
      <c r="D15" t="s">
        <v>249</v>
      </c>
      <c r="E15" t="s">
        <v>263</v>
      </c>
      <c r="F15" s="116"/>
    </row>
    <row r="16" spans="2:6" x14ac:dyDescent="0.25">
      <c r="B16" s="118" t="s">
        <v>264</v>
      </c>
      <c r="C16" s="63">
        <f>267500*1.19</f>
        <v>318325</v>
      </c>
      <c r="D16" s="63">
        <f>227375*1.19</f>
        <v>270576.25</v>
      </c>
      <c r="E16" s="63">
        <f>234000*1.19*2</f>
        <v>556920</v>
      </c>
      <c r="F16" s="116"/>
    </row>
    <row r="17" spans="2:6" x14ac:dyDescent="0.25">
      <c r="B17" s="118" t="s">
        <v>265</v>
      </c>
      <c r="C17" s="63">
        <f>6500*4*1.19</f>
        <v>30940</v>
      </c>
      <c r="D17" s="63">
        <f>7982*6</f>
        <v>47892</v>
      </c>
      <c r="E17" s="63"/>
      <c r="F17" s="116"/>
    </row>
    <row r="18" spans="2:6" x14ac:dyDescent="0.25">
      <c r="B18" s="118" t="s">
        <v>266</v>
      </c>
      <c r="C18" s="63">
        <f>10875*4*1.19</f>
        <v>51765</v>
      </c>
      <c r="D18" s="63">
        <f>19017*2</f>
        <v>38034</v>
      </c>
      <c r="E18" s="63"/>
      <c r="F18" s="116"/>
    </row>
    <row r="19" spans="2:6" x14ac:dyDescent="0.25">
      <c r="C19" s="63">
        <f>SUM(C16:C18)</f>
        <v>401030</v>
      </c>
      <c r="D19" s="63">
        <f>SUM(D16:D18)</f>
        <v>356502.25</v>
      </c>
      <c r="E19" s="63">
        <f>SUM(E16:E18)</f>
        <v>556920</v>
      </c>
      <c r="F19" s="116">
        <f>+(C19+D19+E19)/3</f>
        <v>438150.75</v>
      </c>
    </row>
    <row r="21" spans="2:6" x14ac:dyDescent="0.25">
      <c r="C21" t="s">
        <v>267</v>
      </c>
      <c r="D21" t="s">
        <v>268</v>
      </c>
      <c r="E21" t="s">
        <v>269</v>
      </c>
    </row>
    <row r="22" spans="2:6" x14ac:dyDescent="0.25">
      <c r="B22" t="s">
        <v>270</v>
      </c>
      <c r="C22" s="63">
        <v>4900</v>
      </c>
      <c r="D22" s="63">
        <v>5502</v>
      </c>
      <c r="E22" s="63">
        <v>5000</v>
      </c>
      <c r="F22" s="116">
        <f>+(C22+D22+E22)/3</f>
        <v>5134</v>
      </c>
    </row>
    <row r="23" spans="2:6" x14ac:dyDescent="0.25">
      <c r="C23" s="63" t="s">
        <v>271</v>
      </c>
      <c r="D23" t="s">
        <v>272</v>
      </c>
      <c r="E23" t="s">
        <v>273</v>
      </c>
    </row>
    <row r="24" spans="2:6" x14ac:dyDescent="0.25">
      <c r="B24" t="s">
        <v>274</v>
      </c>
      <c r="C24" s="63">
        <v>75</v>
      </c>
      <c r="D24" s="63">
        <f>18900/100</f>
        <v>189</v>
      </c>
      <c r="E24" s="63">
        <f>3200/100</f>
        <v>32</v>
      </c>
      <c r="F24" s="116">
        <f>+(C24+D24+E24)/3</f>
        <v>98.666666666666671</v>
      </c>
    </row>
    <row r="25" spans="2:6" x14ac:dyDescent="0.25">
      <c r="C25" t="s">
        <v>275</v>
      </c>
      <c r="D25" t="s">
        <v>276</v>
      </c>
      <c r="E25" t="s">
        <v>277</v>
      </c>
    </row>
    <row r="26" spans="2:6" x14ac:dyDescent="0.25">
      <c r="B26" t="s">
        <v>278</v>
      </c>
      <c r="C26" s="63">
        <v>8900</v>
      </c>
      <c r="D26" s="63">
        <v>10500</v>
      </c>
      <c r="E26" s="63">
        <v>7000</v>
      </c>
      <c r="F26" s="116">
        <f>+(C26+D26+E26)/3</f>
        <v>8800</v>
      </c>
    </row>
    <row r="27" spans="2:6" x14ac:dyDescent="0.25">
      <c r="C27" t="s">
        <v>279</v>
      </c>
      <c r="D27" t="s">
        <v>280</v>
      </c>
      <c r="E27" t="s">
        <v>281</v>
      </c>
    </row>
    <row r="28" spans="2:6" x14ac:dyDescent="0.25">
      <c r="B28" t="s">
        <v>282</v>
      </c>
      <c r="C28" s="63">
        <v>34900</v>
      </c>
      <c r="D28" s="63">
        <v>33100</v>
      </c>
      <c r="E28" s="63">
        <v>33000</v>
      </c>
      <c r="F28" s="116">
        <f>+(C28+D28+E28)/3</f>
        <v>33666.666666666664</v>
      </c>
    </row>
    <row r="29" spans="2:6" x14ac:dyDescent="0.25">
      <c r="C29" t="s">
        <v>283</v>
      </c>
      <c r="D29" t="s">
        <v>284</v>
      </c>
      <c r="E29" t="s">
        <v>285</v>
      </c>
    </row>
    <row r="30" spans="2:6" x14ac:dyDescent="0.25">
      <c r="B30" t="s">
        <v>286</v>
      </c>
      <c r="C30" s="63">
        <v>22443</v>
      </c>
      <c r="D30" s="63">
        <v>30622</v>
      </c>
      <c r="E30" s="63">
        <f>9180*1.19</f>
        <v>10924.199999999999</v>
      </c>
      <c r="F30" s="116">
        <f>+(C30+D30+E30)/3</f>
        <v>21329.733333333334</v>
      </c>
    </row>
    <row r="31" spans="2:6" x14ac:dyDescent="0.25">
      <c r="C31" t="s">
        <v>287</v>
      </c>
      <c r="D31" t="s">
        <v>288</v>
      </c>
      <c r="E31" t="s">
        <v>289</v>
      </c>
    </row>
    <row r="32" spans="2:6" x14ac:dyDescent="0.25">
      <c r="B32" t="s">
        <v>290</v>
      </c>
      <c r="C32" s="63">
        <v>1340</v>
      </c>
      <c r="D32" s="63">
        <v>1100</v>
      </c>
      <c r="E32" s="63">
        <f>700*1.19</f>
        <v>833</v>
      </c>
      <c r="F32" s="116">
        <f>+(C32+D32+E32)/3</f>
        <v>1091</v>
      </c>
    </row>
    <row r="33" spans="2:6" x14ac:dyDescent="0.25">
      <c r="C33" t="s">
        <v>291</v>
      </c>
    </row>
    <row r="34" spans="2:6" x14ac:dyDescent="0.25">
      <c r="B34" t="s">
        <v>292</v>
      </c>
      <c r="C34" s="63">
        <v>45000</v>
      </c>
      <c r="D34" s="63">
        <v>45000</v>
      </c>
      <c r="E34" s="63">
        <v>60000</v>
      </c>
      <c r="F34" s="116">
        <f>+(C34+D34+E34)/3</f>
        <v>50000</v>
      </c>
    </row>
    <row r="35" spans="2:6" x14ac:dyDescent="0.25">
      <c r="C35" t="s">
        <v>293</v>
      </c>
      <c r="D35" t="s">
        <v>294</v>
      </c>
      <c r="E35" t="s">
        <v>295</v>
      </c>
    </row>
    <row r="36" spans="2:6" x14ac:dyDescent="0.25">
      <c r="B36" t="s">
        <v>296</v>
      </c>
      <c r="C36" s="63">
        <v>6000</v>
      </c>
      <c r="D36" s="63">
        <v>8833.3333333333339</v>
      </c>
      <c r="E36" s="63">
        <v>5300</v>
      </c>
      <c r="F36" s="116">
        <f>+(C36+D36+E36)/3</f>
        <v>6711.1111111111122</v>
      </c>
    </row>
    <row r="37" spans="2:6" x14ac:dyDescent="0.25">
      <c r="C37" s="63" t="s">
        <v>297</v>
      </c>
      <c r="D37" s="63" t="s">
        <v>298</v>
      </c>
      <c r="E37" t="s">
        <v>295</v>
      </c>
    </row>
    <row r="38" spans="2:6" x14ac:dyDescent="0.25">
      <c r="B38" t="s">
        <v>299</v>
      </c>
      <c r="C38" s="63">
        <v>900</v>
      </c>
      <c r="D38" s="63">
        <v>2490</v>
      </c>
      <c r="E38" s="63">
        <v>1500</v>
      </c>
      <c r="F38" s="116">
        <f>+(C38+D38+E38)/3</f>
        <v>1630</v>
      </c>
    </row>
    <row r="39" spans="2:6" x14ac:dyDescent="0.25">
      <c r="C39" s="63" t="s">
        <v>297</v>
      </c>
      <c r="D39" s="63" t="s">
        <v>300</v>
      </c>
      <c r="E39" t="s">
        <v>295</v>
      </c>
    </row>
    <row r="40" spans="2:6" x14ac:dyDescent="0.25">
      <c r="B40" t="s">
        <v>301</v>
      </c>
      <c r="C40" s="63">
        <v>1100</v>
      </c>
      <c r="D40" s="63">
        <v>3000</v>
      </c>
      <c r="E40" s="63">
        <v>1200</v>
      </c>
      <c r="F40" s="116">
        <f>+(C40+D40+E40)/3</f>
        <v>1766.6666666666667</v>
      </c>
    </row>
    <row r="41" spans="2:6" x14ac:dyDescent="0.25">
      <c r="C41" s="63" t="s">
        <v>297</v>
      </c>
      <c r="D41" s="63" t="s">
        <v>300</v>
      </c>
      <c r="E41" t="s">
        <v>295</v>
      </c>
    </row>
    <row r="42" spans="2:6" x14ac:dyDescent="0.25">
      <c r="B42" t="s">
        <v>302</v>
      </c>
      <c r="C42" s="63">
        <v>1000</v>
      </c>
      <c r="D42" s="63">
        <v>962</v>
      </c>
      <c r="E42" s="63">
        <v>1700</v>
      </c>
      <c r="F42" s="116">
        <f>+(C42+D42+E42)/3</f>
        <v>1220.6666666666667</v>
      </c>
    </row>
    <row r="43" spans="2:6" x14ac:dyDescent="0.25">
      <c r="C43" t="s">
        <v>303</v>
      </c>
      <c r="D43" s="63" t="s">
        <v>300</v>
      </c>
      <c r="E43" t="s">
        <v>304</v>
      </c>
    </row>
    <row r="44" spans="2:6" x14ac:dyDescent="0.25">
      <c r="B44" t="s">
        <v>305</v>
      </c>
      <c r="C44" s="63">
        <f>37590/3</f>
        <v>12530</v>
      </c>
      <c r="D44" s="63">
        <f>38500/3</f>
        <v>12833.333333333334</v>
      </c>
      <c r="E44" s="63">
        <v>8966.6666666666661</v>
      </c>
      <c r="F44" s="116">
        <f>+(C44+D44+E44)/3</f>
        <v>11443.333333333334</v>
      </c>
    </row>
    <row r="45" spans="2:6" x14ac:dyDescent="0.25">
      <c r="C45" s="63" t="s">
        <v>297</v>
      </c>
      <c r="D45" s="63" t="s">
        <v>300</v>
      </c>
      <c r="E45" t="s">
        <v>304</v>
      </c>
    </row>
    <row r="46" spans="2:6" x14ac:dyDescent="0.25">
      <c r="B46" t="s">
        <v>306</v>
      </c>
      <c r="C46" s="63">
        <v>1150</v>
      </c>
      <c r="D46" s="63">
        <v>1449</v>
      </c>
      <c r="E46" s="63">
        <v>2200</v>
      </c>
      <c r="F46" s="116">
        <f>+(C46+D46+E46)/3</f>
        <v>1599.6666666666667</v>
      </c>
    </row>
    <row r="47" spans="2:6" x14ac:dyDescent="0.25">
      <c r="C47" s="63" t="s">
        <v>297</v>
      </c>
      <c r="D47" s="63" t="s">
        <v>307</v>
      </c>
      <c r="E47" t="s">
        <v>304</v>
      </c>
    </row>
    <row r="48" spans="2:6" x14ac:dyDescent="0.25">
      <c r="B48" t="s">
        <v>308</v>
      </c>
      <c r="C48" s="63">
        <v>1800</v>
      </c>
      <c r="D48" s="63">
        <v>1799</v>
      </c>
      <c r="E48" s="63">
        <v>2800</v>
      </c>
      <c r="F48" s="116">
        <f>+(C48+D48+E48)/3</f>
        <v>2133</v>
      </c>
    </row>
    <row r="49" spans="2:6" x14ac:dyDescent="0.25">
      <c r="C49" s="63" t="s">
        <v>297</v>
      </c>
      <c r="D49" s="63" t="s">
        <v>300</v>
      </c>
      <c r="E49" t="s">
        <v>304</v>
      </c>
    </row>
    <row r="50" spans="2:6" x14ac:dyDescent="0.25">
      <c r="B50" t="s">
        <v>309</v>
      </c>
      <c r="C50" s="63">
        <v>1150</v>
      </c>
      <c r="D50" s="63">
        <v>2200</v>
      </c>
      <c r="E50" s="63">
        <v>2200</v>
      </c>
      <c r="F50" s="116">
        <f>+(C50+D50+E50)/3</f>
        <v>1850</v>
      </c>
    </row>
    <row r="51" spans="2:6" x14ac:dyDescent="0.25">
      <c r="C51" t="s">
        <v>310</v>
      </c>
      <c r="D51" s="63" t="s">
        <v>294</v>
      </c>
      <c r="E51" t="s">
        <v>295</v>
      </c>
    </row>
    <row r="52" spans="2:6" x14ac:dyDescent="0.25">
      <c r="B52" t="s">
        <v>311</v>
      </c>
      <c r="C52" s="63">
        <f>45389/3</f>
        <v>15129.666666666666</v>
      </c>
      <c r="D52" s="63">
        <f>55000/3</f>
        <v>18333.333333333332</v>
      </c>
      <c r="E52" s="63">
        <f>36900*1.19/3</f>
        <v>14637</v>
      </c>
      <c r="F52" s="116">
        <f>+(C52+D52+E52)/3</f>
        <v>16033.333333333334</v>
      </c>
    </row>
    <row r="53" spans="2:6" x14ac:dyDescent="0.25">
      <c r="C53" s="63" t="s">
        <v>297</v>
      </c>
      <c r="D53" s="63" t="s">
        <v>300</v>
      </c>
      <c r="E53" t="s">
        <v>295</v>
      </c>
    </row>
    <row r="54" spans="2:6" x14ac:dyDescent="0.25">
      <c r="B54" t="s">
        <v>312</v>
      </c>
      <c r="C54" s="63">
        <v>1150</v>
      </c>
      <c r="D54" s="63">
        <v>4490</v>
      </c>
      <c r="E54" s="63">
        <v>3500</v>
      </c>
      <c r="F54" s="116">
        <f>+(C54+D54+E54)/3</f>
        <v>3046.6666666666665</v>
      </c>
    </row>
    <row r="55" spans="2:6" x14ac:dyDescent="0.25">
      <c r="C55" s="63" t="s">
        <v>297</v>
      </c>
      <c r="D55" s="63" t="s">
        <v>300</v>
      </c>
      <c r="E55" t="s">
        <v>295</v>
      </c>
    </row>
    <row r="56" spans="2:6" x14ac:dyDescent="0.25">
      <c r="B56" t="s">
        <v>313</v>
      </c>
      <c r="C56" s="63">
        <v>3150</v>
      </c>
      <c r="D56" s="63">
        <v>4500</v>
      </c>
      <c r="E56" s="63">
        <v>4000</v>
      </c>
      <c r="F56" s="116">
        <f>+(C56+D56+E56)/3</f>
        <v>3883.3333333333335</v>
      </c>
    </row>
    <row r="57" spans="2:6" x14ac:dyDescent="0.25">
      <c r="C57" s="63" t="s">
        <v>297</v>
      </c>
      <c r="D57" s="63" t="s">
        <v>300</v>
      </c>
      <c r="E57" t="s">
        <v>295</v>
      </c>
    </row>
    <row r="58" spans="2:6" x14ac:dyDescent="0.25">
      <c r="B58" t="s">
        <v>314</v>
      </c>
      <c r="C58" s="63">
        <v>1500</v>
      </c>
      <c r="D58" s="63">
        <v>2500</v>
      </c>
      <c r="E58" s="63">
        <v>3500</v>
      </c>
      <c r="F58" s="116">
        <f>+(C58+D58+E58)/3</f>
        <v>2500</v>
      </c>
    </row>
    <row r="59" spans="2:6" x14ac:dyDescent="0.25">
      <c r="C59" t="s">
        <v>315</v>
      </c>
      <c r="D59" t="s">
        <v>316</v>
      </c>
      <c r="E59" t="s">
        <v>317</v>
      </c>
    </row>
    <row r="60" spans="2:6" x14ac:dyDescent="0.25">
      <c r="B60" t="s">
        <v>318</v>
      </c>
      <c r="C60" s="63">
        <f>340630/100</f>
        <v>3406.3</v>
      </c>
      <c r="D60" s="63">
        <f>142500/50</f>
        <v>2850</v>
      </c>
      <c r="E60" s="63">
        <v>3505</v>
      </c>
      <c r="F60" s="116">
        <f>+(C60+D60+E60)/3</f>
        <v>3253.7666666666664</v>
      </c>
    </row>
    <row r="61" spans="2:6" x14ac:dyDescent="0.25">
      <c r="C61" t="s">
        <v>319</v>
      </c>
      <c r="D61" t="s">
        <v>320</v>
      </c>
      <c r="E61" t="s">
        <v>321</v>
      </c>
    </row>
    <row r="62" spans="2:6" x14ac:dyDescent="0.25">
      <c r="B62" t="s">
        <v>322</v>
      </c>
      <c r="C62" s="63">
        <v>8490</v>
      </c>
      <c r="D62" s="63">
        <v>11757</v>
      </c>
      <c r="E62" s="63">
        <v>10321</v>
      </c>
      <c r="F62" s="116">
        <f>+(C62+D62+E62)/3</f>
        <v>10189.333333333334</v>
      </c>
    </row>
    <row r="63" spans="2:6" x14ac:dyDescent="0.25">
      <c r="C63" t="s">
        <v>323</v>
      </c>
      <c r="D63" t="s">
        <v>324</v>
      </c>
      <c r="E63" t="s">
        <v>325</v>
      </c>
    </row>
    <row r="64" spans="2:6" x14ac:dyDescent="0.25">
      <c r="B64" t="s">
        <v>326</v>
      </c>
      <c r="C64" s="63">
        <v>300</v>
      </c>
      <c r="D64" s="63">
        <v>232</v>
      </c>
      <c r="E64" s="63">
        <v>910</v>
      </c>
      <c r="F64" s="116">
        <f>+(C64+D64+E64)/3</f>
        <v>480.66666666666669</v>
      </c>
    </row>
    <row r="65" spans="2:8" x14ac:dyDescent="0.25">
      <c r="C65" t="s">
        <v>327</v>
      </c>
      <c r="D65" t="s">
        <v>328</v>
      </c>
      <c r="E65" t="s">
        <v>329</v>
      </c>
    </row>
    <row r="66" spans="2:8" x14ac:dyDescent="0.25">
      <c r="B66" t="s">
        <v>330</v>
      </c>
      <c r="C66" s="63">
        <v>13091</v>
      </c>
      <c r="D66" s="63">
        <v>11800</v>
      </c>
      <c r="E66" s="63">
        <v>11900</v>
      </c>
      <c r="F66" s="116">
        <f>+(C66+D66+E66)/3</f>
        <v>12263.666666666666</v>
      </c>
    </row>
    <row r="67" spans="2:8" x14ac:dyDescent="0.25">
      <c r="C67" t="s">
        <v>331</v>
      </c>
      <c r="D67" t="s">
        <v>332</v>
      </c>
      <c r="E67" t="s">
        <v>333</v>
      </c>
    </row>
    <row r="68" spans="2:8" x14ac:dyDescent="0.25">
      <c r="B68" t="s">
        <v>334</v>
      </c>
      <c r="C68" s="63">
        <v>5966.666666666667</v>
      </c>
      <c r="D68" s="63">
        <f>7500/1.5</f>
        <v>5000</v>
      </c>
      <c r="E68" s="63">
        <v>4500</v>
      </c>
      <c r="F68" s="116">
        <f>+(C68+D68+E68)/3</f>
        <v>5155.5555555555557</v>
      </c>
      <c r="G68" s="63"/>
      <c r="H68" s="63"/>
    </row>
    <row r="69" spans="2:8" x14ac:dyDescent="0.25">
      <c r="C69" s="63" t="s">
        <v>335</v>
      </c>
      <c r="D69" s="63" t="s">
        <v>336</v>
      </c>
      <c r="E69" s="63" t="s">
        <v>337</v>
      </c>
      <c r="F69" s="63"/>
      <c r="G69" s="63"/>
      <c r="H69" s="63"/>
    </row>
    <row r="70" spans="2:8" x14ac:dyDescent="0.25">
      <c r="B70" t="s">
        <v>338</v>
      </c>
      <c r="C70" s="63">
        <v>5250</v>
      </c>
      <c r="D70" s="63">
        <v>8000</v>
      </c>
      <c r="E70" s="63">
        <v>5900</v>
      </c>
      <c r="F70" s="116">
        <f>+(C70+D70+E70)/3</f>
        <v>6383.333333333333</v>
      </c>
      <c r="G70" s="63"/>
      <c r="H70" s="63"/>
    </row>
    <row r="71" spans="2:8" x14ac:dyDescent="0.25">
      <c r="C71" s="63" t="s">
        <v>335</v>
      </c>
      <c r="D71" s="63" t="s">
        <v>339</v>
      </c>
      <c r="E71" s="63" t="s">
        <v>340</v>
      </c>
      <c r="F71" s="63"/>
      <c r="G71" s="63"/>
      <c r="H71" s="63"/>
    </row>
    <row r="72" spans="2:8" x14ac:dyDescent="0.25">
      <c r="B72" t="s">
        <v>341</v>
      </c>
      <c r="C72" s="63">
        <v>5250</v>
      </c>
      <c r="D72" s="63">
        <v>7850</v>
      </c>
      <c r="E72" s="63">
        <v>5900</v>
      </c>
      <c r="F72" s="116">
        <f>+(C72+D72+E72)/3</f>
        <v>6333.333333333333</v>
      </c>
      <c r="G72" s="63"/>
      <c r="H72" s="63"/>
    </row>
    <row r="73" spans="2:8" x14ac:dyDescent="0.25">
      <c r="C73" s="63" t="s">
        <v>342</v>
      </c>
      <c r="D73" s="63" t="s">
        <v>343</v>
      </c>
      <c r="E73" s="63" t="s">
        <v>344</v>
      </c>
      <c r="F73" s="63"/>
      <c r="G73" s="63"/>
      <c r="H73" s="63"/>
    </row>
    <row r="74" spans="2:8" x14ac:dyDescent="0.25">
      <c r="B74" t="s">
        <v>345</v>
      </c>
      <c r="C74" s="63">
        <v>12590</v>
      </c>
      <c r="D74" s="63">
        <v>15000</v>
      </c>
      <c r="E74" s="63">
        <f>134730/10</f>
        <v>13473</v>
      </c>
      <c r="F74" s="116">
        <f>+(C74+D74+E74)/3</f>
        <v>13687.666666666666</v>
      </c>
      <c r="G74" s="63"/>
      <c r="H74" s="63"/>
    </row>
    <row r="75" spans="2:8" x14ac:dyDescent="0.25">
      <c r="C75" s="63" t="s">
        <v>346</v>
      </c>
      <c r="D75" s="63"/>
      <c r="E75" s="63" t="s">
        <v>347</v>
      </c>
      <c r="F75" s="63"/>
      <c r="G75" s="63"/>
      <c r="H75" s="63"/>
    </row>
    <row r="76" spans="2:8" x14ac:dyDescent="0.25">
      <c r="B76" t="s">
        <v>348</v>
      </c>
      <c r="C76" s="63">
        <v>1349</v>
      </c>
      <c r="D76" s="63">
        <v>1200</v>
      </c>
      <c r="E76" s="63">
        <v>2554</v>
      </c>
      <c r="F76" s="116">
        <f>+(C76+D76+E76)/3</f>
        <v>1701</v>
      </c>
      <c r="G76" s="63"/>
      <c r="H76" s="63"/>
    </row>
    <row r="77" spans="2:8" x14ac:dyDescent="0.25">
      <c r="C77" s="63" t="s">
        <v>349</v>
      </c>
      <c r="D77" s="63" t="s">
        <v>350</v>
      </c>
      <c r="E77" s="63" t="s">
        <v>351</v>
      </c>
      <c r="F77" s="63"/>
      <c r="G77" s="63"/>
      <c r="H77" s="63"/>
    </row>
    <row r="78" spans="2:8" x14ac:dyDescent="0.25">
      <c r="B78" t="s">
        <v>352</v>
      </c>
      <c r="C78" s="63">
        <v>44200</v>
      </c>
      <c r="D78" s="63">
        <v>40084</v>
      </c>
      <c r="E78" s="63">
        <v>44200</v>
      </c>
      <c r="F78" s="116">
        <f>+(C78+D78+E78)/3</f>
        <v>42828</v>
      </c>
      <c r="G78" s="63"/>
      <c r="H78" s="63"/>
    </row>
    <row r="79" spans="2:8" x14ac:dyDescent="0.25">
      <c r="C79" s="63" t="s">
        <v>353</v>
      </c>
      <c r="D79" s="63" t="s">
        <v>354</v>
      </c>
      <c r="E79" s="63" t="s">
        <v>355</v>
      </c>
      <c r="F79" s="63"/>
      <c r="G79" s="63"/>
      <c r="H79" s="63"/>
    </row>
    <row r="80" spans="2:8" x14ac:dyDescent="0.25">
      <c r="B80" t="s">
        <v>356</v>
      </c>
      <c r="C80" s="63">
        <v>45900</v>
      </c>
      <c r="D80" s="63">
        <v>31199</v>
      </c>
      <c r="E80" s="63">
        <v>52900</v>
      </c>
      <c r="F80" s="116">
        <f>+(C80+D80+E80)/3</f>
        <v>43333</v>
      </c>
      <c r="G80" s="63"/>
      <c r="H80" s="63"/>
    </row>
    <row r="81" spans="2:8" x14ac:dyDescent="0.25">
      <c r="C81" s="63" t="s">
        <v>357</v>
      </c>
      <c r="D81" s="63" t="s">
        <v>358</v>
      </c>
      <c r="E81" s="63" t="s">
        <v>359</v>
      </c>
      <c r="F81" s="63"/>
      <c r="G81" s="63"/>
      <c r="H81" s="63"/>
    </row>
    <row r="82" spans="2:8" x14ac:dyDescent="0.25">
      <c r="B82" t="s">
        <v>360</v>
      </c>
      <c r="C82" s="63">
        <v>16334</v>
      </c>
      <c r="D82" s="63">
        <v>8116.666666666667</v>
      </c>
      <c r="E82" s="63">
        <f>39500/3</f>
        <v>13166.666666666666</v>
      </c>
      <c r="F82" s="116">
        <f>+(C82+D82+E82)/3</f>
        <v>12539.111111111111</v>
      </c>
      <c r="G82" s="63"/>
      <c r="H82" s="63"/>
    </row>
    <row r="83" spans="2:8" x14ac:dyDescent="0.25">
      <c r="C83" s="63" t="s">
        <v>361</v>
      </c>
      <c r="D83" s="63" t="s">
        <v>362</v>
      </c>
      <c r="E83" s="63" t="s">
        <v>363</v>
      </c>
      <c r="F83" s="63"/>
      <c r="G83" s="63"/>
      <c r="H83" s="63"/>
    </row>
    <row r="84" spans="2:8" x14ac:dyDescent="0.25">
      <c r="B84" t="s">
        <v>364</v>
      </c>
      <c r="C84" s="63">
        <v>900</v>
      </c>
      <c r="D84" s="63">
        <v>1479</v>
      </c>
      <c r="E84" s="63">
        <f>88990/75</f>
        <v>1186.5333333333333</v>
      </c>
      <c r="F84" s="116">
        <f>+(C84+D84+E84)/3</f>
        <v>1188.5111111111112</v>
      </c>
      <c r="G84" s="63"/>
      <c r="H84" s="63"/>
    </row>
    <row r="85" spans="2:8" x14ac:dyDescent="0.25">
      <c r="C85" s="63" t="s">
        <v>365</v>
      </c>
      <c r="D85" s="63" t="s">
        <v>366</v>
      </c>
      <c r="E85" s="63" t="s">
        <v>367</v>
      </c>
      <c r="F85" s="63"/>
      <c r="G85" s="63"/>
      <c r="H85" s="63"/>
    </row>
    <row r="86" spans="2:8" x14ac:dyDescent="0.25">
      <c r="B86" t="s">
        <v>368</v>
      </c>
      <c r="C86" s="63">
        <v>259</v>
      </c>
      <c r="D86" s="63">
        <v>650</v>
      </c>
      <c r="E86" s="63">
        <v>850</v>
      </c>
      <c r="F86" s="116">
        <f>+(C86+D86+E86)/3</f>
        <v>586.33333333333337</v>
      </c>
      <c r="G86" s="63"/>
      <c r="H86" s="63"/>
    </row>
    <row r="87" spans="2:8" x14ac:dyDescent="0.25">
      <c r="C87" s="63" t="s">
        <v>369</v>
      </c>
      <c r="D87" s="63" t="s">
        <v>370</v>
      </c>
      <c r="E87" s="63" t="s">
        <v>371</v>
      </c>
      <c r="F87" s="63"/>
      <c r="G87" s="63"/>
      <c r="H87" s="63"/>
    </row>
    <row r="88" spans="2:8" x14ac:dyDescent="0.25">
      <c r="B88" t="s">
        <v>372</v>
      </c>
      <c r="C88" s="63">
        <v>1050</v>
      </c>
      <c r="D88" s="63">
        <v>1800</v>
      </c>
      <c r="E88" s="63">
        <v>2305</v>
      </c>
      <c r="F88" s="116">
        <f>+(C88+D88+E88)/3</f>
        <v>1718.3333333333333</v>
      </c>
      <c r="G88" s="63"/>
      <c r="H88" s="63"/>
    </row>
    <row r="89" spans="2:8" x14ac:dyDescent="0.25">
      <c r="C89" s="63" t="s">
        <v>373</v>
      </c>
      <c r="D89" s="63" t="s">
        <v>374</v>
      </c>
      <c r="E89" s="63" t="s">
        <v>371</v>
      </c>
      <c r="F89" s="63"/>
      <c r="G89" s="63"/>
      <c r="H89" s="63"/>
    </row>
    <row r="90" spans="2:8" x14ac:dyDescent="0.25">
      <c r="B90" t="s">
        <v>375</v>
      </c>
      <c r="C90" s="63">
        <v>850</v>
      </c>
      <c r="D90" s="63">
        <v>817</v>
      </c>
      <c r="E90" s="63">
        <v>1172</v>
      </c>
      <c r="F90" s="116">
        <f>+(C90+D90+E90)/3</f>
        <v>946.33333333333337</v>
      </c>
      <c r="G90" s="63"/>
      <c r="H90" s="63"/>
    </row>
    <row r="91" spans="2:8" x14ac:dyDescent="0.25">
      <c r="C91" s="63" t="s">
        <v>376</v>
      </c>
      <c r="D91" s="63" t="s">
        <v>377</v>
      </c>
      <c r="E91" s="63" t="s">
        <v>378</v>
      </c>
      <c r="F91" s="63"/>
      <c r="G91" s="63"/>
      <c r="H91" s="63"/>
    </row>
    <row r="92" spans="2:8" x14ac:dyDescent="0.25">
      <c r="B92" t="s">
        <v>379</v>
      </c>
      <c r="C92" s="63">
        <v>600</v>
      </c>
      <c r="D92" s="63">
        <v>894</v>
      </c>
      <c r="E92" s="63">
        <v>1764</v>
      </c>
      <c r="F92" s="116">
        <f>+(C92+D92+E92)/3</f>
        <v>1086</v>
      </c>
      <c r="G92" s="63"/>
      <c r="H92" s="63"/>
    </row>
    <row r="93" spans="2:8" x14ac:dyDescent="0.25">
      <c r="C93" s="63" t="s">
        <v>380</v>
      </c>
      <c r="D93" s="63" t="s">
        <v>381</v>
      </c>
      <c r="E93" s="63" t="s">
        <v>382</v>
      </c>
      <c r="F93" s="63"/>
      <c r="G93" s="63"/>
      <c r="H93" s="63"/>
    </row>
    <row r="94" spans="2:8" x14ac:dyDescent="0.25">
      <c r="B94" t="s">
        <v>383</v>
      </c>
      <c r="C94" s="63">
        <f>64900/3</f>
        <v>21633.333333333332</v>
      </c>
      <c r="D94" s="63">
        <f>78800/3</f>
        <v>26266.666666666668</v>
      </c>
      <c r="E94" s="63">
        <f>64739/3</f>
        <v>21579.666666666668</v>
      </c>
      <c r="F94" s="116">
        <f>+(C94+D94+E94)/3</f>
        <v>23159.888888888891</v>
      </c>
      <c r="G94" s="63"/>
      <c r="H94" s="63"/>
    </row>
    <row r="95" spans="2:8" x14ac:dyDescent="0.25">
      <c r="C95" s="63" t="s">
        <v>384</v>
      </c>
      <c r="D95" s="63" t="s">
        <v>385</v>
      </c>
      <c r="E95" t="s">
        <v>386</v>
      </c>
      <c r="F95" s="63"/>
      <c r="G95" s="63"/>
      <c r="H95" s="63"/>
    </row>
    <row r="96" spans="2:8" x14ac:dyDescent="0.25">
      <c r="B96" t="s">
        <v>387</v>
      </c>
      <c r="C96" s="63">
        <v>20500</v>
      </c>
      <c r="D96" s="63">
        <v>12500</v>
      </c>
      <c r="E96" s="63">
        <v>12400</v>
      </c>
      <c r="F96" s="116">
        <f>+(C96+D96+E96)/3</f>
        <v>15133.333333333334</v>
      </c>
      <c r="G96" s="63"/>
      <c r="H96" s="63"/>
    </row>
    <row r="97" spans="2:8" x14ac:dyDescent="0.25">
      <c r="C97" s="63" t="s">
        <v>388</v>
      </c>
      <c r="D97" s="63" t="s">
        <v>389</v>
      </c>
      <c r="E97" s="63" t="s">
        <v>390</v>
      </c>
      <c r="F97" s="63"/>
      <c r="G97" s="63"/>
      <c r="H97" s="63"/>
    </row>
    <row r="98" spans="2:8" x14ac:dyDescent="0.25">
      <c r="B98" t="s">
        <v>391</v>
      </c>
      <c r="C98" s="63">
        <v>16900</v>
      </c>
      <c r="D98" s="63">
        <v>9900</v>
      </c>
      <c r="E98" s="63">
        <f>8994*1.19</f>
        <v>10702.859999999999</v>
      </c>
      <c r="F98" s="116">
        <f>+(C98+D98+E98)/3</f>
        <v>12500.953333333333</v>
      </c>
      <c r="G98" s="63"/>
      <c r="H98" s="63"/>
    </row>
    <row r="99" spans="2:8" x14ac:dyDescent="0.25">
      <c r="C99" s="63" t="s">
        <v>392</v>
      </c>
      <c r="D99" s="63" t="s">
        <v>393</v>
      </c>
      <c r="E99" s="63" t="s">
        <v>394</v>
      </c>
      <c r="F99" s="63"/>
      <c r="G99" s="63"/>
      <c r="H99" s="63"/>
    </row>
    <row r="100" spans="2:8" x14ac:dyDescent="0.25">
      <c r="B100" t="s">
        <v>395</v>
      </c>
      <c r="C100" s="63">
        <v>7000</v>
      </c>
      <c r="D100" s="63">
        <v>7506</v>
      </c>
      <c r="E100" s="63">
        <v>8806</v>
      </c>
      <c r="F100" s="116">
        <f>+(C100+D100+E100)/3</f>
        <v>7770.666666666667</v>
      </c>
      <c r="G100" s="63"/>
      <c r="H100" s="63"/>
    </row>
    <row r="101" spans="2:8" x14ac:dyDescent="0.25">
      <c r="C101" s="63" t="s">
        <v>396</v>
      </c>
      <c r="D101" s="63" t="s">
        <v>397</v>
      </c>
      <c r="E101" s="63"/>
      <c r="F101" s="63"/>
      <c r="G101" s="63"/>
      <c r="H101" s="63"/>
    </row>
    <row r="102" spans="2:8" x14ac:dyDescent="0.25">
      <c r="B102" t="s">
        <v>398</v>
      </c>
      <c r="C102" s="63">
        <v>1000</v>
      </c>
      <c r="D102" s="63">
        <v>1150</v>
      </c>
      <c r="E102" s="63">
        <v>1402</v>
      </c>
      <c r="F102" s="116">
        <f>+(C102+D102+E102)/3</f>
        <v>1184</v>
      </c>
      <c r="G102" s="63"/>
      <c r="H102" s="63"/>
    </row>
    <row r="103" spans="2:8" x14ac:dyDescent="0.25">
      <c r="C103" s="63" t="s">
        <v>399</v>
      </c>
      <c r="D103" s="63" t="s">
        <v>400</v>
      </c>
      <c r="E103" s="63" t="s">
        <v>401</v>
      </c>
      <c r="F103" s="63"/>
      <c r="G103" s="63"/>
      <c r="H103" s="63"/>
    </row>
    <row r="104" spans="2:8" x14ac:dyDescent="0.25">
      <c r="B104" t="s">
        <v>402</v>
      </c>
      <c r="C104" s="63">
        <f>61350/2.4</f>
        <v>25562.5</v>
      </c>
      <c r="D104" s="63">
        <f>72799/2.4</f>
        <v>30332.916666666668</v>
      </c>
      <c r="E104" s="63">
        <f>59997/2.4</f>
        <v>24998.75</v>
      </c>
      <c r="F104" s="116">
        <f>+(C104+D104+E104)/3</f>
        <v>26964.722222222223</v>
      </c>
      <c r="G104" s="63"/>
      <c r="H104" s="63"/>
    </row>
    <row r="105" spans="2:8" x14ac:dyDescent="0.25">
      <c r="C105" s="63" t="s">
        <v>403</v>
      </c>
      <c r="D105" s="63" t="s">
        <v>404</v>
      </c>
      <c r="E105" s="63" t="s">
        <v>405</v>
      </c>
      <c r="F105" s="63"/>
      <c r="G105" s="63"/>
      <c r="H105" s="63"/>
    </row>
    <row r="106" spans="2:8" x14ac:dyDescent="0.25">
      <c r="B106" t="s">
        <v>406</v>
      </c>
      <c r="C106" s="63">
        <v>150</v>
      </c>
      <c r="D106" s="63">
        <v>250</v>
      </c>
      <c r="E106" s="63">
        <v>200</v>
      </c>
      <c r="F106" s="116">
        <f>+(C106+D106+E106)/3</f>
        <v>200</v>
      </c>
      <c r="G106" s="63"/>
      <c r="H106" s="63"/>
    </row>
    <row r="107" spans="2:8" x14ac:dyDescent="0.25">
      <c r="C107" s="63" t="s">
        <v>407</v>
      </c>
      <c r="D107" s="63" t="s">
        <v>408</v>
      </c>
      <c r="E107" s="63" t="s">
        <v>409</v>
      </c>
      <c r="F107" s="63"/>
      <c r="G107" s="63"/>
      <c r="H107" s="63"/>
    </row>
    <row r="108" spans="2:8" x14ac:dyDescent="0.25">
      <c r="B108" t="s">
        <v>410</v>
      </c>
      <c r="C108" s="63">
        <v>56</v>
      </c>
      <c r="D108" s="63">
        <v>50</v>
      </c>
      <c r="E108" s="63">
        <v>71.400000000000006</v>
      </c>
      <c r="F108" s="116">
        <f>+(C108+D108+E108)/3</f>
        <v>59.133333333333333</v>
      </c>
      <c r="G108" s="63"/>
      <c r="H108" s="63"/>
    </row>
    <row r="109" spans="2:8" x14ac:dyDescent="0.25">
      <c r="C109" s="63" t="s">
        <v>411</v>
      </c>
      <c r="D109" s="63" t="s">
        <v>412</v>
      </c>
      <c r="E109" s="63"/>
      <c r="F109" s="63"/>
      <c r="G109" s="63"/>
      <c r="H109" s="63"/>
    </row>
    <row r="110" spans="2:8" x14ac:dyDescent="0.25">
      <c r="B110" t="s">
        <v>413</v>
      </c>
      <c r="C110" s="63">
        <v>123900</v>
      </c>
      <c r="D110" s="63">
        <v>123900</v>
      </c>
      <c r="E110" s="63">
        <v>123900</v>
      </c>
      <c r="F110" s="116">
        <f>+(C110+D110+E110)/3</f>
        <v>123900</v>
      </c>
      <c r="G110" s="63"/>
      <c r="H110" s="63"/>
    </row>
    <row r="111" spans="2:8" x14ac:dyDescent="0.25">
      <c r="C111" s="63" t="s">
        <v>414</v>
      </c>
      <c r="D111" s="63" t="s">
        <v>415</v>
      </c>
      <c r="E111" s="63" t="s">
        <v>416</v>
      </c>
      <c r="F111" s="63"/>
      <c r="G111" s="63"/>
      <c r="H111" s="63"/>
    </row>
    <row r="112" spans="2:8" x14ac:dyDescent="0.25">
      <c r="B112" s="117" t="s">
        <v>417</v>
      </c>
      <c r="C112" s="63">
        <v>5990</v>
      </c>
      <c r="D112" s="63">
        <v>3550</v>
      </c>
      <c r="E112" s="63">
        <v>3755</v>
      </c>
      <c r="F112" s="63"/>
      <c r="G112" s="63"/>
      <c r="H112" s="63"/>
    </row>
    <row r="113" spans="2:8" x14ac:dyDescent="0.25">
      <c r="B113" s="117" t="s">
        <v>418</v>
      </c>
      <c r="C113" s="63">
        <v>2850</v>
      </c>
      <c r="D113" s="63">
        <v>3300</v>
      </c>
      <c r="E113" s="63">
        <v>2651</v>
      </c>
      <c r="F113" s="63"/>
      <c r="G113" s="63"/>
      <c r="H113" s="63"/>
    </row>
    <row r="114" spans="2:8" x14ac:dyDescent="0.25">
      <c r="C114" s="63">
        <f>+C113+C112</f>
        <v>8840</v>
      </c>
      <c r="D114" s="63">
        <f t="shared" ref="D114:E114" si="1">+D113+D112</f>
        <v>6850</v>
      </c>
      <c r="E114" s="63">
        <f t="shared" si="1"/>
        <v>6406</v>
      </c>
      <c r="F114" s="116">
        <f>+(C114+D114+E114)/3</f>
        <v>7365.333333333333</v>
      </c>
      <c r="G114" s="63"/>
      <c r="H114" s="63"/>
    </row>
    <row r="115" spans="2:8" x14ac:dyDescent="0.25">
      <c r="B115" s="117" t="s">
        <v>419</v>
      </c>
      <c r="C115" s="63">
        <v>25190</v>
      </c>
      <c r="D115" s="63">
        <v>32900</v>
      </c>
      <c r="E115" s="63">
        <v>21766</v>
      </c>
      <c r="F115" s="63"/>
      <c r="G115" s="63"/>
      <c r="H115" s="63"/>
    </row>
    <row r="116" spans="2:8" x14ac:dyDescent="0.25">
      <c r="B116" s="117" t="s">
        <v>420</v>
      </c>
      <c r="C116" s="63">
        <v>2850</v>
      </c>
      <c r="D116" s="63">
        <v>3350</v>
      </c>
      <c r="E116" s="63">
        <v>3250</v>
      </c>
      <c r="F116" s="63"/>
      <c r="G116" s="63"/>
      <c r="H116" s="63"/>
    </row>
    <row r="117" spans="2:8" x14ac:dyDescent="0.25">
      <c r="C117" s="63">
        <f>+C116+C115</f>
        <v>28040</v>
      </c>
      <c r="D117" s="63">
        <f t="shared" ref="D117:E117" si="2">+D116+D115</f>
        <v>36250</v>
      </c>
      <c r="E117" s="63">
        <f t="shared" si="2"/>
        <v>25016</v>
      </c>
      <c r="F117" s="116">
        <f>+(C117+D117+E117)/3</f>
        <v>29768.666666666668</v>
      </c>
      <c r="G117" s="63"/>
      <c r="H117" s="63"/>
    </row>
    <row r="118" spans="2:8" x14ac:dyDescent="0.25">
      <c r="C118" s="63" t="s">
        <v>421</v>
      </c>
      <c r="D118" s="63" t="s">
        <v>422</v>
      </c>
      <c r="E118" s="63" t="s">
        <v>423</v>
      </c>
      <c r="F118" s="63"/>
      <c r="G118" s="63"/>
      <c r="H118" s="63"/>
    </row>
    <row r="119" spans="2:8" x14ac:dyDescent="0.25">
      <c r="B119" t="s">
        <v>424</v>
      </c>
      <c r="C119" s="63">
        <v>15290</v>
      </c>
      <c r="D119" s="63">
        <v>16499</v>
      </c>
      <c r="E119" s="63">
        <v>20156</v>
      </c>
      <c r="F119" s="116">
        <f>+(C119+D119+E119)/3</f>
        <v>17315</v>
      </c>
      <c r="G119" s="63"/>
      <c r="H119" s="63"/>
    </row>
    <row r="120" spans="2:8" x14ac:dyDescent="0.25">
      <c r="C120" s="63"/>
      <c r="D120" s="63"/>
      <c r="E120" s="63"/>
      <c r="F120" s="63"/>
      <c r="G120" s="63"/>
      <c r="H120" s="63"/>
    </row>
    <row r="121" spans="2:8" x14ac:dyDescent="0.25">
      <c r="C121" s="63"/>
      <c r="D121" s="63"/>
      <c r="E121" s="63"/>
      <c r="F121" s="63"/>
      <c r="G121" s="63"/>
      <c r="H121" s="63"/>
    </row>
    <row r="122" spans="2:8" x14ac:dyDescent="0.25">
      <c r="C122" s="63"/>
      <c r="D122" s="63"/>
      <c r="E122" s="63"/>
      <c r="F122" s="63"/>
      <c r="G122" s="63"/>
      <c r="H122" s="63"/>
    </row>
    <row r="123" spans="2:8" x14ac:dyDescent="0.25">
      <c r="C123" s="63"/>
      <c r="D123" s="63"/>
      <c r="E123" s="63"/>
      <c r="F123" s="63"/>
      <c r="G123" s="63"/>
      <c r="H123" s="63"/>
    </row>
    <row r="124" spans="2:8" x14ac:dyDescent="0.25">
      <c r="C124" s="63"/>
      <c r="D124" s="63"/>
      <c r="E124" s="63"/>
      <c r="F124" s="63"/>
      <c r="G124" s="63"/>
      <c r="H124" s="63"/>
    </row>
    <row r="125" spans="2:8" x14ac:dyDescent="0.25">
      <c r="C125" s="63"/>
      <c r="D125" s="63"/>
      <c r="E125" s="63"/>
      <c r="F125" s="63"/>
      <c r="G125" s="63"/>
      <c r="H125" s="63"/>
    </row>
    <row r="126" spans="2:8" x14ac:dyDescent="0.25">
      <c r="C126" s="63"/>
      <c r="D126" s="63"/>
      <c r="E126" s="63"/>
      <c r="F126" s="63"/>
      <c r="G126" s="63"/>
      <c r="H126" s="63"/>
    </row>
    <row r="127" spans="2:8" x14ac:dyDescent="0.25">
      <c r="C127" s="63"/>
      <c r="D127" s="63"/>
      <c r="E127" s="63"/>
      <c r="F127" s="63"/>
      <c r="G127" s="63"/>
      <c r="H127" s="63"/>
    </row>
    <row r="128" spans="2:8" x14ac:dyDescent="0.25">
      <c r="C128" s="63"/>
      <c r="D128" s="63"/>
      <c r="E128" s="63"/>
      <c r="F128" s="63"/>
      <c r="G128" s="63"/>
      <c r="H128" s="63"/>
    </row>
    <row r="129" spans="3:8" x14ac:dyDescent="0.25">
      <c r="C129" s="63"/>
      <c r="D129" s="63"/>
      <c r="E129" s="63"/>
      <c r="F129" s="63"/>
      <c r="G129" s="63"/>
      <c r="H129" s="63"/>
    </row>
    <row r="130" spans="3:8" x14ac:dyDescent="0.25">
      <c r="C130" s="63"/>
      <c r="D130" s="63"/>
      <c r="E130" s="63"/>
      <c r="F130" s="63"/>
      <c r="G130" s="63"/>
      <c r="H130" s="63"/>
    </row>
    <row r="131" spans="3:8" x14ac:dyDescent="0.25">
      <c r="C131" s="63"/>
      <c r="D131" s="63"/>
      <c r="E131" s="63"/>
      <c r="F131" s="63"/>
      <c r="G131" s="63"/>
      <c r="H131" s="63"/>
    </row>
    <row r="132" spans="3:8" x14ac:dyDescent="0.25">
      <c r="C132" s="63"/>
      <c r="D132" s="63"/>
      <c r="E132" s="63"/>
      <c r="F132" s="63"/>
      <c r="G132" s="63"/>
      <c r="H132" s="63"/>
    </row>
    <row r="133" spans="3:8" x14ac:dyDescent="0.25">
      <c r="C133" s="63"/>
      <c r="D133" s="63"/>
      <c r="E133" s="63"/>
      <c r="F133" s="63"/>
      <c r="G133" s="63"/>
      <c r="H133" s="63"/>
    </row>
    <row r="134" spans="3:8" x14ac:dyDescent="0.25">
      <c r="C134" s="63"/>
      <c r="D134" s="63"/>
      <c r="E134" s="63"/>
      <c r="F134" s="63"/>
      <c r="G134" s="63"/>
      <c r="H134" s="63"/>
    </row>
    <row r="135" spans="3:8" x14ac:dyDescent="0.25">
      <c r="C135" s="63"/>
      <c r="D135" s="63"/>
      <c r="E135" s="63"/>
      <c r="F135" s="63"/>
      <c r="G135" s="63"/>
      <c r="H135" s="63"/>
    </row>
    <row r="136" spans="3:8" x14ac:dyDescent="0.25">
      <c r="C136" s="63"/>
      <c r="D136" s="63"/>
      <c r="E136" s="63"/>
      <c r="F136" s="63"/>
      <c r="G136" s="63"/>
      <c r="H136" s="63"/>
    </row>
    <row r="137" spans="3:8" x14ac:dyDescent="0.25">
      <c r="C137" s="63"/>
      <c r="D137" s="63"/>
      <c r="E137" s="63"/>
      <c r="F137" s="63"/>
      <c r="G137" s="63"/>
      <c r="H137" s="63"/>
    </row>
    <row r="138" spans="3:8" x14ac:dyDescent="0.25">
      <c r="C138" s="63"/>
      <c r="D138" s="63"/>
      <c r="E138" s="63"/>
      <c r="F138" s="63"/>
      <c r="G138" s="63"/>
      <c r="H138" s="63"/>
    </row>
    <row r="139" spans="3:8" x14ac:dyDescent="0.25">
      <c r="C139" s="63"/>
      <c r="D139" s="63"/>
      <c r="E139" s="63"/>
      <c r="F139" s="63"/>
      <c r="G139" s="63"/>
      <c r="H139" s="63"/>
    </row>
    <row r="140" spans="3:8" x14ac:dyDescent="0.25">
      <c r="C140" s="63"/>
      <c r="D140" s="63"/>
      <c r="E140" s="63"/>
      <c r="F140" s="63"/>
      <c r="G140" s="63"/>
      <c r="H140" s="63"/>
    </row>
    <row r="141" spans="3:8" x14ac:dyDescent="0.25">
      <c r="C141" s="63"/>
      <c r="D141" s="63"/>
      <c r="E141" s="63"/>
      <c r="F141" s="63"/>
      <c r="G141" s="63"/>
      <c r="H141" s="63"/>
    </row>
    <row r="142" spans="3:8" x14ac:dyDescent="0.25">
      <c r="C142" s="63"/>
      <c r="D142" s="63"/>
      <c r="E142" s="63"/>
      <c r="F142" s="63"/>
      <c r="G142" s="63"/>
      <c r="H142" s="63"/>
    </row>
    <row r="143" spans="3:8" x14ac:dyDescent="0.25">
      <c r="C143" s="63"/>
      <c r="D143" s="63"/>
      <c r="E143" s="63"/>
      <c r="F143" s="63"/>
      <c r="G143" s="63"/>
      <c r="H143" s="63"/>
    </row>
    <row r="144" spans="3:8" x14ac:dyDescent="0.25">
      <c r="C144" s="63"/>
      <c r="D144" s="63"/>
      <c r="E144" s="63"/>
      <c r="F144" s="63"/>
      <c r="G144" s="63"/>
      <c r="H144" s="63"/>
    </row>
    <row r="145" spans="3:8" x14ac:dyDescent="0.25">
      <c r="C145" s="63"/>
      <c r="D145" s="63"/>
      <c r="E145" s="63"/>
      <c r="F145" s="63"/>
      <c r="G145" s="63"/>
      <c r="H145" s="63"/>
    </row>
    <row r="146" spans="3:8" x14ac:dyDescent="0.25">
      <c r="C146" s="63"/>
      <c r="D146" s="63"/>
      <c r="E146" s="63"/>
      <c r="F146" s="63"/>
      <c r="G146" s="63"/>
      <c r="H146" s="63"/>
    </row>
    <row r="147" spans="3:8" x14ac:dyDescent="0.25">
      <c r="C147" s="63"/>
      <c r="D147" s="63"/>
      <c r="E147" s="63"/>
      <c r="F147" s="63"/>
      <c r="G147" s="63"/>
      <c r="H147" s="63"/>
    </row>
    <row r="148" spans="3:8" x14ac:dyDescent="0.25">
      <c r="C148" s="63"/>
      <c r="D148" s="63"/>
      <c r="E148" s="63"/>
      <c r="F148" s="63"/>
      <c r="G148" s="63"/>
      <c r="H148" s="63"/>
    </row>
    <row r="149" spans="3:8" x14ac:dyDescent="0.25">
      <c r="C149" s="63"/>
      <c r="D149" s="63"/>
      <c r="E149" s="63"/>
      <c r="F149" s="63"/>
      <c r="G149" s="63"/>
      <c r="H149" s="63"/>
    </row>
    <row r="150" spans="3:8" x14ac:dyDescent="0.25">
      <c r="C150" s="63"/>
      <c r="D150" s="63"/>
      <c r="E150" s="63"/>
      <c r="F150" s="63"/>
      <c r="G150" s="63"/>
      <c r="H150" s="63"/>
    </row>
    <row r="151" spans="3:8" x14ac:dyDescent="0.25">
      <c r="C151" s="63"/>
      <c r="D151" s="63"/>
      <c r="E151" s="63"/>
      <c r="F151" s="63"/>
      <c r="G151" s="63"/>
      <c r="H151" s="63"/>
    </row>
    <row r="152" spans="3:8" x14ac:dyDescent="0.25">
      <c r="C152" s="63"/>
      <c r="D152" s="63"/>
      <c r="E152" s="63"/>
      <c r="F152" s="63"/>
      <c r="G152" s="63"/>
      <c r="H152" s="63"/>
    </row>
    <row r="153" spans="3:8" x14ac:dyDescent="0.25">
      <c r="C153" s="63"/>
      <c r="D153" s="63"/>
      <c r="E153" s="63"/>
      <c r="F153" s="63"/>
      <c r="G153" s="63"/>
      <c r="H153" s="63"/>
    </row>
    <row r="154" spans="3:8" x14ac:dyDescent="0.25">
      <c r="C154" s="63"/>
      <c r="D154" s="63"/>
      <c r="E154" s="63"/>
      <c r="F154" s="63"/>
      <c r="G154" s="63"/>
      <c r="H154" s="63"/>
    </row>
    <row r="155" spans="3:8" x14ac:dyDescent="0.25">
      <c r="C155" s="63"/>
      <c r="D155" s="63"/>
      <c r="E155" s="63"/>
      <c r="F155" s="63"/>
      <c r="G155" s="63"/>
      <c r="H155" s="63"/>
    </row>
    <row r="156" spans="3:8" x14ac:dyDescent="0.25">
      <c r="C156" s="63"/>
      <c r="D156" s="63"/>
      <c r="E156" s="63"/>
      <c r="F156" s="63"/>
      <c r="G156" s="63"/>
      <c r="H156" s="63"/>
    </row>
    <row r="157" spans="3:8" x14ac:dyDescent="0.25">
      <c r="C157" s="63"/>
      <c r="D157" s="63"/>
      <c r="E157" s="63"/>
      <c r="F157" s="63"/>
      <c r="G157" s="63"/>
      <c r="H157" s="63"/>
    </row>
    <row r="158" spans="3:8" x14ac:dyDescent="0.25">
      <c r="C158" s="63"/>
      <c r="D158" s="63"/>
      <c r="E158" s="63"/>
      <c r="F158" s="63"/>
      <c r="G158" s="63"/>
      <c r="H158" s="63"/>
    </row>
    <row r="159" spans="3:8" x14ac:dyDescent="0.25">
      <c r="C159" s="63"/>
      <c r="D159" s="63"/>
      <c r="E159" s="63"/>
      <c r="F159" s="63"/>
      <c r="G159" s="63"/>
      <c r="H159" s="63"/>
    </row>
    <row r="160" spans="3:8" x14ac:dyDescent="0.25">
      <c r="C160" s="63"/>
      <c r="D160" s="63"/>
      <c r="E160" s="63"/>
      <c r="F160" s="63"/>
      <c r="G160" s="63"/>
      <c r="H160" s="63"/>
    </row>
    <row r="161" spans="3:8" x14ac:dyDescent="0.25">
      <c r="C161" s="63"/>
      <c r="D161" s="63"/>
      <c r="E161" s="63"/>
      <c r="F161" s="63"/>
      <c r="G161" s="63"/>
      <c r="H161" s="63"/>
    </row>
    <row r="162" spans="3:8" x14ac:dyDescent="0.25">
      <c r="C162" s="63"/>
      <c r="D162" s="63"/>
      <c r="E162" s="63"/>
      <c r="F162" s="63"/>
      <c r="G162" s="63"/>
      <c r="H162" s="63"/>
    </row>
  </sheetData>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88985-4F1E-4D44-AA8C-C1F249887336}">
  <sheetPr codeName="Hoja5">
    <tabColor rgb="FF00B0F0"/>
    <pageSetUpPr fitToPage="1"/>
  </sheetPr>
  <dimension ref="A1:O75"/>
  <sheetViews>
    <sheetView tabSelected="1" view="pageBreakPreview" zoomScaleNormal="100" zoomScaleSheetLayoutView="100" workbookViewId="0">
      <selection activeCell="P73" sqref="P73"/>
    </sheetView>
  </sheetViews>
  <sheetFormatPr baseColWidth="10" defaultColWidth="11.42578125" defaultRowHeight="11.25" x14ac:dyDescent="0.25"/>
  <cols>
    <col min="1" max="1" width="9.5703125" style="61" customWidth="1"/>
    <col min="2" max="2" width="55.85546875" style="60" customWidth="1"/>
    <col min="3" max="3" width="9.28515625" style="61" customWidth="1"/>
    <col min="4" max="4" width="9.28515625" style="59" customWidth="1"/>
    <col min="5" max="14" width="6.5703125" style="58" customWidth="1"/>
    <col min="15" max="15" width="20.140625" style="57" customWidth="1"/>
    <col min="16" max="16384" width="11.42578125" style="56"/>
  </cols>
  <sheetData>
    <row r="1" spans="1:15" ht="15" customHeight="1" x14ac:dyDescent="0.25">
      <c r="A1" s="274"/>
      <c r="B1" s="275"/>
      <c r="C1" s="272" t="s">
        <v>425</v>
      </c>
      <c r="D1" s="272"/>
      <c r="E1" s="272"/>
      <c r="F1" s="272"/>
      <c r="G1" s="272"/>
      <c r="H1" s="272"/>
      <c r="I1" s="272"/>
      <c r="J1" s="272"/>
      <c r="K1" s="272"/>
      <c r="L1" s="272"/>
      <c r="M1" s="272"/>
      <c r="N1" s="272"/>
      <c r="O1" s="273"/>
    </row>
    <row r="2" spans="1:15" ht="60.6" customHeight="1" x14ac:dyDescent="0.25">
      <c r="A2" s="276"/>
      <c r="B2" s="277"/>
      <c r="C2" s="280" t="s">
        <v>426</v>
      </c>
      <c r="D2" s="280"/>
      <c r="E2" s="280"/>
      <c r="F2" s="280"/>
      <c r="G2" s="280"/>
      <c r="H2" s="280"/>
      <c r="I2" s="280"/>
      <c r="J2" s="280"/>
      <c r="K2" s="280"/>
      <c r="L2" s="280"/>
      <c r="M2" s="280"/>
      <c r="N2" s="280"/>
      <c r="O2" s="281"/>
    </row>
    <row r="3" spans="1:15" ht="20.25" customHeight="1" x14ac:dyDescent="0.25">
      <c r="A3" s="276"/>
      <c r="B3" s="277"/>
      <c r="C3" s="280" t="s">
        <v>427</v>
      </c>
      <c r="D3" s="280"/>
      <c r="E3" s="280"/>
      <c r="F3" s="280"/>
      <c r="G3" s="280"/>
      <c r="H3" s="280"/>
      <c r="I3" s="280"/>
      <c r="J3" s="280"/>
      <c r="K3" s="280"/>
      <c r="L3" s="280"/>
      <c r="M3" s="280"/>
      <c r="N3" s="280"/>
      <c r="O3" s="281"/>
    </row>
    <row r="4" spans="1:15" ht="11.1" customHeight="1" thickBot="1" x14ac:dyDescent="0.3">
      <c r="A4" s="278"/>
      <c r="B4" s="279"/>
      <c r="C4" s="282"/>
      <c r="D4" s="282"/>
      <c r="E4" s="282"/>
      <c r="F4" s="282"/>
      <c r="G4" s="282"/>
      <c r="H4" s="282"/>
      <c r="I4" s="282"/>
      <c r="J4" s="282"/>
      <c r="K4" s="282"/>
      <c r="L4" s="282"/>
      <c r="M4" s="282"/>
      <c r="N4" s="282"/>
      <c r="O4" s="283"/>
    </row>
    <row r="5" spans="1:15" ht="11.1" customHeight="1" x14ac:dyDescent="0.25">
      <c r="A5" s="270" t="s">
        <v>428</v>
      </c>
      <c r="B5" s="268" t="s">
        <v>429</v>
      </c>
      <c r="C5" s="268" t="s">
        <v>430</v>
      </c>
      <c r="D5" s="285" t="s">
        <v>171</v>
      </c>
      <c r="E5" s="284" t="s">
        <v>431</v>
      </c>
      <c r="F5" s="272"/>
      <c r="G5" s="272"/>
      <c r="H5" s="272"/>
      <c r="I5" s="272" t="s">
        <v>432</v>
      </c>
      <c r="J5" s="272"/>
      <c r="K5" s="272"/>
      <c r="L5" s="272"/>
      <c r="M5" s="272" t="s">
        <v>433</v>
      </c>
      <c r="N5" s="272"/>
      <c r="O5" s="186"/>
    </row>
    <row r="6" spans="1:15" s="62" customFormat="1" ht="21" x14ac:dyDescent="0.25">
      <c r="A6" s="271"/>
      <c r="B6" s="269"/>
      <c r="C6" s="269"/>
      <c r="D6" s="286"/>
      <c r="E6" s="187" t="s">
        <v>434</v>
      </c>
      <c r="F6" s="185" t="s">
        <v>435</v>
      </c>
      <c r="G6" s="185" t="s">
        <v>436</v>
      </c>
      <c r="H6" s="185" t="s">
        <v>437</v>
      </c>
      <c r="I6" s="185" t="s">
        <v>434</v>
      </c>
      <c r="J6" s="185" t="s">
        <v>435</v>
      </c>
      <c r="K6" s="185" t="s">
        <v>436</v>
      </c>
      <c r="L6" s="185" t="s">
        <v>437</v>
      </c>
      <c r="M6" s="185" t="s">
        <v>434</v>
      </c>
      <c r="N6" s="185" t="s">
        <v>435</v>
      </c>
      <c r="O6" s="123" t="s">
        <v>438</v>
      </c>
    </row>
    <row r="7" spans="1:15" x14ac:dyDescent="0.25">
      <c r="A7" s="158">
        <v>1</v>
      </c>
      <c r="B7" s="159" t="s">
        <v>439</v>
      </c>
      <c r="C7" s="160"/>
      <c r="D7" s="181"/>
      <c r="E7" s="161"/>
      <c r="F7" s="160"/>
      <c r="G7" s="160"/>
      <c r="H7" s="160"/>
      <c r="I7" s="160"/>
      <c r="J7" s="160"/>
      <c r="K7" s="160"/>
      <c r="L7" s="160"/>
      <c r="M7" s="160"/>
      <c r="N7" s="160"/>
      <c r="O7" s="162"/>
    </row>
    <row r="8" spans="1:15" ht="28.5" customHeight="1" x14ac:dyDescent="0.25">
      <c r="A8" s="163" t="s">
        <v>440</v>
      </c>
      <c r="B8" s="164" t="s">
        <v>441</v>
      </c>
      <c r="C8" s="169" t="s">
        <v>442</v>
      </c>
      <c r="D8" s="201">
        <v>5</v>
      </c>
      <c r="E8" s="188"/>
      <c r="F8" s="168"/>
      <c r="G8" s="168"/>
      <c r="H8" s="168"/>
      <c r="I8" s="168"/>
      <c r="J8" s="168"/>
      <c r="K8" s="168"/>
      <c r="L8" s="168"/>
      <c r="M8" s="168"/>
      <c r="N8" s="168"/>
      <c r="O8" s="201" t="s">
        <v>443</v>
      </c>
    </row>
    <row r="9" spans="1:15" ht="21" x14ac:dyDescent="0.25">
      <c r="A9" s="167" t="s">
        <v>444</v>
      </c>
      <c r="B9" s="164" t="s">
        <v>565</v>
      </c>
      <c r="C9" s="169" t="s">
        <v>442</v>
      </c>
      <c r="D9" s="201">
        <v>14</v>
      </c>
      <c r="E9" s="165"/>
      <c r="F9" s="189"/>
      <c r="G9" s="189"/>
      <c r="H9" s="168"/>
      <c r="I9" s="168"/>
      <c r="J9" s="168"/>
      <c r="K9" s="168"/>
      <c r="L9" s="168"/>
      <c r="M9" s="168"/>
      <c r="N9" s="168"/>
      <c r="O9" s="201" t="s">
        <v>570</v>
      </c>
    </row>
    <row r="10" spans="1:15" ht="21" x14ac:dyDescent="0.25">
      <c r="A10" s="163" t="s">
        <v>447</v>
      </c>
      <c r="B10" s="164" t="s">
        <v>566</v>
      </c>
      <c r="C10" s="169" t="s">
        <v>442</v>
      </c>
      <c r="D10" s="201">
        <v>14</v>
      </c>
      <c r="E10" s="165"/>
      <c r="F10" s="189"/>
      <c r="G10" s="189"/>
      <c r="H10" s="168"/>
      <c r="I10" s="168"/>
      <c r="J10" s="168"/>
      <c r="K10" s="168"/>
      <c r="L10" s="168"/>
      <c r="M10" s="168"/>
      <c r="N10" s="168"/>
      <c r="O10" s="201" t="s">
        <v>570</v>
      </c>
    </row>
    <row r="11" spans="1:15" ht="31.5" x14ac:dyDescent="0.25">
      <c r="A11" s="167" t="s">
        <v>449</v>
      </c>
      <c r="B11" s="164" t="s">
        <v>567</v>
      </c>
      <c r="C11" s="169" t="s">
        <v>109</v>
      </c>
      <c r="D11" s="201">
        <v>7</v>
      </c>
      <c r="E11" s="165"/>
      <c r="F11" s="189"/>
      <c r="G11" s="189"/>
      <c r="H11" s="168"/>
      <c r="I11" s="168"/>
      <c r="J11" s="168"/>
      <c r="K11" s="168"/>
      <c r="L11" s="168"/>
      <c r="M11" s="168"/>
      <c r="N11" s="168"/>
      <c r="O11" s="201" t="s">
        <v>570</v>
      </c>
    </row>
    <row r="12" spans="1:15" ht="21" x14ac:dyDescent="0.25">
      <c r="A12" s="163" t="s">
        <v>451</v>
      </c>
      <c r="B12" s="164" t="s">
        <v>568</v>
      </c>
      <c r="C12" s="169" t="s">
        <v>109</v>
      </c>
      <c r="D12" s="201">
        <v>7</v>
      </c>
      <c r="E12" s="165"/>
      <c r="F12" s="168"/>
      <c r="G12" s="189"/>
      <c r="H12" s="189"/>
      <c r="I12" s="189"/>
      <c r="J12" s="189"/>
      <c r="K12" s="189"/>
      <c r="L12" s="168"/>
      <c r="M12" s="168"/>
      <c r="N12" s="168"/>
      <c r="O12" s="201" t="s">
        <v>570</v>
      </c>
    </row>
    <row r="13" spans="1:15" ht="31.5" x14ac:dyDescent="0.25">
      <c r="A13" s="167" t="s">
        <v>454</v>
      </c>
      <c r="B13" s="164" t="s">
        <v>569</v>
      </c>
      <c r="C13" s="169" t="s">
        <v>109</v>
      </c>
      <c r="D13" s="201">
        <v>7</v>
      </c>
      <c r="E13" s="165"/>
      <c r="F13" s="168"/>
      <c r="G13" s="189"/>
      <c r="H13" s="189"/>
      <c r="I13" s="189"/>
      <c r="J13" s="189"/>
      <c r="K13" s="189"/>
      <c r="L13" s="168"/>
      <c r="M13" s="168"/>
      <c r="N13" s="168"/>
      <c r="O13" s="201" t="s">
        <v>570</v>
      </c>
    </row>
    <row r="14" spans="1:15" ht="42" x14ac:dyDescent="0.25">
      <c r="A14" s="163" t="s">
        <v>456</v>
      </c>
      <c r="B14" s="164" t="s">
        <v>445</v>
      </c>
      <c r="C14" s="169" t="s">
        <v>442</v>
      </c>
      <c r="D14" s="201">
        <v>15</v>
      </c>
      <c r="E14" s="165"/>
      <c r="F14" s="168"/>
      <c r="G14" s="189"/>
      <c r="H14" s="189"/>
      <c r="I14" s="189"/>
      <c r="J14" s="168"/>
      <c r="K14" s="168"/>
      <c r="L14" s="168"/>
      <c r="M14" s="168"/>
      <c r="N14" s="168"/>
      <c r="O14" s="201" t="s">
        <v>446</v>
      </c>
    </row>
    <row r="15" spans="1:15" ht="21" x14ac:dyDescent="0.25">
      <c r="A15" s="167" t="s">
        <v>458</v>
      </c>
      <c r="B15" s="164" t="s">
        <v>448</v>
      </c>
      <c r="C15" s="169" t="s">
        <v>442</v>
      </c>
      <c r="D15" s="201">
        <v>21</v>
      </c>
      <c r="E15" s="165"/>
      <c r="F15" s="189"/>
      <c r="G15" s="189"/>
      <c r="H15" s="209"/>
      <c r="I15" s="168"/>
      <c r="J15" s="168"/>
      <c r="K15" s="168"/>
      <c r="L15" s="168"/>
      <c r="M15" s="168"/>
      <c r="N15" s="168"/>
      <c r="O15" s="201" t="s">
        <v>446</v>
      </c>
    </row>
    <row r="16" spans="1:15" x14ac:dyDescent="0.25">
      <c r="A16" s="163" t="s">
        <v>460</v>
      </c>
      <c r="B16" s="164" t="s">
        <v>450</v>
      </c>
      <c r="C16" s="169" t="s">
        <v>442</v>
      </c>
      <c r="D16" s="201">
        <v>23</v>
      </c>
      <c r="E16" s="165"/>
      <c r="F16" s="168"/>
      <c r="G16" s="168"/>
      <c r="H16" s="189"/>
      <c r="I16" s="168"/>
      <c r="J16" s="168"/>
      <c r="K16" s="168"/>
      <c r="L16" s="168"/>
      <c r="M16" s="168"/>
      <c r="N16" s="168"/>
      <c r="O16" s="201" t="s">
        <v>446</v>
      </c>
    </row>
    <row r="17" spans="1:15" ht="31.5" x14ac:dyDescent="0.25">
      <c r="A17" s="167" t="s">
        <v>462</v>
      </c>
      <c r="B17" s="164" t="s">
        <v>452</v>
      </c>
      <c r="C17" s="169" t="s">
        <v>453</v>
      </c>
      <c r="D17" s="201">
        <v>10</v>
      </c>
      <c r="E17" s="165"/>
      <c r="F17" s="168"/>
      <c r="G17" s="168"/>
      <c r="H17" s="189"/>
      <c r="I17" s="189"/>
      <c r="J17" s="189"/>
      <c r="K17" s="189"/>
      <c r="L17" s="168"/>
      <c r="M17" s="168"/>
      <c r="N17" s="168"/>
      <c r="O17" s="201" t="s">
        <v>446</v>
      </c>
    </row>
    <row r="18" spans="1:15" ht="52.5" x14ac:dyDescent="0.25">
      <c r="A18" s="163" t="s">
        <v>464</v>
      </c>
      <c r="B18" s="164" t="s">
        <v>455</v>
      </c>
      <c r="C18" s="169" t="s">
        <v>453</v>
      </c>
      <c r="D18" s="201">
        <v>25</v>
      </c>
      <c r="E18" s="190"/>
      <c r="F18" s="168"/>
      <c r="G18" s="168"/>
      <c r="H18" s="189"/>
      <c r="I18" s="189"/>
      <c r="J18" s="189"/>
      <c r="K18" s="189"/>
      <c r="L18" s="189"/>
      <c r="M18" s="168"/>
      <c r="N18" s="168"/>
      <c r="O18" s="201" t="s">
        <v>446</v>
      </c>
    </row>
    <row r="19" spans="1:15" x14ac:dyDescent="0.25">
      <c r="A19" s="167" t="s">
        <v>466</v>
      </c>
      <c r="B19" s="164" t="s">
        <v>457</v>
      </c>
      <c r="C19" s="169" t="s">
        <v>453</v>
      </c>
      <c r="D19" s="201">
        <v>110</v>
      </c>
      <c r="E19" s="190"/>
      <c r="F19" s="189"/>
      <c r="G19" s="189"/>
      <c r="H19" s="189"/>
      <c r="I19" s="189"/>
      <c r="J19" s="189"/>
      <c r="K19" s="168"/>
      <c r="L19" s="168"/>
      <c r="M19" s="168"/>
      <c r="N19" s="168"/>
      <c r="O19" s="201" t="s">
        <v>446</v>
      </c>
    </row>
    <row r="20" spans="1:15" ht="42" x14ac:dyDescent="0.25">
      <c r="A20" s="163" t="s">
        <v>467</v>
      </c>
      <c r="B20" s="164" t="s">
        <v>459</v>
      </c>
      <c r="C20" s="169" t="s">
        <v>442</v>
      </c>
      <c r="D20" s="201">
        <v>160</v>
      </c>
      <c r="E20" s="190"/>
      <c r="F20" s="168"/>
      <c r="G20" s="189"/>
      <c r="H20" s="189"/>
      <c r="I20" s="189"/>
      <c r="J20" s="189"/>
      <c r="K20" s="189"/>
      <c r="L20" s="168"/>
      <c r="M20" s="168"/>
      <c r="N20" s="168"/>
      <c r="O20" s="201" t="s">
        <v>446</v>
      </c>
    </row>
    <row r="21" spans="1:15" ht="42" x14ac:dyDescent="0.25">
      <c r="A21" s="163" t="s">
        <v>468</v>
      </c>
      <c r="B21" s="164" t="s">
        <v>461</v>
      </c>
      <c r="C21" s="169" t="s">
        <v>442</v>
      </c>
      <c r="D21" s="201">
        <v>2</v>
      </c>
      <c r="E21" s="190"/>
      <c r="F21" s="168"/>
      <c r="G21" s="209"/>
      <c r="H21" s="209"/>
      <c r="I21" s="189"/>
      <c r="J21" s="189"/>
      <c r="K21" s="189"/>
      <c r="L21" s="189"/>
      <c r="M21" s="189"/>
      <c r="N21" s="189"/>
      <c r="O21" s="201" t="s">
        <v>446</v>
      </c>
    </row>
    <row r="22" spans="1:15" ht="42" x14ac:dyDescent="0.25">
      <c r="A22" s="167" t="s">
        <v>469</v>
      </c>
      <c r="B22" s="164" t="s">
        <v>463</v>
      </c>
      <c r="C22" s="202" t="s">
        <v>442</v>
      </c>
      <c r="D22" s="201">
        <v>70</v>
      </c>
      <c r="E22" s="165"/>
      <c r="F22" s="168"/>
      <c r="G22" s="168"/>
      <c r="H22" s="168"/>
      <c r="I22" s="189"/>
      <c r="J22" s="189"/>
      <c r="K22" s="189"/>
      <c r="L22" s="189"/>
      <c r="M22" s="189"/>
      <c r="N22" s="189"/>
      <c r="O22" s="201" t="s">
        <v>446</v>
      </c>
    </row>
    <row r="23" spans="1:15" ht="52.5" x14ac:dyDescent="0.25">
      <c r="A23" s="163" t="s">
        <v>470</v>
      </c>
      <c r="B23" s="203" t="s">
        <v>465</v>
      </c>
      <c r="C23" s="202" t="s">
        <v>442</v>
      </c>
      <c r="D23" s="201">
        <v>18</v>
      </c>
      <c r="E23" s="165"/>
      <c r="F23" s="168"/>
      <c r="G23" s="210"/>
      <c r="H23" s="210"/>
      <c r="I23" s="210"/>
      <c r="J23" s="210"/>
      <c r="K23" s="210"/>
      <c r="L23" s="210"/>
      <c r="M23" s="210"/>
      <c r="N23" s="210"/>
      <c r="O23" s="201" t="s">
        <v>443</v>
      </c>
    </row>
    <row r="24" spans="1:15" ht="31.5" x14ac:dyDescent="0.25">
      <c r="A24" s="163" t="s">
        <v>471</v>
      </c>
      <c r="B24" s="164" t="s">
        <v>473</v>
      </c>
      <c r="C24" s="169" t="s">
        <v>474</v>
      </c>
      <c r="D24" s="201">
        <v>1</v>
      </c>
      <c r="E24" s="188"/>
      <c r="F24" s="189"/>
      <c r="G24" s="189"/>
      <c r="H24" s="189"/>
      <c r="I24" s="189"/>
      <c r="J24" s="189"/>
      <c r="K24" s="189"/>
      <c r="L24" s="189"/>
      <c r="M24" s="189"/>
      <c r="N24" s="189"/>
      <c r="O24" s="201" t="s">
        <v>475</v>
      </c>
    </row>
    <row r="25" spans="1:15" ht="31.5" x14ac:dyDescent="0.25">
      <c r="A25" s="163" t="s">
        <v>472</v>
      </c>
      <c r="B25" s="164" t="s">
        <v>476</v>
      </c>
      <c r="C25" s="169" t="s">
        <v>474</v>
      </c>
      <c r="D25" s="201">
        <v>1</v>
      </c>
      <c r="E25" s="188"/>
      <c r="F25" s="189"/>
      <c r="G25" s="189"/>
      <c r="H25" s="189"/>
      <c r="I25" s="189"/>
      <c r="J25" s="189"/>
      <c r="K25" s="189"/>
      <c r="L25" s="189"/>
      <c r="M25" s="189"/>
      <c r="N25" s="189"/>
      <c r="O25" s="201" t="s">
        <v>475</v>
      </c>
    </row>
    <row r="26" spans="1:15" x14ac:dyDescent="0.25">
      <c r="A26" s="158">
        <v>2</v>
      </c>
      <c r="B26" s="170" t="s">
        <v>477</v>
      </c>
      <c r="C26" s="171"/>
      <c r="D26" s="182"/>
      <c r="E26" s="172"/>
      <c r="F26" s="173"/>
      <c r="G26" s="173"/>
      <c r="H26" s="173"/>
      <c r="I26" s="173"/>
      <c r="J26" s="173"/>
      <c r="K26" s="173"/>
      <c r="L26" s="173"/>
      <c r="M26" s="173"/>
      <c r="N26" s="173"/>
      <c r="O26" s="162"/>
    </row>
    <row r="27" spans="1:15" ht="21" x14ac:dyDescent="0.25">
      <c r="A27" s="167" t="s">
        <v>478</v>
      </c>
      <c r="B27" s="164" t="s">
        <v>571</v>
      </c>
      <c r="C27" s="169" t="s">
        <v>453</v>
      </c>
      <c r="D27" s="201">
        <v>80</v>
      </c>
      <c r="E27" s="165"/>
      <c r="F27" s="189"/>
      <c r="G27" s="189"/>
      <c r="H27" s="168"/>
      <c r="I27" s="168"/>
      <c r="J27" s="168"/>
      <c r="K27" s="168"/>
      <c r="L27" s="168"/>
      <c r="M27" s="168"/>
      <c r="N27" s="168"/>
      <c r="O27" s="201" t="s">
        <v>446</v>
      </c>
    </row>
    <row r="28" spans="1:15" ht="21" x14ac:dyDescent="0.25">
      <c r="A28" s="167" t="s">
        <v>479</v>
      </c>
      <c r="B28" s="164" t="s">
        <v>572</v>
      </c>
      <c r="C28" s="169" t="s">
        <v>453</v>
      </c>
      <c r="D28" s="201">
        <v>70</v>
      </c>
      <c r="E28" s="165"/>
      <c r="F28" s="189"/>
      <c r="G28" s="209"/>
      <c r="H28" s="209"/>
      <c r="I28" s="209"/>
      <c r="J28" s="168"/>
      <c r="K28" s="168"/>
      <c r="L28" s="168"/>
      <c r="M28" s="168"/>
      <c r="N28" s="168"/>
      <c r="O28" s="201" t="s">
        <v>446</v>
      </c>
    </row>
    <row r="29" spans="1:15" ht="52.5" x14ac:dyDescent="0.25">
      <c r="A29" s="167" t="s">
        <v>480</v>
      </c>
      <c r="B29" s="164" t="s">
        <v>481</v>
      </c>
      <c r="C29" s="169" t="s">
        <v>453</v>
      </c>
      <c r="D29" s="201">
        <v>18</v>
      </c>
      <c r="E29" s="165"/>
      <c r="F29" s="168"/>
      <c r="G29" s="209"/>
      <c r="H29" s="209"/>
      <c r="I29" s="209"/>
      <c r="J29" s="209"/>
      <c r="K29" s="168"/>
      <c r="L29" s="168"/>
      <c r="M29" s="189"/>
      <c r="N29" s="189"/>
      <c r="O29" s="201" t="s">
        <v>446</v>
      </c>
    </row>
    <row r="30" spans="1:15" ht="21" x14ac:dyDescent="0.25">
      <c r="A30" s="167" t="s">
        <v>482</v>
      </c>
      <c r="B30" s="164" t="s">
        <v>483</v>
      </c>
      <c r="C30" s="169" t="s">
        <v>453</v>
      </c>
      <c r="D30" s="201">
        <v>45</v>
      </c>
      <c r="E30" s="165"/>
      <c r="F30" s="168"/>
      <c r="G30" s="168"/>
      <c r="H30" s="209"/>
      <c r="I30" s="209"/>
      <c r="J30" s="168"/>
      <c r="K30" s="168"/>
      <c r="L30" s="168"/>
      <c r="M30" s="189"/>
      <c r="N30" s="189"/>
      <c r="O30" s="201" t="s">
        <v>443</v>
      </c>
    </row>
    <row r="31" spans="1:15" ht="63" x14ac:dyDescent="0.25">
      <c r="A31" s="167" t="s">
        <v>484</v>
      </c>
      <c r="B31" s="164" t="s">
        <v>485</v>
      </c>
      <c r="C31" s="169" t="s">
        <v>109</v>
      </c>
      <c r="D31" s="201">
        <v>2</v>
      </c>
      <c r="E31" s="188"/>
      <c r="F31" s="189"/>
      <c r="G31" s="189"/>
      <c r="H31" s="189"/>
      <c r="I31" s="189"/>
      <c r="J31" s="189"/>
      <c r="K31" s="189"/>
      <c r="L31" s="189"/>
      <c r="M31" s="189"/>
      <c r="N31" s="189"/>
      <c r="O31" s="201" t="s">
        <v>443</v>
      </c>
    </row>
    <row r="32" spans="1:15" x14ac:dyDescent="0.25">
      <c r="A32" s="158">
        <v>3</v>
      </c>
      <c r="B32" s="159" t="s">
        <v>486</v>
      </c>
      <c r="C32" s="174"/>
      <c r="D32" s="183"/>
      <c r="E32" s="175"/>
      <c r="F32" s="176"/>
      <c r="G32" s="176"/>
      <c r="H32" s="176"/>
      <c r="I32" s="176"/>
      <c r="J32" s="176"/>
      <c r="K32" s="176"/>
      <c r="L32" s="176"/>
      <c r="M32" s="176"/>
      <c r="N32" s="176"/>
      <c r="O32" s="162"/>
    </row>
    <row r="33" spans="1:15" ht="31.5" x14ac:dyDescent="0.25">
      <c r="A33" s="163" t="s">
        <v>487</v>
      </c>
      <c r="B33" s="164" t="s">
        <v>495</v>
      </c>
      <c r="C33" s="169" t="s">
        <v>453</v>
      </c>
      <c r="D33" s="201">
        <v>240</v>
      </c>
      <c r="E33" s="165"/>
      <c r="F33" s="168"/>
      <c r="G33" s="168"/>
      <c r="H33" s="189"/>
      <c r="I33" s="168"/>
      <c r="J33" s="168"/>
      <c r="K33" s="168"/>
      <c r="L33" s="168"/>
      <c r="M33" s="168"/>
      <c r="N33" s="168"/>
      <c r="O33" s="201" t="s">
        <v>501</v>
      </c>
    </row>
    <row r="34" spans="1:15" ht="42" x14ac:dyDescent="0.25">
      <c r="A34" s="163" t="s">
        <v>488</v>
      </c>
      <c r="B34" s="164" t="s">
        <v>573</v>
      </c>
      <c r="C34" s="169" t="s">
        <v>109</v>
      </c>
      <c r="D34" s="201">
        <v>20</v>
      </c>
      <c r="E34" s="165"/>
      <c r="F34" s="189"/>
      <c r="G34" s="168"/>
      <c r="H34" s="168"/>
      <c r="I34" s="168"/>
      <c r="J34" s="168"/>
      <c r="K34" s="168"/>
      <c r="L34" s="168"/>
      <c r="M34" s="168"/>
      <c r="N34" s="168"/>
      <c r="O34" s="201" t="s">
        <v>446</v>
      </c>
    </row>
    <row r="35" spans="1:15" x14ac:dyDescent="0.25">
      <c r="A35" s="163" t="s">
        <v>489</v>
      </c>
      <c r="B35" s="164" t="s">
        <v>505</v>
      </c>
      <c r="C35" s="169" t="s">
        <v>109</v>
      </c>
      <c r="D35" s="201">
        <v>3</v>
      </c>
      <c r="E35" s="165"/>
      <c r="F35" s="168"/>
      <c r="G35" s="189"/>
      <c r="H35" s="168"/>
      <c r="I35" s="168"/>
      <c r="J35" s="168"/>
      <c r="K35" s="168"/>
      <c r="L35" s="168"/>
      <c r="M35" s="168"/>
      <c r="N35" s="168"/>
      <c r="O35" s="201" t="s">
        <v>446</v>
      </c>
    </row>
    <row r="36" spans="1:15" ht="21" x14ac:dyDescent="0.25">
      <c r="A36" s="163" t="s">
        <v>491</v>
      </c>
      <c r="B36" s="164" t="s">
        <v>509</v>
      </c>
      <c r="C36" s="169" t="s">
        <v>109</v>
      </c>
      <c r="D36" s="201">
        <v>4</v>
      </c>
      <c r="E36" s="165"/>
      <c r="F36" s="168"/>
      <c r="G36" s="189"/>
      <c r="H36" s="168"/>
      <c r="I36" s="168"/>
      <c r="J36" s="168"/>
      <c r="K36" s="168"/>
      <c r="L36" s="168"/>
      <c r="M36" s="168"/>
      <c r="N36" s="168"/>
      <c r="O36" s="201" t="s">
        <v>446</v>
      </c>
    </row>
    <row r="37" spans="1:15" ht="21" x14ac:dyDescent="0.25">
      <c r="A37" s="163" t="s">
        <v>493</v>
      </c>
      <c r="B37" s="164" t="s">
        <v>510</v>
      </c>
      <c r="C37" s="169" t="s">
        <v>109</v>
      </c>
      <c r="D37" s="201">
        <v>200</v>
      </c>
      <c r="E37" s="165"/>
      <c r="F37" s="168"/>
      <c r="G37" s="168"/>
      <c r="H37" s="189"/>
      <c r="I37" s="168"/>
      <c r="J37" s="168"/>
      <c r="K37" s="168"/>
      <c r="L37" s="168"/>
      <c r="M37" s="168"/>
      <c r="N37" s="168"/>
      <c r="O37" s="201" t="s">
        <v>446</v>
      </c>
    </row>
    <row r="38" spans="1:15" ht="21" x14ac:dyDescent="0.25">
      <c r="A38" s="163" t="s">
        <v>494</v>
      </c>
      <c r="B38" s="164" t="s">
        <v>506</v>
      </c>
      <c r="C38" s="169" t="s">
        <v>453</v>
      </c>
      <c r="D38" s="201">
        <v>28.8</v>
      </c>
      <c r="E38" s="165"/>
      <c r="F38" s="168"/>
      <c r="G38" s="189"/>
      <c r="H38" s="168"/>
      <c r="I38" s="168"/>
      <c r="J38" s="168"/>
      <c r="K38" s="168"/>
      <c r="L38" s="168"/>
      <c r="M38" s="168"/>
      <c r="N38" s="168"/>
      <c r="O38" s="201" t="s">
        <v>446</v>
      </c>
    </row>
    <row r="39" spans="1:15" ht="21" x14ac:dyDescent="0.25">
      <c r="A39" s="163" t="s">
        <v>496</v>
      </c>
      <c r="B39" s="164" t="s">
        <v>507</v>
      </c>
      <c r="C39" s="169" t="s">
        <v>453</v>
      </c>
      <c r="D39" s="201">
        <v>60</v>
      </c>
      <c r="E39" s="165"/>
      <c r="F39" s="168"/>
      <c r="G39" s="168"/>
      <c r="H39" s="168"/>
      <c r="I39" s="168"/>
      <c r="J39" s="189"/>
      <c r="K39" s="168"/>
      <c r="L39" s="168"/>
      <c r="M39" s="168"/>
      <c r="N39" s="168"/>
      <c r="O39" s="201" t="s">
        <v>446</v>
      </c>
    </row>
    <row r="40" spans="1:15" ht="21" x14ac:dyDescent="0.25">
      <c r="A40" s="163" t="s">
        <v>497</v>
      </c>
      <c r="B40" s="164" t="s">
        <v>508</v>
      </c>
      <c r="C40" s="169" t="s">
        <v>453</v>
      </c>
      <c r="D40" s="201">
        <v>60</v>
      </c>
      <c r="E40" s="165"/>
      <c r="F40" s="168"/>
      <c r="G40" s="168"/>
      <c r="H40" s="168"/>
      <c r="I40" s="189"/>
      <c r="J40" s="168"/>
      <c r="K40" s="168"/>
      <c r="L40" s="168"/>
      <c r="M40" s="168"/>
      <c r="N40" s="168"/>
      <c r="O40" s="201" t="s">
        <v>446</v>
      </c>
    </row>
    <row r="41" spans="1:15" ht="21" x14ac:dyDescent="0.25">
      <c r="A41" s="163" t="s">
        <v>498</v>
      </c>
      <c r="B41" s="164" t="s">
        <v>511</v>
      </c>
      <c r="C41" s="169" t="s">
        <v>453</v>
      </c>
      <c r="D41" s="201">
        <v>4</v>
      </c>
      <c r="E41" s="165"/>
      <c r="F41" s="168"/>
      <c r="G41" s="168"/>
      <c r="H41" s="168"/>
      <c r="I41" s="189"/>
      <c r="J41" s="168"/>
      <c r="K41" s="168"/>
      <c r="L41" s="168"/>
      <c r="M41" s="168"/>
      <c r="N41" s="168"/>
      <c r="O41" s="201" t="s">
        <v>446</v>
      </c>
    </row>
    <row r="42" spans="1:15" ht="31.5" x14ac:dyDescent="0.25">
      <c r="A42" s="163" t="s">
        <v>499</v>
      </c>
      <c r="B42" s="164" t="s">
        <v>512</v>
      </c>
      <c r="C42" s="169" t="s">
        <v>453</v>
      </c>
      <c r="D42" s="201">
        <v>4</v>
      </c>
      <c r="E42" s="165"/>
      <c r="F42" s="168"/>
      <c r="G42" s="168"/>
      <c r="H42" s="168"/>
      <c r="I42" s="189"/>
      <c r="J42" s="168"/>
      <c r="K42" s="168"/>
      <c r="L42" s="168"/>
      <c r="M42" s="168"/>
      <c r="N42" s="168"/>
      <c r="O42" s="201" t="s">
        <v>446</v>
      </c>
    </row>
    <row r="43" spans="1:15" ht="21" x14ac:dyDescent="0.25">
      <c r="A43" s="163" t="s">
        <v>500</v>
      </c>
      <c r="B43" s="164" t="s">
        <v>513</v>
      </c>
      <c r="C43" s="169" t="s">
        <v>109</v>
      </c>
      <c r="D43" s="201">
        <v>2</v>
      </c>
      <c r="E43" s="165"/>
      <c r="F43" s="168"/>
      <c r="G43" s="168"/>
      <c r="H43" s="168"/>
      <c r="I43" s="189"/>
      <c r="J43" s="168"/>
      <c r="K43" s="168"/>
      <c r="L43" s="168"/>
      <c r="M43" s="168"/>
      <c r="N43" s="168"/>
      <c r="O43" s="201" t="s">
        <v>446</v>
      </c>
    </row>
    <row r="44" spans="1:15" ht="42" x14ac:dyDescent="0.25">
      <c r="A44" s="163" t="s">
        <v>502</v>
      </c>
      <c r="B44" s="164" t="s">
        <v>490</v>
      </c>
      <c r="C44" s="169" t="s">
        <v>109</v>
      </c>
      <c r="D44" s="201">
        <v>8</v>
      </c>
      <c r="E44" s="165"/>
      <c r="F44" s="168"/>
      <c r="G44" s="168"/>
      <c r="H44" s="168"/>
      <c r="I44" s="168"/>
      <c r="J44" s="168"/>
      <c r="K44" s="189"/>
      <c r="L44" s="168"/>
      <c r="M44" s="168"/>
      <c r="N44" s="168"/>
      <c r="O44" s="201" t="s">
        <v>446</v>
      </c>
    </row>
    <row r="45" spans="1:15" ht="42" x14ac:dyDescent="0.25">
      <c r="A45" s="163" t="s">
        <v>503</v>
      </c>
      <c r="B45" s="164" t="s">
        <v>492</v>
      </c>
      <c r="C45" s="169" t="s">
        <v>109</v>
      </c>
      <c r="D45" s="201">
        <v>8</v>
      </c>
      <c r="E45" s="165"/>
      <c r="F45" s="168"/>
      <c r="G45" s="168"/>
      <c r="H45" s="168"/>
      <c r="I45" s="168"/>
      <c r="J45" s="168"/>
      <c r="K45" s="189"/>
      <c r="L45" s="168"/>
      <c r="M45" s="168"/>
      <c r="N45" s="168"/>
      <c r="O45" s="201" t="s">
        <v>446</v>
      </c>
    </row>
    <row r="46" spans="1:15" ht="52.5" x14ac:dyDescent="0.25">
      <c r="A46" s="163" t="s">
        <v>504</v>
      </c>
      <c r="B46" s="164" t="s">
        <v>514</v>
      </c>
      <c r="C46" s="169" t="s">
        <v>109</v>
      </c>
      <c r="D46" s="201">
        <v>8</v>
      </c>
      <c r="E46" s="165"/>
      <c r="F46" s="168"/>
      <c r="G46" s="168"/>
      <c r="H46" s="168"/>
      <c r="I46" s="168"/>
      <c r="J46" s="168"/>
      <c r="K46" s="168"/>
      <c r="L46" s="189"/>
      <c r="M46" s="168"/>
      <c r="N46" s="168"/>
      <c r="O46" s="201" t="s">
        <v>574</v>
      </c>
    </row>
    <row r="47" spans="1:15" x14ac:dyDescent="0.25">
      <c r="A47" s="177">
        <v>4</v>
      </c>
      <c r="B47" s="170" t="s">
        <v>515</v>
      </c>
      <c r="C47" s="178"/>
      <c r="D47" s="182"/>
      <c r="E47" s="172"/>
      <c r="F47" s="173"/>
      <c r="G47" s="173"/>
      <c r="H47" s="173"/>
      <c r="I47" s="173"/>
      <c r="J47" s="173"/>
      <c r="K47" s="173"/>
      <c r="L47" s="173"/>
      <c r="M47" s="173"/>
      <c r="N47" s="173"/>
      <c r="O47" s="162"/>
    </row>
    <row r="48" spans="1:15" ht="52.5" x14ac:dyDescent="0.25">
      <c r="A48" s="163" t="s">
        <v>516</v>
      </c>
      <c r="B48" s="164" t="s">
        <v>520</v>
      </c>
      <c r="C48" s="169" t="s">
        <v>521</v>
      </c>
      <c r="D48" s="201">
        <v>4</v>
      </c>
      <c r="E48" s="165"/>
      <c r="F48" s="168"/>
      <c r="G48" s="189"/>
      <c r="H48" s="189"/>
      <c r="I48" s="189"/>
      <c r="J48" s="189"/>
      <c r="K48" s="189"/>
      <c r="L48" s="189"/>
      <c r="M48" s="189"/>
      <c r="N48" s="189"/>
      <c r="O48" s="201" t="s">
        <v>446</v>
      </c>
    </row>
    <row r="49" spans="1:15" ht="63" x14ac:dyDescent="0.25">
      <c r="A49" s="163" t="s">
        <v>517</v>
      </c>
      <c r="B49" s="164" t="s">
        <v>523</v>
      </c>
      <c r="C49" s="202" t="s">
        <v>521</v>
      </c>
      <c r="D49" s="201">
        <v>1</v>
      </c>
      <c r="E49" s="188"/>
      <c r="F49" s="189"/>
      <c r="G49" s="189"/>
      <c r="H49" s="189"/>
      <c r="I49" s="189"/>
      <c r="J49" s="189"/>
      <c r="K49" s="168"/>
      <c r="L49" s="168"/>
      <c r="M49" s="168"/>
      <c r="N49" s="168"/>
      <c r="O49" s="201" t="s">
        <v>446</v>
      </c>
    </row>
    <row r="50" spans="1:15" ht="28.5" customHeight="1" x14ac:dyDescent="0.25">
      <c r="A50" s="163" t="s">
        <v>518</v>
      </c>
      <c r="B50" s="164" t="s">
        <v>525</v>
      </c>
      <c r="C50" s="202" t="s">
        <v>150</v>
      </c>
      <c r="D50" s="201">
        <v>145</v>
      </c>
      <c r="E50" s="188"/>
      <c r="F50" s="189"/>
      <c r="G50" s="189"/>
      <c r="H50" s="189"/>
      <c r="I50" s="189"/>
      <c r="J50" s="189"/>
      <c r="K50" s="168"/>
      <c r="L50" s="168"/>
      <c r="M50" s="168"/>
      <c r="N50" s="168"/>
      <c r="O50" s="201" t="s">
        <v>446</v>
      </c>
    </row>
    <row r="51" spans="1:15" ht="31.5" x14ac:dyDescent="0.25">
      <c r="A51" s="163" t="s">
        <v>519</v>
      </c>
      <c r="B51" s="164" t="s">
        <v>527</v>
      </c>
      <c r="C51" s="169" t="s">
        <v>521</v>
      </c>
      <c r="D51" s="201">
        <v>1</v>
      </c>
      <c r="E51" s="165"/>
      <c r="F51" s="168"/>
      <c r="G51" s="189"/>
      <c r="H51" s="189"/>
      <c r="I51" s="189"/>
      <c r="J51" s="189"/>
      <c r="K51" s="168"/>
      <c r="L51" s="168"/>
      <c r="M51" s="168"/>
      <c r="N51" s="168"/>
      <c r="O51" s="201" t="s">
        <v>446</v>
      </c>
    </row>
    <row r="52" spans="1:15" ht="52.5" x14ac:dyDescent="0.25">
      <c r="A52" s="163" t="s">
        <v>522</v>
      </c>
      <c r="B52" s="204" t="s">
        <v>529</v>
      </c>
      <c r="C52" s="169" t="s">
        <v>442</v>
      </c>
      <c r="D52" s="201">
        <v>14</v>
      </c>
      <c r="E52" s="165"/>
      <c r="F52" s="168"/>
      <c r="G52" s="189"/>
      <c r="H52" s="189"/>
      <c r="I52" s="189"/>
      <c r="J52" s="189"/>
      <c r="K52" s="189"/>
      <c r="L52" s="189"/>
      <c r="M52" s="189"/>
      <c r="N52" s="168"/>
      <c r="O52" s="201" t="s">
        <v>446</v>
      </c>
    </row>
    <row r="53" spans="1:15" ht="52.5" x14ac:dyDescent="0.25">
      <c r="A53" s="163" t="s">
        <v>524</v>
      </c>
      <c r="B53" s="164" t="s">
        <v>531</v>
      </c>
      <c r="C53" s="202" t="s">
        <v>521</v>
      </c>
      <c r="D53" s="201">
        <v>3</v>
      </c>
      <c r="E53" s="165"/>
      <c r="F53" s="168"/>
      <c r="G53" s="189"/>
      <c r="H53" s="189"/>
      <c r="I53" s="189"/>
      <c r="J53" s="189"/>
      <c r="K53" s="168"/>
      <c r="L53" s="168"/>
      <c r="M53" s="168"/>
      <c r="N53" s="168"/>
      <c r="O53" s="201" t="s">
        <v>446</v>
      </c>
    </row>
    <row r="54" spans="1:15" ht="31.5" x14ac:dyDescent="0.25">
      <c r="A54" s="163" t="s">
        <v>526</v>
      </c>
      <c r="B54" s="164" t="s">
        <v>533</v>
      </c>
      <c r="C54" s="169" t="s">
        <v>521</v>
      </c>
      <c r="D54" s="201">
        <v>3</v>
      </c>
      <c r="E54" s="165"/>
      <c r="F54" s="189"/>
      <c r="G54" s="189"/>
      <c r="H54" s="189"/>
      <c r="I54" s="189"/>
      <c r="J54" s="189"/>
      <c r="K54" s="168"/>
      <c r="L54" s="168"/>
      <c r="M54" s="168"/>
      <c r="N54" s="168"/>
      <c r="O54" s="201" t="s">
        <v>443</v>
      </c>
    </row>
    <row r="55" spans="1:15" ht="21" x14ac:dyDescent="0.25">
      <c r="A55" s="163" t="s">
        <v>528</v>
      </c>
      <c r="B55" s="164" t="s">
        <v>534</v>
      </c>
      <c r="C55" s="169" t="s">
        <v>521</v>
      </c>
      <c r="D55" s="201">
        <v>2</v>
      </c>
      <c r="E55" s="165"/>
      <c r="F55" s="189"/>
      <c r="G55" s="189"/>
      <c r="H55" s="189"/>
      <c r="I55" s="189"/>
      <c r="J55" s="189"/>
      <c r="K55" s="168"/>
      <c r="L55" s="168"/>
      <c r="M55" s="168"/>
      <c r="N55" s="168"/>
      <c r="O55" s="201" t="s">
        <v>443</v>
      </c>
    </row>
    <row r="56" spans="1:15" ht="84" x14ac:dyDescent="0.25">
      <c r="A56" s="163" t="s">
        <v>530</v>
      </c>
      <c r="B56" s="164" t="s">
        <v>535</v>
      </c>
      <c r="C56" s="169" t="s">
        <v>442</v>
      </c>
      <c r="D56" s="201">
        <v>14</v>
      </c>
      <c r="E56" s="188"/>
      <c r="F56" s="189"/>
      <c r="G56" s="189"/>
      <c r="H56" s="189"/>
      <c r="I56" s="189"/>
      <c r="J56" s="189"/>
      <c r="K56" s="189"/>
      <c r="L56" s="189"/>
      <c r="M56" s="168"/>
      <c r="N56" s="168"/>
      <c r="O56" s="201" t="s">
        <v>443</v>
      </c>
    </row>
    <row r="57" spans="1:15" ht="52.5" x14ac:dyDescent="0.25">
      <c r="A57" s="163" t="s">
        <v>532</v>
      </c>
      <c r="B57" s="164" t="s">
        <v>536</v>
      </c>
      <c r="C57" s="202" t="s">
        <v>537</v>
      </c>
      <c r="D57" s="201">
        <v>6</v>
      </c>
      <c r="E57" s="165"/>
      <c r="F57" s="168"/>
      <c r="G57" s="168"/>
      <c r="H57" s="168"/>
      <c r="I57" s="189"/>
      <c r="J57" s="189"/>
      <c r="K57" s="189"/>
      <c r="L57" s="168"/>
      <c r="M57" s="168"/>
      <c r="N57" s="168"/>
      <c r="O57" s="201" t="s">
        <v>443</v>
      </c>
    </row>
    <row r="58" spans="1:15" x14ac:dyDescent="0.25">
      <c r="A58" s="177">
        <v>5</v>
      </c>
      <c r="B58" s="170" t="s">
        <v>538</v>
      </c>
      <c r="C58" s="176"/>
      <c r="D58" s="184"/>
      <c r="E58" s="175"/>
      <c r="F58" s="176"/>
      <c r="G58" s="176"/>
      <c r="H58" s="176"/>
      <c r="I58" s="176"/>
      <c r="J58" s="176"/>
      <c r="K58" s="176"/>
      <c r="L58" s="176"/>
      <c r="M58" s="176"/>
      <c r="N58" s="176"/>
      <c r="O58" s="179"/>
    </row>
    <row r="59" spans="1:15" ht="31.5" x14ac:dyDescent="0.25">
      <c r="A59" s="167" t="s">
        <v>539</v>
      </c>
      <c r="B59" s="164" t="s">
        <v>540</v>
      </c>
      <c r="C59" s="169" t="s">
        <v>442</v>
      </c>
      <c r="D59" s="201">
        <v>32</v>
      </c>
      <c r="E59" s="165"/>
      <c r="F59" s="168"/>
      <c r="G59" s="168"/>
      <c r="H59" s="168"/>
      <c r="I59" s="189"/>
      <c r="J59" s="189"/>
      <c r="K59" s="189"/>
      <c r="L59" s="189"/>
      <c r="M59" s="168"/>
      <c r="N59" s="168"/>
      <c r="O59" s="201" t="s">
        <v>446</v>
      </c>
    </row>
    <row r="60" spans="1:15" ht="31.5" x14ac:dyDescent="0.25">
      <c r="A60" s="163" t="s">
        <v>541</v>
      </c>
      <c r="B60" s="164" t="s">
        <v>575</v>
      </c>
      <c r="C60" s="169" t="s">
        <v>442</v>
      </c>
      <c r="D60" s="201">
        <v>90</v>
      </c>
      <c r="E60" s="165"/>
      <c r="F60" s="168"/>
      <c r="G60" s="189"/>
      <c r="H60" s="189"/>
      <c r="I60" s="189"/>
      <c r="J60" s="189"/>
      <c r="K60" s="168"/>
      <c r="L60" s="168"/>
      <c r="M60" s="168"/>
      <c r="N60" s="168"/>
      <c r="O60" s="201" t="s">
        <v>446</v>
      </c>
    </row>
    <row r="61" spans="1:15" ht="24.75" customHeight="1" x14ac:dyDescent="0.25">
      <c r="A61" s="167" t="s">
        <v>542</v>
      </c>
      <c r="B61" s="164" t="s">
        <v>543</v>
      </c>
      <c r="C61" s="169" t="s">
        <v>453</v>
      </c>
      <c r="D61" s="201">
        <v>100</v>
      </c>
      <c r="E61" s="165"/>
      <c r="F61" s="168"/>
      <c r="G61" s="189"/>
      <c r="H61" s="189"/>
      <c r="I61" s="189"/>
      <c r="J61" s="189"/>
      <c r="K61" s="168"/>
      <c r="L61" s="168"/>
      <c r="M61" s="168"/>
      <c r="N61" s="168"/>
      <c r="O61" s="201" t="s">
        <v>446</v>
      </c>
    </row>
    <row r="62" spans="1:15" ht="42" x14ac:dyDescent="0.25">
      <c r="A62" s="163" t="s">
        <v>544</v>
      </c>
      <c r="B62" s="164" t="s">
        <v>546</v>
      </c>
      <c r="C62" s="169" t="s">
        <v>521</v>
      </c>
      <c r="D62" s="201">
        <v>3</v>
      </c>
      <c r="E62" s="165"/>
      <c r="F62" s="168"/>
      <c r="G62" s="168"/>
      <c r="H62" s="168"/>
      <c r="I62" s="189"/>
      <c r="J62" s="189"/>
      <c r="K62" s="189"/>
      <c r="L62" s="189"/>
      <c r="M62" s="168"/>
      <c r="N62" s="168"/>
      <c r="O62" s="201" t="s">
        <v>446</v>
      </c>
    </row>
    <row r="63" spans="1:15" ht="42" x14ac:dyDescent="0.25">
      <c r="A63" s="167" t="s">
        <v>545</v>
      </c>
      <c r="B63" s="164" t="s">
        <v>548</v>
      </c>
      <c r="C63" s="202" t="s">
        <v>521</v>
      </c>
      <c r="D63" s="201">
        <v>1</v>
      </c>
      <c r="E63" s="180"/>
      <c r="F63" s="166"/>
      <c r="G63" s="189"/>
      <c r="H63" s="189"/>
      <c r="I63" s="189"/>
      <c r="J63" s="189"/>
      <c r="K63" s="189"/>
      <c r="L63" s="189"/>
      <c r="M63" s="166"/>
      <c r="N63" s="166"/>
      <c r="O63" s="201" t="s">
        <v>446</v>
      </c>
    </row>
    <row r="64" spans="1:15" ht="52.5" x14ac:dyDescent="0.25">
      <c r="A64" s="163" t="s">
        <v>547</v>
      </c>
      <c r="B64" s="164" t="s">
        <v>550</v>
      </c>
      <c r="C64" s="169" t="s">
        <v>442</v>
      </c>
      <c r="D64" s="201">
        <v>10</v>
      </c>
      <c r="E64" s="180"/>
      <c r="F64" s="166"/>
      <c r="G64" s="166"/>
      <c r="H64" s="166"/>
      <c r="I64" s="166"/>
      <c r="J64" s="189"/>
      <c r="K64" s="189"/>
      <c r="L64" s="189"/>
      <c r="M64" s="189"/>
      <c r="N64" s="189"/>
      <c r="O64" s="201" t="s">
        <v>446</v>
      </c>
    </row>
    <row r="65" spans="1:15" ht="31.5" x14ac:dyDescent="0.25">
      <c r="A65" s="167" t="s">
        <v>549</v>
      </c>
      <c r="B65" s="164" t="s">
        <v>576</v>
      </c>
      <c r="C65" s="169" t="s">
        <v>442</v>
      </c>
      <c r="D65" s="201">
        <v>10</v>
      </c>
      <c r="E65" s="165"/>
      <c r="F65" s="168"/>
      <c r="G65" s="189"/>
      <c r="H65" s="189"/>
      <c r="I65" s="189"/>
      <c r="J65" s="189"/>
      <c r="K65" s="168"/>
      <c r="L65" s="168"/>
      <c r="M65" s="168"/>
      <c r="N65" s="168"/>
      <c r="O65" s="201" t="s">
        <v>446</v>
      </c>
    </row>
    <row r="66" spans="1:15" ht="31.5" x14ac:dyDescent="0.25">
      <c r="A66" s="163" t="s">
        <v>551</v>
      </c>
      <c r="B66" s="164" t="s">
        <v>577</v>
      </c>
      <c r="C66" s="169" t="s">
        <v>442</v>
      </c>
      <c r="D66" s="201">
        <v>10</v>
      </c>
      <c r="E66" s="165"/>
      <c r="F66" s="168"/>
      <c r="G66" s="168"/>
      <c r="H66" s="168"/>
      <c r="I66" s="189"/>
      <c r="J66" s="189"/>
      <c r="K66" s="189"/>
      <c r="L66" s="168"/>
      <c r="M66" s="168"/>
      <c r="N66" s="168"/>
      <c r="O66" s="201" t="s">
        <v>443</v>
      </c>
    </row>
    <row r="67" spans="1:15" ht="31.5" x14ac:dyDescent="0.25">
      <c r="A67" s="167" t="s">
        <v>552</v>
      </c>
      <c r="B67" s="164" t="s">
        <v>554</v>
      </c>
      <c r="C67" s="169" t="s">
        <v>442</v>
      </c>
      <c r="D67" s="201">
        <v>275</v>
      </c>
      <c r="E67" s="165"/>
      <c r="F67" s="168"/>
      <c r="G67" s="168"/>
      <c r="H67" s="168"/>
      <c r="I67" s="168"/>
      <c r="J67" s="168"/>
      <c r="K67" s="166"/>
      <c r="L67" s="189"/>
      <c r="M67" s="189"/>
      <c r="N67" s="189"/>
      <c r="O67" s="201" t="s">
        <v>443</v>
      </c>
    </row>
    <row r="68" spans="1:15" ht="42" x14ac:dyDescent="0.25">
      <c r="A68" s="163" t="s">
        <v>553</v>
      </c>
      <c r="B68" s="164" t="s">
        <v>578</v>
      </c>
      <c r="C68" s="202" t="s">
        <v>442</v>
      </c>
      <c r="D68" s="201">
        <v>30</v>
      </c>
      <c r="E68" s="165"/>
      <c r="F68" s="168"/>
      <c r="G68" s="168"/>
      <c r="H68" s="168"/>
      <c r="I68" s="189"/>
      <c r="J68" s="189"/>
      <c r="K68" s="189"/>
      <c r="L68" s="189"/>
      <c r="M68" s="168"/>
      <c r="N68" s="168"/>
      <c r="O68" s="201" t="s">
        <v>446</v>
      </c>
    </row>
    <row r="69" spans="1:15" ht="52.5" x14ac:dyDescent="0.25">
      <c r="A69" s="167" t="s">
        <v>555</v>
      </c>
      <c r="B69" s="164" t="s">
        <v>579</v>
      </c>
      <c r="C69" s="202" t="s">
        <v>442</v>
      </c>
      <c r="D69" s="201">
        <v>266</v>
      </c>
      <c r="E69" s="165"/>
      <c r="F69" s="168"/>
      <c r="G69" s="189"/>
      <c r="H69" s="189"/>
      <c r="I69" s="168"/>
      <c r="J69" s="168"/>
      <c r="K69" s="168"/>
      <c r="L69" s="168"/>
      <c r="M69" s="168"/>
      <c r="N69" s="168"/>
      <c r="O69" s="201" t="s">
        <v>446</v>
      </c>
    </row>
    <row r="70" spans="1:15" ht="84" x14ac:dyDescent="0.25">
      <c r="A70" s="163" t="s">
        <v>556</v>
      </c>
      <c r="B70" s="164" t="s">
        <v>535</v>
      </c>
      <c r="C70" s="202" t="s">
        <v>442</v>
      </c>
      <c r="D70" s="201">
        <v>38</v>
      </c>
      <c r="E70" s="188"/>
      <c r="F70" s="189"/>
      <c r="G70" s="189"/>
      <c r="H70" s="189"/>
      <c r="I70" s="189"/>
      <c r="J70" s="189"/>
      <c r="K70" s="189"/>
      <c r="L70" s="189"/>
      <c r="M70" s="166"/>
      <c r="N70" s="166"/>
      <c r="O70" s="201" t="s">
        <v>446</v>
      </c>
    </row>
    <row r="71" spans="1:15" ht="42" x14ac:dyDescent="0.25">
      <c r="A71" s="167" t="s">
        <v>557</v>
      </c>
      <c r="B71" s="164" t="s">
        <v>562</v>
      </c>
      <c r="C71" s="169" t="s">
        <v>537</v>
      </c>
      <c r="D71" s="201">
        <v>20</v>
      </c>
      <c r="E71" s="180"/>
      <c r="F71" s="166"/>
      <c r="G71" s="166"/>
      <c r="H71" s="166"/>
      <c r="I71" s="189"/>
      <c r="J71" s="189"/>
      <c r="K71" s="189"/>
      <c r="L71" s="189"/>
      <c r="M71" s="166"/>
      <c r="N71" s="166"/>
      <c r="O71" s="208" t="s">
        <v>475</v>
      </c>
    </row>
    <row r="72" spans="1:15" ht="31.5" x14ac:dyDescent="0.25">
      <c r="A72" s="163" t="s">
        <v>558</v>
      </c>
      <c r="B72" s="164" t="s">
        <v>563</v>
      </c>
      <c r="C72" s="202" t="s">
        <v>453</v>
      </c>
      <c r="D72" s="201">
        <v>3.3</v>
      </c>
      <c r="E72" s="165"/>
      <c r="F72" s="168"/>
      <c r="G72" s="166"/>
      <c r="H72" s="166"/>
      <c r="I72" s="189"/>
      <c r="J72" s="189"/>
      <c r="K72" s="189"/>
      <c r="L72" s="189"/>
      <c r="M72" s="168"/>
      <c r="N72" s="168"/>
      <c r="O72" s="201" t="s">
        <v>446</v>
      </c>
    </row>
    <row r="73" spans="1:15" ht="60.75" customHeight="1" x14ac:dyDescent="0.25">
      <c r="A73" s="167" t="s">
        <v>559</v>
      </c>
      <c r="B73" s="205" t="s">
        <v>564</v>
      </c>
      <c r="C73" s="202" t="s">
        <v>442</v>
      </c>
      <c r="D73" s="169">
        <v>5</v>
      </c>
      <c r="E73" s="165"/>
      <c r="F73" s="168"/>
      <c r="G73" s="189"/>
      <c r="H73" s="189"/>
      <c r="I73" s="168"/>
      <c r="J73" s="168"/>
      <c r="K73" s="209"/>
      <c r="L73" s="209"/>
      <c r="M73" s="168"/>
      <c r="N73" s="168"/>
      <c r="O73" s="169" t="s">
        <v>446</v>
      </c>
    </row>
    <row r="74" spans="1:15" ht="31.5" x14ac:dyDescent="0.25">
      <c r="A74" s="163" t="s">
        <v>560</v>
      </c>
      <c r="B74" s="203" t="s">
        <v>580</v>
      </c>
      <c r="C74" s="206" t="s">
        <v>442</v>
      </c>
      <c r="D74" s="207">
        <v>115</v>
      </c>
      <c r="E74" s="165"/>
      <c r="F74" s="168"/>
      <c r="G74" s="168"/>
      <c r="H74" s="168"/>
      <c r="I74" s="168"/>
      <c r="J74" s="168"/>
      <c r="K74" s="209"/>
      <c r="L74" s="209"/>
      <c r="M74" s="189"/>
      <c r="N74" s="189"/>
      <c r="O74" s="207" t="s">
        <v>446</v>
      </c>
    </row>
    <row r="75" spans="1:15" ht="31.5" x14ac:dyDescent="0.25">
      <c r="A75" s="163" t="s">
        <v>561</v>
      </c>
      <c r="B75" s="164" t="s">
        <v>581</v>
      </c>
      <c r="C75" s="202" t="s">
        <v>537</v>
      </c>
      <c r="D75" s="169">
        <v>1</v>
      </c>
      <c r="E75" s="165"/>
      <c r="F75" s="168"/>
      <c r="G75" s="168"/>
      <c r="H75" s="168"/>
      <c r="I75" s="189"/>
      <c r="J75" s="189"/>
      <c r="K75" s="189"/>
      <c r="L75" s="189"/>
      <c r="M75" s="168"/>
      <c r="N75" s="168"/>
      <c r="O75" s="169" t="s">
        <v>446</v>
      </c>
    </row>
  </sheetData>
  <autoFilter ref="A6:O75" xr:uid="{28588985-4F1E-4D44-AA8C-C1F249887336}"/>
  <mergeCells count="11">
    <mergeCell ref="C5:C6"/>
    <mergeCell ref="B5:B6"/>
    <mergeCell ref="A5:A6"/>
    <mergeCell ref="C1:O1"/>
    <mergeCell ref="A1:B4"/>
    <mergeCell ref="C2:O2"/>
    <mergeCell ref="C3:O4"/>
    <mergeCell ref="E5:H5"/>
    <mergeCell ref="I5:L5"/>
    <mergeCell ref="M5:N5"/>
    <mergeCell ref="D5:D6"/>
  </mergeCells>
  <phoneticPr fontId="12" type="noConversion"/>
  <printOptions horizontalCentered="1"/>
  <pageMargins left="0.23622047244094491" right="0.23622047244094491" top="1.1811023622047245" bottom="0.35433070866141736" header="0.31496062992125984" footer="0.31496062992125984"/>
  <pageSetup scale="59" fitToHeight="0" orientation="portrait" r:id="rId1"/>
  <headerFooter>
    <oddHeader>Página &amp;P&amp;R</oddHeader>
  </headerFooter>
  <rowBreaks count="1" manualBreakCount="1">
    <brk id="46" max="16" man="1"/>
  </rowBreaks>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F50DC3440670A4E9387085BCD08826B" ma:contentTypeVersion="19" ma:contentTypeDescription="Crear nuevo documento." ma:contentTypeScope="" ma:versionID="99db870931077f8443db304b9bbe367f">
  <xsd:schema xmlns:xsd="http://www.w3.org/2001/XMLSchema" xmlns:xs="http://www.w3.org/2001/XMLSchema" xmlns:p="http://schemas.microsoft.com/office/2006/metadata/properties" xmlns:ns2="56979c82-d0f0-4d8b-9ecf-1e5977d47bdb" xmlns:ns3="9b2af96d-43e2-4016-86ca-20b8cf4a8357" targetNamespace="http://schemas.microsoft.com/office/2006/metadata/properties" ma:root="true" ma:fieldsID="cf45d117bbb1fafa0fbc1db495c68e2a" ns2:_="" ns3:_="">
    <xsd:import namespace="56979c82-d0f0-4d8b-9ecf-1e5977d47bdb"/>
    <xsd:import namespace="9b2af96d-43e2-4016-86ca-20b8cf4a835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979c82-d0f0-4d8b-9ecf-1e5977d47b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internalName="MediaServiceLocatio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fbc45cb4-c21a-49bb-988e-5b402dd8a97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2af96d-43e2-4016-86ca-20b8cf4a8357"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2d57e120-3dcf-47ac-b874-1dd6e10546c7}" ma:internalName="TaxCatchAll" ma:showField="CatchAllData" ma:web="9b2af96d-43e2-4016-86ca-20b8cf4a83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9b2af96d-43e2-4016-86ca-20b8cf4a8357" xsi:nil="true"/>
    <lcf76f155ced4ddcb4097134ff3c332f xmlns="56979c82-d0f0-4d8b-9ecf-1e5977d47bdb">
      <Terms xmlns="http://schemas.microsoft.com/office/infopath/2007/PartnerControls"/>
    </lcf76f155ced4ddcb4097134ff3c332f>
    <SharedWithUsers xmlns="9b2af96d-43e2-4016-86ca-20b8cf4a8357">
      <UserInfo>
        <DisplayName>Adriana Rodriguez Correa</DisplayName>
        <AccountId>15</AccountId>
        <AccountType/>
      </UserInfo>
      <UserInfo>
        <DisplayName>Libardo Joya Pineda</DisplayName>
        <AccountId>10</AccountId>
        <AccountType/>
      </UserInfo>
      <UserInfo>
        <DisplayName>Lina Paola Medrano Vargas</DisplayName>
        <AccountId>143</AccountId>
        <AccountType/>
      </UserInfo>
      <UserInfo>
        <DisplayName>Mauricio Correa Mendieta</DisplayName>
        <AccountId>329</AccountId>
        <AccountType/>
      </UserInfo>
      <UserInfo>
        <DisplayName>Aura Janneth Santana Adames</DisplayName>
        <AccountId>185</AccountId>
        <AccountType/>
      </UserInfo>
      <UserInfo>
        <DisplayName>Justo Mauricio Cepeda Arenas</DisplayName>
        <AccountId>129</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EEDBDB4-24D7-44DC-B1CB-4E7494A031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979c82-d0f0-4d8b-9ecf-1e5977d47bdb"/>
    <ds:schemaRef ds:uri="9b2af96d-43e2-4016-86ca-20b8cf4a83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23042D-9E50-4B04-B900-D0452407FCE9}">
  <ds:schemaRefs>
    <ds:schemaRef ds:uri="http://schemas.microsoft.com/office/2006/metadata/properties"/>
    <ds:schemaRef ds:uri="http://schemas.microsoft.com/office/infopath/2007/PartnerControls"/>
    <ds:schemaRef ds:uri="9b2af96d-43e2-4016-86ca-20b8cf4a8357"/>
    <ds:schemaRef ds:uri="56979c82-d0f0-4d8b-9ecf-1e5977d47bdb"/>
  </ds:schemaRefs>
</ds:datastoreItem>
</file>

<file path=customXml/itemProps3.xml><?xml version="1.0" encoding="utf-8"?>
<ds:datastoreItem xmlns:ds="http://schemas.openxmlformats.org/officeDocument/2006/customXml" ds:itemID="{B7AE6492-4537-45AB-A6C3-6619C3185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Procesos</vt:lpstr>
      <vt:lpstr>Mano de Obra</vt:lpstr>
      <vt:lpstr>PreciosWEBReferencias</vt:lpstr>
      <vt:lpstr>AIU</vt:lpstr>
      <vt:lpstr>precios</vt:lpstr>
      <vt:lpstr>Items</vt:lpstr>
      <vt:lpstr>AIU!Área_de_impresión</vt:lpstr>
      <vt:lpstr>Items!Área_de_impresión</vt:lpstr>
      <vt:lpstr>Procesos!Área_de_impresión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Libardo Joya Pineda</dc:creator>
  <cp:keywords/>
  <dc:description/>
  <cp:lastModifiedBy>Justo Mauricio Cepeda Arenas</cp:lastModifiedBy>
  <cp:revision/>
  <dcterms:created xsi:type="dcterms:W3CDTF">2023-06-16T21:46:57Z</dcterms:created>
  <dcterms:modified xsi:type="dcterms:W3CDTF">2025-08-15T19:22:37Z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0x010100FF50DC3440670A4E9387085BCD08826B</vt:lpwstr>
  </property>
  <property fmtid="{D5CDD505-2E9C-101B-9397-08002B2CF9AE}" pid="3" name="MediaServiceImageTags">
    <vt:lpwstr/>
  </property>
</Properties>
</file>