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garita.sotelo\Desktop\MARGARITA\2025\9. SEPTIEMBRE\PROCESOS\MANILLAS Y CARNETS\"/>
    </mc:Choice>
  </mc:AlternateContent>
  <bookViews>
    <workbookView xWindow="0" yWindow="0" windowWidth="24705" windowHeight="11490"/>
  </bookViews>
  <sheets>
    <sheet name="ESTUDIO DE MERCADO" sheetId="1" r:id="rId1"/>
    <sheet name="Hoja2" sheetId="4" state="hidden" r:id="rId2"/>
    <sheet name="Hoja1" sheetId="3" state="hidden" r:id="rId3"/>
    <sheet name="OFERTA ECONOMICA" sheetId="2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" l="1"/>
  <c r="O5" i="1"/>
  <c r="P5" i="1"/>
  <c r="Q5" i="1"/>
  <c r="R5" i="1"/>
  <c r="S5" i="1"/>
  <c r="N6" i="1"/>
  <c r="O6" i="1"/>
  <c r="P6" i="1"/>
  <c r="Q6" i="1"/>
  <c r="R6" i="1" s="1"/>
  <c r="S6" i="1"/>
  <c r="N7" i="1"/>
  <c r="O7" i="1"/>
  <c r="P7" i="1"/>
  <c r="Q7" i="1"/>
  <c r="R7" i="1"/>
  <c r="S7" i="1"/>
  <c r="N8" i="1"/>
  <c r="O8" i="1"/>
  <c r="P8" i="1"/>
  <c r="Q8" i="1"/>
  <c r="R8" i="1"/>
  <c r="S8" i="1"/>
  <c r="N9" i="1"/>
  <c r="O9" i="1"/>
  <c r="P9" i="1"/>
  <c r="Q9" i="1"/>
  <c r="R9" i="1"/>
  <c r="S9" i="1"/>
  <c r="N10" i="1"/>
  <c r="O10" i="1"/>
  <c r="P10" i="1"/>
  <c r="Q10" i="1"/>
  <c r="R10" i="1" s="1"/>
  <c r="S10" i="1"/>
  <c r="F6" i="4" l="1"/>
  <c r="H5" i="4"/>
  <c r="I10" i="1"/>
  <c r="J10" i="1" s="1"/>
  <c r="I9" i="1"/>
  <c r="J9" i="1" s="1"/>
  <c r="I8" i="1"/>
  <c r="J8" i="1" s="1"/>
  <c r="I7" i="1"/>
  <c r="J7" i="1" s="1"/>
  <c r="I6" i="1"/>
  <c r="J6" i="1" s="1"/>
  <c r="F4" i="1" l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L5" i="1" l="1"/>
  <c r="M5" i="1" s="1"/>
  <c r="L6" i="1"/>
  <c r="M6" i="1" s="1"/>
  <c r="L7" i="1"/>
  <c r="M7" i="1" s="1"/>
  <c r="L8" i="1"/>
  <c r="L9" i="1"/>
  <c r="M9" i="1" s="1"/>
  <c r="L10" i="1"/>
  <c r="M10" i="1" s="1"/>
  <c r="L4" i="1"/>
  <c r="M4" i="1" s="1"/>
  <c r="O4" i="1" s="1"/>
  <c r="I5" i="1"/>
  <c r="J5" i="1" s="1"/>
  <c r="I4" i="1"/>
  <c r="J4" i="1" s="1"/>
  <c r="Q4" i="1" s="1"/>
  <c r="N4" i="1" l="1"/>
  <c r="S4" i="1" s="1"/>
  <c r="P4" i="1"/>
  <c r="M8" i="1"/>
  <c r="G3" i="4" l="1"/>
  <c r="H3" i="4" s="1"/>
  <c r="R4" i="1"/>
  <c r="G4" i="4" l="1"/>
  <c r="I4" i="4" s="1"/>
  <c r="G2" i="4"/>
  <c r="O6" i="3"/>
  <c r="O5" i="3"/>
  <c r="M5" i="3"/>
  <c r="L5" i="3"/>
  <c r="K5" i="3"/>
  <c r="N5" i="3" s="1"/>
  <c r="H2" i="4" l="1"/>
  <c r="H6" i="4" s="1"/>
  <c r="G6" i="4"/>
  <c r="B23" i="3"/>
  <c r="H3" i="2" l="1"/>
</calcChain>
</file>

<file path=xl/sharedStrings.xml><?xml version="1.0" encoding="utf-8"?>
<sst xmlns="http://schemas.openxmlformats.org/spreadsheetml/2006/main" count="109" uniqueCount="83">
  <si>
    <t>ÍITEM</t>
  </si>
  <si>
    <t>DESCRIPCIÓN DEL ELEMENTO O SERVICIO</t>
  </si>
  <si>
    <t xml:space="preserve">CANT </t>
  </si>
  <si>
    <t>SIEVERT</t>
  </si>
  <si>
    <t>PRECIO TOTAL PROMEDIO TRIMESTRE</t>
  </si>
  <si>
    <t xml:space="preserve">Prestación del servició de Dosimetría altamente especializada (OSL - TLD) </t>
  </si>
  <si>
    <t xml:space="preserve">76 dosímetros * 03 trimestres </t>
  </si>
  <si>
    <t>TOTAL</t>
  </si>
  <si>
    <t xml:space="preserve">ESTIMACION MEDIANA VALOR UNITARIO </t>
  </si>
  <si>
    <t>ESTIMACION MEDIA ARMONICA VALOR UNITARIO</t>
  </si>
  <si>
    <t>ESTIMACION POR PROMEDIO VALOR  UNITARIO</t>
  </si>
  <si>
    <t xml:space="preserve">VALOR UNITARIO PRECIO TECHO DE REFERENCIA </t>
  </si>
  <si>
    <t>VALOR A OFERTAR OFERENTE</t>
  </si>
  <si>
    <t>VALOR UNITARIO IVA INCLUIDO</t>
  </si>
  <si>
    <t xml:space="preserve">VALOR UNITARIO CASTIGADO PRECIO TECHO DE REFERENCIA </t>
  </si>
  <si>
    <t>PRECIO HISTORICO</t>
  </si>
  <si>
    <t>RADPROCT</t>
  </si>
  <si>
    <t>PRECIO UNITARIO</t>
  </si>
  <si>
    <t xml:space="preserve">80 dosímetros * 03 trimestres </t>
  </si>
  <si>
    <t>CEMED / DMBOG</t>
  </si>
  <si>
    <t>HONAC</t>
  </si>
  <si>
    <t>ENSB / DMBAQ</t>
  </si>
  <si>
    <t>HONAM / DMBHM</t>
  </si>
  <si>
    <t>HONAL / DMLEG</t>
  </si>
  <si>
    <t>CBEIM / DMCOV</t>
  </si>
  <si>
    <t>BRIM2 / DMBUN</t>
  </si>
  <si>
    <t>BRIM-1 / DMCOR</t>
  </si>
  <si>
    <t>BFIM- 42 / UBAGP</t>
  </si>
  <si>
    <t>BIM13 / UBAML</t>
  </si>
  <si>
    <t>BFIM51 / UBACR</t>
  </si>
  <si>
    <t>PFA-31/ UBABA</t>
  </si>
  <si>
    <t>BFIM12 / UBACT</t>
  </si>
  <si>
    <t>DOSIMETRICAL</t>
  </si>
  <si>
    <t xml:space="preserve">TOTAL X 3 TRIMESTRES </t>
  </si>
  <si>
    <t xml:space="preserve">CANTIDAD </t>
  </si>
  <si>
    <t>VALOR UNITARIO CONTRATO No. 033 AÑO 2023</t>
  </si>
  <si>
    <t>CARE DOSIMETRY</t>
  </si>
  <si>
    <t>IVA</t>
  </si>
  <si>
    <t>PROMEDIO</t>
  </si>
  <si>
    <t>MEDIANA</t>
  </si>
  <si>
    <t>MEDIA ARMONICA</t>
  </si>
  <si>
    <t>DESVIACIÓN ESTÁNDAR</t>
  </si>
  <si>
    <t xml:space="preserve">COEFICIENTE DE VARIACION </t>
  </si>
  <si>
    <t>PRECIO DE REFERENCIA</t>
  </si>
  <si>
    <t>UNIDAD</t>
  </si>
  <si>
    <t>A-02-02-01-002-007 ARTICULOS TEXTILES (EXCEPTO PRENDAS DE VESTIR)</t>
  </si>
  <si>
    <t>A-02-02-01-002-008 DOTACION (PRENDAS DE VESTIR Y CALZADO)</t>
  </si>
  <si>
    <t>A-02-02-01-003-006 PRODUCTOS DE CAUCHO Y PLASTICO</t>
  </si>
  <si>
    <t>A-02-02-01-004-008 APARATOS MEDICOS, INSTRUMENTOS OPTICOS Y DE PRECISION</t>
  </si>
  <si>
    <t>CDP 8425</t>
  </si>
  <si>
    <t>VALOR UNITARIO + IVA</t>
  </si>
  <si>
    <t>5, 6, 7, 8</t>
  </si>
  <si>
    <t>2, 3, 4, 9</t>
  </si>
  <si>
    <t>1, 10</t>
  </si>
  <si>
    <t>RUBRO</t>
  </si>
  <si>
    <t>VALOR CDP</t>
  </si>
  <si>
    <t>VALOR ESTUDIO</t>
  </si>
  <si>
    <t>SALDO</t>
  </si>
  <si>
    <t>FALTA</t>
  </si>
  <si>
    <t>ITEMS</t>
  </si>
  <si>
    <t>REC</t>
  </si>
  <si>
    <t>-</t>
  </si>
  <si>
    <t>MANILLA DE CLASIFICACION</t>
  </si>
  <si>
    <t>DESCRIPCIÓN DEL ELEMENTO</t>
  </si>
  <si>
    <t>PRESENTACION</t>
  </si>
  <si>
    <t>DESCRIPCIÓN</t>
  </si>
  <si>
    <t>PAQUETE X 16 UND</t>
  </si>
  <si>
    <t>Adhesivo circular a la muñeca, de material duradero, y resistente al agua con sistema de fácil ajuste y seguridad, deben estar identificadas con colores de acuerdo a los colores internacionales de clasificación de victimas (negro, rojo, amarillo y verde), cada paquete lo conforman 4 (cuatro) manillas de cada color.
Empaco individual en bolsa plástica con cierre hermético.</t>
  </si>
  <si>
    <t>CARNET TARJETA DE EVACUACIÓN</t>
  </si>
  <si>
    <t>Elaborada en material resistente al agua (plastificada que permita la escritura), doble cara a color de dimensiones 12cm x 216cm de largo.
Anexo imagen referencia</t>
  </si>
  <si>
    <t xml:space="preserve"> PLEGABLE DE CONTROL PRENATAL </t>
  </si>
  <si>
    <t xml:space="preserve">CARTILLA GRANDE, PRIMERA INFANCIA E INFANCIA </t>
  </si>
  <si>
    <t xml:space="preserve">CARTILLAS BOLETIN SALUD MENTAL </t>
  </si>
  <si>
    <t xml:space="preserve">SEPARADORES PREVENCIÓN DE SUICIDIOS </t>
  </si>
  <si>
    <t xml:space="preserve">SEPARADORES DÍA DEL PSICÓLOGO </t>
  </si>
  <si>
    <t>Plegable tamaño carta, plegado a 3 cuerpos, en opalina de 120 gr, impreso a 4x4 tintas, con
plastificado pliege inicial y pliegue final</t>
  </si>
  <si>
    <t>Cartilla tamaño media carta, de 20 hojas, portada y contraportada en propalcote de 180gr, impresa a 4 x 4 tintas, plastificado. Páginas interna en bond de 100 gr, impreso a 4 x 4 tintas.</t>
  </si>
  <si>
    <t>Cartilla 30 paginas impresas a color, tamaño 22cms ancho x 27 cms de largo, pasta laminada a color, publicar por semestre 40 cartillas osea 160 en total</t>
  </si>
  <si>
    <t>Separadores de libros 5cms de ancho y 16cms de largo, 1000 para el mes de septiembre</t>
  </si>
  <si>
    <t>Separadores de libros 5cms de ancho y 16cms de largo 300 para el mes de noviembre</t>
  </si>
  <si>
    <t>AB COMPUSELLOS SAS</t>
  </si>
  <si>
    <t>ARTES GRAFICAS Y PUBLICIDAD TUS SELLOS S.A.S</t>
  </si>
  <si>
    <t>LJ PRINTS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</si>
</sst>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rgb="FF000000"/>
      <name val="Calibri Light"/>
      <family val="2"/>
      <scheme val="major"/>
    </font>
    <font>
      <sz val="6"/>
      <color theme="1"/>
      <name val="Calibri Light"/>
      <family val="2"/>
      <scheme val="major"/>
    </font>
    <font>
      <b/>
      <sz val="6"/>
      <color rgb="FF000000"/>
      <name val="Calibri Light"/>
      <family val="2"/>
      <scheme val="major"/>
    </font>
    <font>
      <b/>
      <sz val="6"/>
      <color rgb="FFFF0000"/>
      <name val="Calibri Light"/>
      <family val="2"/>
      <scheme val="major"/>
    </font>
    <font>
      <sz val="7"/>
      <color theme="1"/>
      <name val="Century Gothic"/>
      <family val="2"/>
    </font>
    <font>
      <b/>
      <sz val="7"/>
      <color theme="1"/>
      <name val="Century Gothic"/>
      <family val="2"/>
    </font>
    <font>
      <sz val="8"/>
      <color rgb="FF000000"/>
      <name val="Calibri Light"/>
      <family val="2"/>
      <scheme val="major"/>
    </font>
    <font>
      <b/>
      <sz val="5"/>
      <color rgb="FF000000"/>
      <name val="Arial"/>
      <family val="2"/>
    </font>
    <font>
      <sz val="5"/>
      <color rgb="FF000000"/>
      <name val="Arial"/>
      <family val="2"/>
    </font>
    <font>
      <b/>
      <sz val="5"/>
      <color rgb="FFFF0000"/>
      <name val="Arial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9"/>
      <color rgb="FF000000"/>
      <name val="Century Gothic"/>
      <family val="2"/>
    </font>
    <font>
      <b/>
      <i/>
      <sz val="9"/>
      <color rgb="FF000000"/>
      <name val="Century Gothic"/>
      <family val="2"/>
    </font>
    <font>
      <sz val="9"/>
      <color rgb="FF00000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116">
    <xf numFmtId="0" fontId="0" fillId="0" borderId="0" xfId="0"/>
    <xf numFmtId="0" fontId="3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4" fontId="4" fillId="0" borderId="5" xfId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3" fillId="0" borderId="0" xfId="0" applyNumberFormat="1" applyFont="1"/>
    <xf numFmtId="0" fontId="2" fillId="0" borderId="7" xfId="0" applyFont="1" applyBorder="1" applyAlignment="1">
      <alignment horizontal="center" vertical="center" wrapText="1"/>
    </xf>
    <xf numFmtId="3" fontId="2" fillId="9" borderId="7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2" fillId="10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4"/>
    </xf>
    <xf numFmtId="0" fontId="6" fillId="0" borderId="4" xfId="0" applyFont="1" applyBorder="1" applyAlignment="1">
      <alignment horizontal="left" vertical="center" wrapText="1" indent="4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11" borderId="7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4" fillId="0" borderId="0" xfId="0" applyFont="1" applyFill="1" applyAlignment="1">
      <alignment wrapText="1"/>
    </xf>
    <xf numFmtId="0" fontId="14" fillId="0" borderId="0" xfId="0" applyFont="1" applyFill="1" applyAlignment="1">
      <alignment horizontal="justify" vertical="center" wrapText="1"/>
    </xf>
    <xf numFmtId="4" fontId="15" fillId="0" borderId="14" xfId="0" applyNumberFormat="1" applyFont="1" applyFill="1" applyBorder="1" applyAlignment="1">
      <alignment horizontal="center" vertical="center" wrapText="1"/>
    </xf>
    <xf numFmtId="4" fontId="15" fillId="0" borderId="15" xfId="0" applyNumberFormat="1" applyFont="1" applyFill="1" applyBorder="1" applyAlignment="1">
      <alignment horizontal="center" vertical="center" wrapText="1"/>
    </xf>
    <xf numFmtId="4" fontId="14" fillId="0" borderId="18" xfId="0" applyNumberFormat="1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8" fillId="0" borderId="22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4" fontId="14" fillId="0" borderId="7" xfId="4" applyNumberFormat="1" applyFont="1" applyBorder="1" applyAlignment="1">
      <alignment horizontal="center" vertical="center"/>
    </xf>
    <xf numFmtId="4" fontId="15" fillId="0" borderId="25" xfId="0" applyNumberFormat="1" applyFont="1" applyFill="1" applyBorder="1" applyAlignment="1">
      <alignment horizontal="center" vertical="center" wrapText="1"/>
    </xf>
    <xf numFmtId="4" fontId="14" fillId="0" borderId="2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4" fillId="0" borderId="11" xfId="0" applyFont="1" applyFill="1" applyBorder="1" applyAlignment="1">
      <alignment horizontal="center" vertical="center"/>
    </xf>
    <xf numFmtId="4" fontId="14" fillId="0" borderId="11" xfId="4" applyNumberFormat="1" applyFont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4" fontId="14" fillId="0" borderId="19" xfId="4" applyNumberFormat="1" applyFont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top" wrapText="1"/>
    </xf>
    <xf numFmtId="0" fontId="18" fillId="0" borderId="11" xfId="0" applyFont="1" applyFill="1" applyBorder="1" applyAlignment="1">
      <alignment horizontal="center" vertical="center" wrapText="1"/>
    </xf>
    <xf numFmtId="4" fontId="15" fillId="0" borderId="33" xfId="3" applyNumberFormat="1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164" fontId="14" fillId="0" borderId="20" xfId="2" applyNumberFormat="1" applyFont="1" applyFill="1" applyBorder="1" applyAlignment="1">
      <alignment horizontal="center" vertical="center" wrapText="1"/>
    </xf>
    <xf numFmtId="164" fontId="14" fillId="0" borderId="11" xfId="2" applyNumberFormat="1" applyFont="1" applyFill="1" applyBorder="1" applyAlignment="1">
      <alignment horizontal="center" vertical="center" wrapText="1"/>
    </xf>
    <xf numFmtId="164" fontId="14" fillId="0" borderId="22" xfId="2" applyNumberFormat="1" applyFont="1" applyFill="1" applyBorder="1" applyAlignment="1">
      <alignment horizontal="center" vertical="center" wrapText="1"/>
    </xf>
    <xf numFmtId="4" fontId="14" fillId="0" borderId="22" xfId="2" applyNumberFormat="1" applyFont="1" applyFill="1" applyBorder="1" applyAlignment="1">
      <alignment horizontal="center" vertical="center"/>
    </xf>
    <xf numFmtId="4" fontId="15" fillId="0" borderId="35" xfId="0" applyNumberFormat="1" applyFont="1" applyFill="1" applyBorder="1" applyAlignment="1">
      <alignment horizontal="center" vertical="center"/>
    </xf>
    <xf numFmtId="4" fontId="18" fillId="0" borderId="16" xfId="0" applyNumberFormat="1" applyFont="1" applyFill="1" applyBorder="1" applyAlignment="1">
      <alignment horizontal="center" vertical="center" wrapText="1"/>
    </xf>
    <xf numFmtId="4" fontId="18" fillId="0" borderId="7" xfId="0" applyNumberFormat="1" applyFont="1" applyFill="1" applyBorder="1" applyAlignment="1">
      <alignment horizontal="center" vertical="center" wrapText="1"/>
    </xf>
    <xf numFmtId="4" fontId="18" fillId="0" borderId="17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Fill="1" applyBorder="1" applyAlignment="1">
      <alignment horizontal="center" vertical="center"/>
    </xf>
    <xf numFmtId="4" fontId="18" fillId="0" borderId="14" xfId="0" applyNumberFormat="1" applyFont="1" applyFill="1" applyBorder="1" applyAlignment="1">
      <alignment horizontal="center" vertical="center" wrapText="1"/>
    </xf>
    <xf numFmtId="4" fontId="18" fillId="0" borderId="15" xfId="0" applyNumberFormat="1" applyFont="1" applyFill="1" applyBorder="1" applyAlignment="1">
      <alignment horizontal="center" vertical="center" wrapText="1"/>
    </xf>
    <xf numFmtId="4" fontId="18" fillId="0" borderId="12" xfId="0" applyNumberFormat="1" applyFont="1" applyFill="1" applyBorder="1" applyAlignment="1">
      <alignment horizontal="center" vertical="center" wrapText="1"/>
    </xf>
    <xf numFmtId="164" fontId="14" fillId="0" borderId="14" xfId="2" applyNumberFormat="1" applyFont="1" applyFill="1" applyBorder="1" applyAlignment="1">
      <alignment horizontal="center" vertical="center" wrapText="1"/>
    </xf>
    <xf numFmtId="164" fontId="14" fillId="0" borderId="15" xfId="2" applyNumberFormat="1" applyFont="1" applyFill="1" applyBorder="1" applyAlignment="1">
      <alignment horizontal="center" vertical="center" wrapText="1"/>
    </xf>
    <xf numFmtId="164" fontId="14" fillId="0" borderId="25" xfId="2" applyNumberFormat="1" applyFont="1" applyFill="1" applyBorder="1" applyAlignment="1">
      <alignment horizontal="center" vertical="center" wrapText="1"/>
    </xf>
    <xf numFmtId="4" fontId="14" fillId="0" borderId="25" xfId="2" applyNumberFormat="1" applyFont="1" applyFill="1" applyBorder="1" applyAlignment="1">
      <alignment horizontal="center" vertical="center"/>
    </xf>
    <xf numFmtId="4" fontId="15" fillId="0" borderId="33" xfId="0" applyNumberFormat="1" applyFont="1" applyFill="1" applyBorder="1" applyAlignment="1">
      <alignment horizontal="center" vertical="center"/>
    </xf>
    <xf numFmtId="4" fontId="18" fillId="0" borderId="18" xfId="0" applyNumberFormat="1" applyFont="1" applyFill="1" applyBorder="1" applyAlignment="1">
      <alignment horizontal="center" vertical="center" wrapText="1"/>
    </xf>
    <xf numFmtId="4" fontId="18" fillId="0" borderId="19" xfId="0" applyNumberFormat="1" applyFont="1" applyFill="1" applyBorder="1" applyAlignment="1">
      <alignment horizontal="center" vertical="center" wrapText="1"/>
    </xf>
    <xf numFmtId="4" fontId="18" fillId="0" borderId="13" xfId="0" applyNumberFormat="1" applyFont="1" applyFill="1" applyBorder="1" applyAlignment="1">
      <alignment horizontal="center" vertical="center" wrapText="1"/>
    </xf>
    <xf numFmtId="164" fontId="14" fillId="0" borderId="30" xfId="2" applyNumberFormat="1" applyFont="1" applyFill="1" applyBorder="1" applyAlignment="1">
      <alignment horizontal="center" vertical="center" wrapText="1"/>
    </xf>
    <xf numFmtId="164" fontId="14" fillId="0" borderId="29" xfId="2" applyNumberFormat="1" applyFont="1" applyFill="1" applyBorder="1" applyAlignment="1">
      <alignment horizontal="center" vertical="center" wrapText="1"/>
    </xf>
    <xf numFmtId="164" fontId="14" fillId="0" borderId="36" xfId="2" applyNumberFormat="1" applyFont="1" applyFill="1" applyBorder="1" applyAlignment="1">
      <alignment horizontal="center" vertical="center" wrapText="1"/>
    </xf>
    <xf numFmtId="4" fontId="14" fillId="0" borderId="36" xfId="2" applyNumberFormat="1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5">
    <cellStyle name="Millares" xfId="2" builtinId="3"/>
    <cellStyle name="Moneda" xfId="1" builtinId="4"/>
    <cellStyle name="Normal" xfId="0" builtinId="0"/>
    <cellStyle name="Normal 2" xfId="3"/>
    <cellStyle name="Normal 2 2" xfId="4"/>
  </cellStyles>
  <dxfs count="0"/>
  <tableStyles count="0" defaultTableStyle="TableStyleMedium2" defaultPivotStyle="PivotStyleLight16"/>
  <colors>
    <mruColors>
      <color rgb="FFD0EB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zoomScaleNormal="100" workbookViewId="0">
      <pane xSplit="4" ySplit="3" topLeftCell="H4" activePane="bottomRight" state="frozen"/>
      <selection pane="topRight" activeCell="E1" sqref="E1"/>
      <selection pane="bottomLeft" activeCell="A4" sqref="A4"/>
      <selection pane="bottomRight" activeCell="H14" sqref="H14"/>
    </sheetView>
  </sheetViews>
  <sheetFormatPr baseColWidth="10" defaultColWidth="10.85546875" defaultRowHeight="14.25" x14ac:dyDescent="0.3"/>
  <cols>
    <col min="1" max="1" width="6.42578125" style="38" customWidth="1"/>
    <col min="2" max="2" width="31.42578125" style="28" customWidth="1"/>
    <col min="3" max="3" width="33.7109375" style="28" customWidth="1"/>
    <col min="4" max="4" width="17.140625" style="28" customWidth="1"/>
    <col min="5" max="16" width="13.5703125" style="27" customWidth="1"/>
    <col min="17" max="18" width="14.28515625" style="27" customWidth="1"/>
    <col min="19" max="19" width="15.28515625" style="27" customWidth="1"/>
    <col min="20" max="20" width="4" style="27" customWidth="1"/>
    <col min="21" max="16384" width="10.85546875" style="27"/>
  </cols>
  <sheetData>
    <row r="1" spans="1:19" ht="25.5" customHeight="1" thickBot="1" x14ac:dyDescent="0.35"/>
    <row r="2" spans="1:19" ht="31.5" customHeight="1" x14ac:dyDescent="0.3">
      <c r="A2" s="82" t="s">
        <v>0</v>
      </c>
      <c r="B2" s="84" t="s">
        <v>63</v>
      </c>
      <c r="C2" s="92" t="s">
        <v>65</v>
      </c>
      <c r="D2" s="92" t="s">
        <v>64</v>
      </c>
      <c r="E2" s="86" t="s">
        <v>80</v>
      </c>
      <c r="F2" s="87"/>
      <c r="G2" s="88"/>
      <c r="H2" s="89" t="s">
        <v>81</v>
      </c>
      <c r="I2" s="90"/>
      <c r="J2" s="91"/>
      <c r="K2" s="86" t="s">
        <v>82</v>
      </c>
      <c r="L2" s="87"/>
      <c r="M2" s="88"/>
      <c r="N2" s="30" t="s">
        <v>38</v>
      </c>
      <c r="O2" s="31" t="s">
        <v>39</v>
      </c>
      <c r="P2" s="42" t="s">
        <v>40</v>
      </c>
      <c r="Q2" s="30" t="s">
        <v>41</v>
      </c>
      <c r="R2" s="42" t="s">
        <v>42</v>
      </c>
      <c r="S2" s="56" t="s">
        <v>43</v>
      </c>
    </row>
    <row r="3" spans="1:19" ht="30.75" customHeight="1" thickBot="1" x14ac:dyDescent="0.35">
      <c r="A3" s="83"/>
      <c r="B3" s="85"/>
      <c r="C3" s="93"/>
      <c r="D3" s="93"/>
      <c r="E3" s="34" t="s">
        <v>17</v>
      </c>
      <c r="F3" s="35" t="s">
        <v>37</v>
      </c>
      <c r="G3" s="36" t="s">
        <v>50</v>
      </c>
      <c r="H3" s="34" t="s">
        <v>17</v>
      </c>
      <c r="I3" s="35" t="s">
        <v>37</v>
      </c>
      <c r="J3" s="36" t="s">
        <v>50</v>
      </c>
      <c r="K3" s="34" t="s">
        <v>17</v>
      </c>
      <c r="L3" s="35" t="s">
        <v>37</v>
      </c>
      <c r="M3" s="36" t="s">
        <v>50</v>
      </c>
      <c r="N3" s="34" t="s">
        <v>50</v>
      </c>
      <c r="O3" s="35" t="s">
        <v>50</v>
      </c>
      <c r="P3" s="40" t="s">
        <v>50</v>
      </c>
      <c r="Q3" s="32" t="s">
        <v>50</v>
      </c>
      <c r="R3" s="43" t="s">
        <v>50</v>
      </c>
      <c r="S3" s="57" t="s">
        <v>50</v>
      </c>
    </row>
    <row r="4" spans="1:19" s="29" customFormat="1" ht="32.25" customHeight="1" x14ac:dyDescent="0.25">
      <c r="A4" s="37">
        <v>1</v>
      </c>
      <c r="B4" s="55" t="s">
        <v>62</v>
      </c>
      <c r="C4" s="54" t="s">
        <v>67</v>
      </c>
      <c r="D4" s="39" t="s">
        <v>66</v>
      </c>
      <c r="E4" s="67">
        <v>44800</v>
      </c>
      <c r="F4" s="68">
        <f t="shared" ref="F4:F10" si="0">SUM(E4*19)/100</f>
        <v>8512</v>
      </c>
      <c r="G4" s="69">
        <f t="shared" ref="G4:G10" si="1">SUM(E4+F4)</f>
        <v>53312</v>
      </c>
      <c r="H4" s="67">
        <v>56000</v>
      </c>
      <c r="I4" s="68">
        <f t="shared" ref="I4:I10" si="2">SUM(H4*19)/100</f>
        <v>10640</v>
      </c>
      <c r="J4" s="69">
        <f>+I4+H4</f>
        <v>66640</v>
      </c>
      <c r="K4" s="67">
        <v>49500</v>
      </c>
      <c r="L4" s="68">
        <f>SUM(K4*19)/100</f>
        <v>9405</v>
      </c>
      <c r="M4" s="69">
        <f>+L4+K4</f>
        <v>58905</v>
      </c>
      <c r="N4" s="70">
        <f>+ROUNDUP(AVERAGE(G4,J4,M4,),0)</f>
        <v>44715</v>
      </c>
      <c r="O4" s="71">
        <f>+ROUNDUP(MEDIAN(G4,J4,M4,),0)</f>
        <v>56109</v>
      </c>
      <c r="P4" s="72">
        <f>+ROUNDUP(HARMEAN(G4,J4,M4),0)</f>
        <v>59125</v>
      </c>
      <c r="Q4" s="70">
        <f>STDEV(G4,J4,M4)</f>
        <v>6692.6260167441005</v>
      </c>
      <c r="R4" s="73">
        <f t="shared" ref="R4" si="3">+Q4/N4</f>
        <v>0.14967295128579</v>
      </c>
      <c r="S4" s="74">
        <f>+N4</f>
        <v>44715</v>
      </c>
    </row>
    <row r="5" spans="1:19" s="29" customFormat="1" ht="32.25" customHeight="1" x14ac:dyDescent="0.25">
      <c r="A5" s="33">
        <v>2</v>
      </c>
      <c r="B5" s="55" t="s">
        <v>68</v>
      </c>
      <c r="C5" s="54" t="s">
        <v>69</v>
      </c>
      <c r="D5" s="39" t="s">
        <v>44</v>
      </c>
      <c r="E5" s="63">
        <v>610</v>
      </c>
      <c r="F5" s="64">
        <f t="shared" si="0"/>
        <v>115.9</v>
      </c>
      <c r="G5" s="65">
        <f t="shared" si="1"/>
        <v>725.9</v>
      </c>
      <c r="H5" s="63">
        <v>900</v>
      </c>
      <c r="I5" s="64">
        <f t="shared" si="2"/>
        <v>171</v>
      </c>
      <c r="J5" s="65">
        <f>+I5+H5</f>
        <v>1071</v>
      </c>
      <c r="K5" s="63">
        <v>720</v>
      </c>
      <c r="L5" s="64">
        <f t="shared" ref="L5:L10" si="4">SUM(K5*19)/100</f>
        <v>136.80000000000001</v>
      </c>
      <c r="M5" s="65">
        <f>+L5+K5</f>
        <v>856.8</v>
      </c>
      <c r="N5" s="58">
        <f t="shared" ref="N5:N10" si="5">+ROUNDUP(AVERAGE(G5,J5,M5,),0)</f>
        <v>664</v>
      </c>
      <c r="O5" s="59">
        <f t="shared" ref="O5:O10" si="6">+ROUNDUP(MEDIAN(G5,J5,M5,),0)</f>
        <v>792</v>
      </c>
      <c r="P5" s="60">
        <f t="shared" ref="P5:P10" si="7">+ROUNDUP(HARMEAN(G5,J5,M5),0)</f>
        <v>863</v>
      </c>
      <c r="Q5" s="58">
        <f t="shared" ref="Q5:Q10" si="8">STDEV(G5,J5,M5)</f>
        <v>174.21751729758236</v>
      </c>
      <c r="R5" s="61">
        <f t="shared" ref="R5:R10" si="9">+Q5/N5</f>
        <v>0.26237577906262405</v>
      </c>
      <c r="S5" s="62">
        <f t="shared" ref="S5:S10" si="10">+N5</f>
        <v>664</v>
      </c>
    </row>
    <row r="6" spans="1:19" s="29" customFormat="1" ht="32.25" customHeight="1" x14ac:dyDescent="0.25">
      <c r="A6" s="33">
        <v>3</v>
      </c>
      <c r="B6" s="55" t="s">
        <v>70</v>
      </c>
      <c r="C6" s="54" t="s">
        <v>75</v>
      </c>
      <c r="D6" s="39" t="s">
        <v>44</v>
      </c>
      <c r="E6" s="63">
        <v>1512</v>
      </c>
      <c r="F6" s="64">
        <f t="shared" si="0"/>
        <v>287.27999999999997</v>
      </c>
      <c r="G6" s="65">
        <f t="shared" si="1"/>
        <v>1799.28</v>
      </c>
      <c r="H6" s="63">
        <v>1900</v>
      </c>
      <c r="I6" s="64">
        <f t="shared" si="2"/>
        <v>361</v>
      </c>
      <c r="J6" s="65">
        <f>+I6+H6</f>
        <v>2261</v>
      </c>
      <c r="K6" s="63">
        <v>1738</v>
      </c>
      <c r="L6" s="64">
        <f t="shared" si="4"/>
        <v>330.22</v>
      </c>
      <c r="M6" s="65">
        <f>+L6+K6</f>
        <v>2068.2200000000003</v>
      </c>
      <c r="N6" s="58">
        <f t="shared" si="5"/>
        <v>1533</v>
      </c>
      <c r="O6" s="59">
        <f t="shared" si="6"/>
        <v>1934</v>
      </c>
      <c r="P6" s="60">
        <f t="shared" si="7"/>
        <v>2025</v>
      </c>
      <c r="Q6" s="58">
        <f t="shared" si="8"/>
        <v>231.90450994608395</v>
      </c>
      <c r="R6" s="61">
        <f t="shared" si="9"/>
        <v>0.15127495756430787</v>
      </c>
      <c r="S6" s="62">
        <f t="shared" si="10"/>
        <v>1533</v>
      </c>
    </row>
    <row r="7" spans="1:19" s="29" customFormat="1" ht="32.25" customHeight="1" x14ac:dyDescent="0.25">
      <c r="A7" s="33">
        <v>4</v>
      </c>
      <c r="B7" s="55" t="s">
        <v>71</v>
      </c>
      <c r="C7" s="54" t="s">
        <v>76</v>
      </c>
      <c r="D7" s="39" t="s">
        <v>44</v>
      </c>
      <c r="E7" s="63">
        <v>6300</v>
      </c>
      <c r="F7" s="64">
        <f t="shared" si="0"/>
        <v>1197</v>
      </c>
      <c r="G7" s="65">
        <f t="shared" si="1"/>
        <v>7497</v>
      </c>
      <c r="H7" s="63">
        <v>7500</v>
      </c>
      <c r="I7" s="64">
        <f t="shared" si="2"/>
        <v>1425</v>
      </c>
      <c r="J7" s="65">
        <f t="shared" ref="J7:J10" si="11">+H7+I7</f>
        <v>8925</v>
      </c>
      <c r="K7" s="63">
        <v>7245</v>
      </c>
      <c r="L7" s="64">
        <f t="shared" si="4"/>
        <v>1376.55</v>
      </c>
      <c r="M7" s="65">
        <f>+L7+K7</f>
        <v>8621.5499999999993</v>
      </c>
      <c r="N7" s="58">
        <f t="shared" si="5"/>
        <v>6261</v>
      </c>
      <c r="O7" s="59">
        <f t="shared" si="6"/>
        <v>8060</v>
      </c>
      <c r="P7" s="60">
        <f t="shared" si="7"/>
        <v>8301</v>
      </c>
      <c r="Q7" s="58">
        <f t="shared" si="8"/>
        <v>752.31626826754177</v>
      </c>
      <c r="R7" s="61">
        <f t="shared" si="9"/>
        <v>0.12015912286656154</v>
      </c>
      <c r="S7" s="62">
        <f t="shared" si="10"/>
        <v>6261</v>
      </c>
    </row>
    <row r="8" spans="1:19" s="29" customFormat="1" ht="32.25" customHeight="1" x14ac:dyDescent="0.25">
      <c r="A8" s="33">
        <v>5</v>
      </c>
      <c r="B8" s="55" t="s">
        <v>72</v>
      </c>
      <c r="C8" s="54" t="s">
        <v>77</v>
      </c>
      <c r="D8" s="39" t="s">
        <v>44</v>
      </c>
      <c r="E8" s="63">
        <v>12100</v>
      </c>
      <c r="F8" s="64">
        <f t="shared" si="0"/>
        <v>2299</v>
      </c>
      <c r="G8" s="65">
        <f t="shared" si="1"/>
        <v>14399</v>
      </c>
      <c r="H8" s="63">
        <v>13500</v>
      </c>
      <c r="I8" s="64">
        <f t="shared" si="2"/>
        <v>2565</v>
      </c>
      <c r="J8" s="65">
        <f t="shared" si="11"/>
        <v>16065</v>
      </c>
      <c r="K8" s="63">
        <v>13915</v>
      </c>
      <c r="L8" s="64">
        <f t="shared" si="4"/>
        <v>2643.85</v>
      </c>
      <c r="M8" s="65">
        <f t="shared" ref="M8:M10" si="12">+K8+L8</f>
        <v>16558.849999999999</v>
      </c>
      <c r="N8" s="58">
        <f t="shared" si="5"/>
        <v>11756</v>
      </c>
      <c r="O8" s="59">
        <f t="shared" si="6"/>
        <v>15232</v>
      </c>
      <c r="P8" s="60">
        <f t="shared" si="7"/>
        <v>15618</v>
      </c>
      <c r="Q8" s="58">
        <f t="shared" si="8"/>
        <v>1131.6945881435204</v>
      </c>
      <c r="R8" s="61">
        <f t="shared" si="9"/>
        <v>9.6265276296658764E-2</v>
      </c>
      <c r="S8" s="62">
        <f t="shared" si="10"/>
        <v>11756</v>
      </c>
    </row>
    <row r="9" spans="1:19" s="29" customFormat="1" ht="32.25" customHeight="1" x14ac:dyDescent="0.25">
      <c r="A9" s="33">
        <v>6</v>
      </c>
      <c r="B9" s="55" t="s">
        <v>73</v>
      </c>
      <c r="C9" s="54" t="s">
        <v>78</v>
      </c>
      <c r="D9" s="39" t="s">
        <v>44</v>
      </c>
      <c r="E9" s="63">
        <v>590000</v>
      </c>
      <c r="F9" s="64">
        <f t="shared" si="0"/>
        <v>112100</v>
      </c>
      <c r="G9" s="65">
        <f t="shared" si="1"/>
        <v>702100</v>
      </c>
      <c r="H9" s="63">
        <v>610000</v>
      </c>
      <c r="I9" s="64">
        <f t="shared" si="2"/>
        <v>115900</v>
      </c>
      <c r="J9" s="65">
        <f t="shared" si="11"/>
        <v>725900</v>
      </c>
      <c r="K9" s="63">
        <v>649000</v>
      </c>
      <c r="L9" s="64">
        <f t="shared" si="4"/>
        <v>123310</v>
      </c>
      <c r="M9" s="65">
        <f t="shared" si="12"/>
        <v>772310</v>
      </c>
      <c r="N9" s="58">
        <f t="shared" si="5"/>
        <v>550078</v>
      </c>
      <c r="O9" s="59">
        <f t="shared" si="6"/>
        <v>714000</v>
      </c>
      <c r="P9" s="60">
        <f t="shared" si="7"/>
        <v>732294</v>
      </c>
      <c r="Q9" s="58">
        <f t="shared" si="8"/>
        <v>35706.610499084527</v>
      </c>
      <c r="R9" s="61">
        <f t="shared" si="9"/>
        <v>6.4911904310087892E-2</v>
      </c>
      <c r="S9" s="62">
        <f t="shared" si="10"/>
        <v>550078</v>
      </c>
    </row>
    <row r="10" spans="1:19" s="29" customFormat="1" ht="32.25" customHeight="1" thickBot="1" x14ac:dyDescent="0.3">
      <c r="A10" s="33">
        <v>7</v>
      </c>
      <c r="B10" s="55" t="s">
        <v>74</v>
      </c>
      <c r="C10" s="54" t="s">
        <v>79</v>
      </c>
      <c r="D10" s="39" t="s">
        <v>44</v>
      </c>
      <c r="E10" s="75">
        <v>710000</v>
      </c>
      <c r="F10" s="76">
        <f t="shared" si="0"/>
        <v>134900</v>
      </c>
      <c r="G10" s="77">
        <f t="shared" si="1"/>
        <v>844900</v>
      </c>
      <c r="H10" s="75">
        <v>771000</v>
      </c>
      <c r="I10" s="76">
        <f t="shared" si="2"/>
        <v>146490</v>
      </c>
      <c r="J10" s="77">
        <f t="shared" si="11"/>
        <v>917490</v>
      </c>
      <c r="K10" s="75">
        <v>781000</v>
      </c>
      <c r="L10" s="76">
        <f t="shared" si="4"/>
        <v>148390</v>
      </c>
      <c r="M10" s="77">
        <f t="shared" si="12"/>
        <v>929390</v>
      </c>
      <c r="N10" s="78">
        <f t="shared" si="5"/>
        <v>672945</v>
      </c>
      <c r="O10" s="79">
        <f t="shared" si="6"/>
        <v>881195</v>
      </c>
      <c r="P10" s="80">
        <f t="shared" si="7"/>
        <v>895663</v>
      </c>
      <c r="Q10" s="78">
        <f t="shared" si="8"/>
        <v>45733.791664370015</v>
      </c>
      <c r="R10" s="81">
        <f t="shared" si="9"/>
        <v>6.7960667906545133E-2</v>
      </c>
      <c r="S10" s="66">
        <f t="shared" si="10"/>
        <v>672945</v>
      </c>
    </row>
    <row r="11" spans="1:19" ht="26.25" customHeight="1" x14ac:dyDescent="0.3"/>
    <row r="12" spans="1:19" ht="26.25" customHeight="1" x14ac:dyDescent="0.3"/>
    <row r="13" spans="1:19" ht="26.25" customHeight="1" x14ac:dyDescent="0.3"/>
    <row r="14" spans="1:19" ht="26.25" customHeight="1" x14ac:dyDescent="0.3"/>
  </sheetData>
  <mergeCells count="7">
    <mergeCell ref="A2:A3"/>
    <mergeCell ref="B2:B3"/>
    <mergeCell ref="E2:G2"/>
    <mergeCell ref="H2:J2"/>
    <mergeCell ref="K2:M2"/>
    <mergeCell ref="C2:C3"/>
    <mergeCell ref="D2:D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B2" sqref="B2:D2"/>
    </sheetView>
  </sheetViews>
  <sheetFormatPr baseColWidth="10" defaultRowHeight="15" x14ac:dyDescent="0.25"/>
  <cols>
    <col min="2" max="4" width="15.28515625" customWidth="1"/>
    <col min="5" max="5" width="11.42578125" style="48"/>
    <col min="6" max="6" width="16.140625" customWidth="1"/>
    <col min="7" max="7" width="19.28515625" customWidth="1"/>
    <col min="8" max="8" width="18.42578125" customWidth="1"/>
    <col min="9" max="9" width="15" customWidth="1"/>
    <col min="10" max="10" width="14.28515625" customWidth="1"/>
  </cols>
  <sheetData>
    <row r="1" spans="1:9" x14ac:dyDescent="0.25">
      <c r="A1" s="44" t="s">
        <v>59</v>
      </c>
      <c r="B1" s="95" t="s">
        <v>54</v>
      </c>
      <c r="C1" s="96"/>
      <c r="D1" s="97"/>
      <c r="E1" s="44" t="s">
        <v>60</v>
      </c>
      <c r="F1" s="46" t="s">
        <v>55</v>
      </c>
      <c r="G1" s="46" t="s">
        <v>56</v>
      </c>
      <c r="H1" s="46" t="s">
        <v>57</v>
      </c>
      <c r="I1" s="44" t="s">
        <v>58</v>
      </c>
    </row>
    <row r="2" spans="1:9" ht="29.25" customHeight="1" x14ac:dyDescent="0.25">
      <c r="A2" s="45" t="s">
        <v>51</v>
      </c>
      <c r="B2" s="98" t="s">
        <v>45</v>
      </c>
      <c r="C2" s="99"/>
      <c r="D2" s="100"/>
      <c r="E2" s="47">
        <v>10</v>
      </c>
      <c r="F2" s="41">
        <v>13943932</v>
      </c>
      <c r="G2" s="41" t="e">
        <f>+'ESTUDIO DE MERCADO'!#REF!+'ESTUDIO DE MERCADO'!#REF!+'ESTUDIO DE MERCADO'!#REF!+'ESTUDIO DE MERCADO'!#REF!</f>
        <v>#REF!</v>
      </c>
      <c r="H2" s="41" t="e">
        <f>+F2-G2</f>
        <v>#REF!</v>
      </c>
      <c r="I2" s="41"/>
    </row>
    <row r="3" spans="1:9" ht="29.25" customHeight="1" x14ac:dyDescent="0.25">
      <c r="A3" s="45" t="s">
        <v>53</v>
      </c>
      <c r="B3" s="98" t="s">
        <v>46</v>
      </c>
      <c r="C3" s="99"/>
      <c r="D3" s="100"/>
      <c r="E3" s="47">
        <v>10</v>
      </c>
      <c r="F3" s="41">
        <v>4808640</v>
      </c>
      <c r="G3" s="41" t="e">
        <f>+'ESTUDIO DE MERCADO'!#REF!+'ESTUDIO DE MERCADO'!#REF!</f>
        <v>#REF!</v>
      </c>
      <c r="H3" s="41" t="e">
        <f>+F3-G3</f>
        <v>#REF!</v>
      </c>
      <c r="I3" s="41"/>
    </row>
    <row r="4" spans="1:9" ht="29.25" customHeight="1" x14ac:dyDescent="0.25">
      <c r="A4" s="45" t="s">
        <v>52</v>
      </c>
      <c r="B4" s="98" t="s">
        <v>47</v>
      </c>
      <c r="C4" s="99"/>
      <c r="D4" s="100"/>
      <c r="E4" s="47">
        <v>10</v>
      </c>
      <c r="F4" s="41">
        <v>583039</v>
      </c>
      <c r="G4" s="41" t="e">
        <f>+'ESTUDIO DE MERCADO'!#REF!+'ESTUDIO DE MERCADO'!#REF!+'ESTUDIO DE MERCADO'!#REF!+'ESTUDIO DE MERCADO'!#REF!</f>
        <v>#REF!</v>
      </c>
      <c r="H4" s="41"/>
      <c r="I4" s="41" t="e">
        <f>+F4-G4</f>
        <v>#REF!</v>
      </c>
    </row>
    <row r="5" spans="1:9" ht="29.25" customHeight="1" thickBot="1" x14ac:dyDescent="0.3">
      <c r="A5" s="51" t="s">
        <v>61</v>
      </c>
      <c r="B5" s="101" t="s">
        <v>48</v>
      </c>
      <c r="C5" s="102"/>
      <c r="D5" s="103"/>
      <c r="E5" s="52">
        <v>16</v>
      </c>
      <c r="F5" s="53">
        <v>805584</v>
      </c>
      <c r="G5" s="53"/>
      <c r="H5" s="53">
        <f>+F5</f>
        <v>805584</v>
      </c>
      <c r="I5" s="53"/>
    </row>
    <row r="6" spans="1:9" ht="29.25" customHeight="1" x14ac:dyDescent="0.25">
      <c r="A6" s="49"/>
      <c r="B6" s="94" t="s">
        <v>49</v>
      </c>
      <c r="C6" s="94"/>
      <c r="D6" s="94"/>
      <c r="E6" s="94"/>
      <c r="F6" s="50">
        <f>SUM(F2:F5)</f>
        <v>20141195</v>
      </c>
      <c r="G6" s="50" t="e">
        <f>SUM(G2:G5)</f>
        <v>#REF!</v>
      </c>
      <c r="H6" s="50" t="e">
        <f>SUM(H2:H5)</f>
        <v>#REF!</v>
      </c>
      <c r="I6" s="50"/>
    </row>
  </sheetData>
  <mergeCells count="6">
    <mergeCell ref="B6:E6"/>
    <mergeCell ref="B1:D1"/>
    <mergeCell ref="B2:D2"/>
    <mergeCell ref="B3:D3"/>
    <mergeCell ref="B4:D4"/>
    <mergeCell ref="B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3"/>
  <sheetViews>
    <sheetView workbookViewId="0">
      <selection activeCell="D12" sqref="D12"/>
    </sheetView>
  </sheetViews>
  <sheetFormatPr baseColWidth="10" defaultRowHeight="15" x14ac:dyDescent="0.25"/>
  <cols>
    <col min="3" max="3" width="5.140625" customWidth="1"/>
    <col min="5" max="5" width="8.5703125" customWidth="1"/>
    <col min="6" max="6" width="10.140625" customWidth="1"/>
    <col min="7" max="7" width="7.5703125" customWidth="1"/>
    <col min="8" max="8" width="7" customWidth="1"/>
    <col min="9" max="9" width="8.140625" style="1" customWidth="1"/>
    <col min="10" max="10" width="6.5703125" customWidth="1"/>
    <col min="11" max="11" width="8.85546875" customWidth="1"/>
    <col min="12" max="12" width="9" customWidth="1"/>
    <col min="13" max="13" width="9.7109375" customWidth="1"/>
    <col min="14" max="14" width="10" customWidth="1"/>
    <col min="15" max="15" width="12.7109375" customWidth="1"/>
  </cols>
  <sheetData>
    <row r="3" spans="1:16" s="1" customFormat="1" ht="17.25" customHeight="1" x14ac:dyDescent="0.15">
      <c r="C3" s="109" t="s">
        <v>0</v>
      </c>
      <c r="D3" s="109" t="s">
        <v>1</v>
      </c>
      <c r="E3" s="109" t="s">
        <v>34</v>
      </c>
      <c r="F3" s="21" t="s">
        <v>15</v>
      </c>
      <c r="G3" s="22" t="s">
        <v>3</v>
      </c>
      <c r="H3" s="23" t="s">
        <v>36</v>
      </c>
      <c r="I3" s="24" t="s">
        <v>32</v>
      </c>
      <c r="J3" s="25" t="s">
        <v>16</v>
      </c>
      <c r="K3" s="106" t="s">
        <v>10</v>
      </c>
      <c r="L3" s="108" t="s">
        <v>8</v>
      </c>
      <c r="M3" s="108" t="s">
        <v>9</v>
      </c>
      <c r="N3" s="110" t="s">
        <v>14</v>
      </c>
      <c r="O3" s="104" t="s">
        <v>4</v>
      </c>
      <c r="P3" s="10"/>
    </row>
    <row r="4" spans="1:16" s="1" customFormat="1" ht="24.75" x14ac:dyDescent="0.15">
      <c r="C4" s="109"/>
      <c r="D4" s="109"/>
      <c r="E4" s="109"/>
      <c r="F4" s="21" t="s">
        <v>35</v>
      </c>
      <c r="G4" s="22" t="s">
        <v>17</v>
      </c>
      <c r="H4" s="23" t="s">
        <v>17</v>
      </c>
      <c r="I4" s="26" t="s">
        <v>17</v>
      </c>
      <c r="J4" s="25" t="s">
        <v>17</v>
      </c>
      <c r="K4" s="107"/>
      <c r="L4" s="108"/>
      <c r="M4" s="108"/>
      <c r="N4" s="110"/>
      <c r="O4" s="104"/>
    </row>
    <row r="5" spans="1:16" s="1" customFormat="1" ht="66" customHeight="1" x14ac:dyDescent="0.15">
      <c r="C5" s="11">
        <v>1</v>
      </c>
      <c r="D5" s="20" t="s">
        <v>5</v>
      </c>
      <c r="E5" s="20" t="s">
        <v>18</v>
      </c>
      <c r="F5" s="12">
        <v>32900</v>
      </c>
      <c r="G5" s="13">
        <v>59000</v>
      </c>
      <c r="H5" s="15">
        <v>62000</v>
      </c>
      <c r="I5" s="15">
        <v>66000</v>
      </c>
      <c r="J5" s="15">
        <v>78000</v>
      </c>
      <c r="K5" s="13">
        <f>+AVERAGE(F5,G5,H5,I5,J5)</f>
        <v>59580</v>
      </c>
      <c r="L5" s="13">
        <f>+MEDIAN(F5,G5,H5,I5,J5)</f>
        <v>62000</v>
      </c>
      <c r="M5" s="13">
        <f>+HARMEAN(F5,G5,H5,I5,J5)</f>
        <v>54677.466099403631</v>
      </c>
      <c r="N5" s="14">
        <f>AVERAGE(K5:M5)</f>
        <v>58752.488699801208</v>
      </c>
      <c r="O5" s="14">
        <f>+N5*80*3/3</f>
        <v>4700199.0959840966</v>
      </c>
    </row>
    <row r="6" spans="1:16" s="1" customFormat="1" ht="8.25" x14ac:dyDescent="0.15">
      <c r="C6" s="105" t="s">
        <v>33</v>
      </c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4">
        <f>+O5*3</f>
        <v>14100597.287952289</v>
      </c>
    </row>
    <row r="9" spans="1:16" ht="15.75" thickBot="1" x14ac:dyDescent="0.3"/>
    <row r="10" spans="1:16" ht="18.75" thickBot="1" x14ac:dyDescent="0.3">
      <c r="A10" s="18" t="s">
        <v>19</v>
      </c>
      <c r="B10" s="16">
        <v>17</v>
      </c>
    </row>
    <row r="11" spans="1:16" ht="15.75" thickBot="1" x14ac:dyDescent="0.3">
      <c r="A11" s="19" t="s">
        <v>20</v>
      </c>
      <c r="B11" s="17">
        <v>39</v>
      </c>
    </row>
    <row r="12" spans="1:16" ht="18.75" thickBot="1" x14ac:dyDescent="0.3">
      <c r="A12" s="19" t="s">
        <v>21</v>
      </c>
      <c r="B12" s="17">
        <v>3</v>
      </c>
    </row>
    <row r="13" spans="1:16" ht="18.75" thickBot="1" x14ac:dyDescent="0.3">
      <c r="A13" s="19" t="s">
        <v>22</v>
      </c>
      <c r="B13" s="17">
        <v>3</v>
      </c>
    </row>
    <row r="14" spans="1:16" ht="18.75" thickBot="1" x14ac:dyDescent="0.3">
      <c r="A14" s="19" t="s">
        <v>23</v>
      </c>
      <c r="B14" s="17">
        <v>3</v>
      </c>
    </row>
    <row r="15" spans="1:16" ht="18.75" thickBot="1" x14ac:dyDescent="0.3">
      <c r="A15" s="19" t="s">
        <v>24</v>
      </c>
      <c r="B15" s="17">
        <v>3</v>
      </c>
    </row>
    <row r="16" spans="1:16" ht="18.75" thickBot="1" x14ac:dyDescent="0.3">
      <c r="A16" s="19" t="s">
        <v>25</v>
      </c>
      <c r="B16" s="17">
        <v>3</v>
      </c>
    </row>
    <row r="17" spans="1:2" ht="18.75" thickBot="1" x14ac:dyDescent="0.3">
      <c r="A17" s="19" t="s">
        <v>26</v>
      </c>
      <c r="B17" s="17">
        <v>2</v>
      </c>
    </row>
    <row r="18" spans="1:2" ht="18.75" thickBot="1" x14ac:dyDescent="0.3">
      <c r="A18" s="19" t="s">
        <v>27</v>
      </c>
      <c r="B18" s="17">
        <v>1</v>
      </c>
    </row>
    <row r="19" spans="1:2" ht="18.75" thickBot="1" x14ac:dyDescent="0.3">
      <c r="A19" s="19" t="s">
        <v>28</v>
      </c>
      <c r="B19" s="17">
        <v>2</v>
      </c>
    </row>
    <row r="20" spans="1:2" ht="18.75" thickBot="1" x14ac:dyDescent="0.3">
      <c r="A20" s="19" t="s">
        <v>29</v>
      </c>
      <c r="B20" s="17">
        <v>2</v>
      </c>
    </row>
    <row r="21" spans="1:2" ht="18.75" thickBot="1" x14ac:dyDescent="0.3">
      <c r="A21" s="19" t="s">
        <v>30</v>
      </c>
      <c r="B21" s="17">
        <v>1</v>
      </c>
    </row>
    <row r="22" spans="1:2" ht="18.75" thickBot="1" x14ac:dyDescent="0.3">
      <c r="A22" s="19" t="s">
        <v>31</v>
      </c>
      <c r="B22" s="17">
        <v>1</v>
      </c>
    </row>
    <row r="23" spans="1:2" x14ac:dyDescent="0.25">
      <c r="B23">
        <f>SUM(B10:B22)</f>
        <v>80</v>
      </c>
    </row>
  </sheetData>
  <mergeCells count="9">
    <mergeCell ref="O3:O4"/>
    <mergeCell ref="C6:N6"/>
    <mergeCell ref="K3:K4"/>
    <mergeCell ref="L3:L4"/>
    <mergeCell ref="M3:M4"/>
    <mergeCell ref="C3:C4"/>
    <mergeCell ref="D3:D4"/>
    <mergeCell ref="E3:E4"/>
    <mergeCell ref="N3:N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="160" zoomScaleNormal="160" workbookViewId="0">
      <selection activeCell="D12" sqref="D12"/>
    </sheetView>
  </sheetViews>
  <sheetFormatPr baseColWidth="10" defaultRowHeight="15" x14ac:dyDescent="0.25"/>
  <sheetData>
    <row r="1" spans="1:8" ht="42" thickBot="1" x14ac:dyDescent="0.3">
      <c r="A1" s="6" t="s">
        <v>0</v>
      </c>
      <c r="B1" s="111" t="s">
        <v>1</v>
      </c>
      <c r="C1" s="112"/>
      <c r="D1" s="7" t="s">
        <v>2</v>
      </c>
      <c r="E1" s="5" t="s">
        <v>11</v>
      </c>
      <c r="F1" s="5" t="s">
        <v>12</v>
      </c>
      <c r="G1" s="5" t="s">
        <v>13</v>
      </c>
      <c r="H1" s="4" t="s">
        <v>4</v>
      </c>
    </row>
    <row r="2" spans="1:8" ht="17.25" thickBot="1" x14ac:dyDescent="0.3">
      <c r="A2" s="2">
        <v>1</v>
      </c>
      <c r="B2" s="113" t="s">
        <v>5</v>
      </c>
      <c r="C2" s="114"/>
      <c r="D2" s="3" t="s">
        <v>6</v>
      </c>
      <c r="E2" s="8">
        <v>44966</v>
      </c>
      <c r="F2" s="8">
        <v>0</v>
      </c>
      <c r="G2" s="8">
        <v>0</v>
      </c>
      <c r="H2" s="8">
        <v>0</v>
      </c>
    </row>
    <row r="3" spans="1:8" ht="15.75" thickBot="1" x14ac:dyDescent="0.3">
      <c r="A3" s="111" t="s">
        <v>7</v>
      </c>
      <c r="B3" s="115"/>
      <c r="C3" s="115"/>
      <c r="D3" s="115"/>
      <c r="E3" s="115"/>
      <c r="F3" s="112"/>
      <c r="G3" s="9"/>
      <c r="H3" s="8">
        <f>+H2</f>
        <v>0</v>
      </c>
    </row>
  </sheetData>
  <sheetProtection algorithmName="SHA-512" hashValue="my0jaObE4OC4XE4rdV7ReasmcFdzQ3Z2SgjJmtyxr4QJXF/PcTdwirV3uMSITtCmIHS0iXTfHCEQWP2aoVmk8g==" saltValue="clsWIunFvzElEY+jTM6jBQ==" spinCount="100000" sheet="1" objects="1" scenarios="1"/>
  <mergeCells count="3">
    <mergeCell ref="B1:C1"/>
    <mergeCell ref="B2:C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Hoja2</vt:lpstr>
      <vt:lpstr>Hoja1</vt:lpstr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andres alzate moreno</dc:creator>
  <cp:lastModifiedBy>margarita.sotelo</cp:lastModifiedBy>
  <dcterms:created xsi:type="dcterms:W3CDTF">2022-05-22T12:21:27Z</dcterms:created>
  <dcterms:modified xsi:type="dcterms:W3CDTF">2025-09-23T15:41:28Z</dcterms:modified>
</cp:coreProperties>
</file>