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C:\Users\IRMA.GONZALEZ\Documents\2025\SUB\MEDIOS\"/>
    </mc:Choice>
  </mc:AlternateContent>
  <xr:revisionPtr revIDLastSave="0" documentId="8_{48AC5EC6-76B9-4F4A-9376-7A99EF5B1680}" xr6:coauthVersionLast="47" xr6:coauthVersionMax="47" xr10:uidLastSave="{00000000-0000-0000-0000-000000000000}"/>
  <bookViews>
    <workbookView xWindow="-120" yWindow="-120" windowWidth="29040" windowHeight="15720" activeTab="7" xr2:uid="{00000000-000D-0000-FFFF-FFFF00000000}"/>
  </bookViews>
  <sheets>
    <sheet name="Estudio de mercado ajustado" sheetId="12" state="hidden" r:id="rId1"/>
    <sheet name="Códigos UNSPSC" sheetId="2" state="hidden" r:id="rId2"/>
    <sheet name="Cotización 1" sheetId="6" state="hidden" r:id="rId3"/>
    <sheet name="Cotización 2" sheetId="7" state="hidden" r:id="rId4"/>
    <sheet name="Cotización 3" sheetId="5" state="hidden" r:id="rId5"/>
    <sheet name="Estudio de mercado" sheetId="3" state="hidden" r:id="rId6"/>
    <sheet name="Costo por componente" sheetId="11" state="hidden" r:id="rId7"/>
    <sheet name="OFERTA ECONOMICA" sheetId="13" r:id="rId8"/>
    <sheet name="CRONOGRAMA GENERAL ACTIVIDADES" sheetId="10" state="hidden" r:id="rId9"/>
    <sheet name="Calculo Forma de Pagos" sheetId="9" state="hidden" r:id="rId10"/>
  </sheets>
  <externalReferences>
    <externalReference r:id="rId11"/>
    <externalReference r:id="rId12"/>
    <externalReference r:id="rId13"/>
  </externalReferences>
  <definedNames>
    <definedName name="_xlnm._FilterDatabase" localSheetId="2" hidden="1">'Cotización 1'!$A$8:$H$30</definedName>
    <definedName name="_xlnm._FilterDatabase" localSheetId="3" hidden="1">'Cotización 2'!$A$8:$H$30</definedName>
    <definedName name="BASE" localSheetId="9">#REF!</definedName>
    <definedName name="BASE" localSheetId="0">#REF!</definedName>
    <definedName name="BASE" localSheetId="7">#REF!</definedName>
    <definedName name="BASE">#REF!</definedName>
    <definedName name="Casas_de_juventud" localSheetId="9">#REF!</definedName>
    <definedName name="Casas_de_juventud" localSheetId="0">#REF!</definedName>
    <definedName name="Casas_de_juventud" localSheetId="7">#REF!</definedName>
    <definedName name="Casas_de_juventud">#REF!</definedName>
    <definedName name="Centros_Forjar" localSheetId="9">#REF!</definedName>
    <definedName name="Centros_Forjar" localSheetId="0">#REF!</definedName>
    <definedName name="Centros_Forjar" localSheetId="7">#REF!</definedName>
    <definedName name="Centros_Forjar">#REF!</definedName>
    <definedName name="CONCPETOLINEA" localSheetId="9">#REF!</definedName>
    <definedName name="CONCPETOLINEA" localSheetId="0">#REF!</definedName>
    <definedName name="CONCPETOLINEA" localSheetId="7">#REF!</definedName>
    <definedName name="CONCPETOLINEA">#REF!</definedName>
    <definedName name="dgsgdffg" localSheetId="9">#REF!</definedName>
    <definedName name="dgsgdffg" localSheetId="0">#REF!</definedName>
    <definedName name="dgsgdffg" localSheetId="7">#REF!</definedName>
    <definedName name="dgsgdffg">#REF!</definedName>
    <definedName name="DIMENSION" localSheetId="9">#REF!</definedName>
    <definedName name="DIMENSION" localSheetId="0">#REF!</definedName>
    <definedName name="DIMENSION" localSheetId="7">#REF!</definedName>
    <definedName name="DIMENSION">#REF!</definedName>
    <definedName name="Escuelas_culturales" localSheetId="9">#REF!</definedName>
    <definedName name="Escuelas_culturales" localSheetId="0">#REF!</definedName>
    <definedName name="Escuelas_culturales" localSheetId="7">#REF!</definedName>
    <definedName name="Escuelas_culturales">#REF!</definedName>
    <definedName name="Escuelas_deportivas" localSheetId="9">#REF!</definedName>
    <definedName name="Escuelas_deportivas" localSheetId="0">#REF!</definedName>
    <definedName name="Escuelas_deportivas" localSheetId="7">#REF!</definedName>
    <definedName name="Escuelas_deportivas">#REF!</definedName>
    <definedName name="ESTADO">[1]LISTAS!$B$5:$B$10</definedName>
    <definedName name="ESTADODOS">[1]LISTAS!$B$6:$B$10</definedName>
    <definedName name="ETAPA" localSheetId="9">#REF!</definedName>
    <definedName name="ETAPA" localSheetId="0">#REF!</definedName>
    <definedName name="ETAPA" localSheetId="7">#REF!</definedName>
    <definedName name="ETAPA">#REF!</definedName>
    <definedName name="FGKJHLKHKJÑ" localSheetId="9">#REF!</definedName>
    <definedName name="FGKJHLKHKJÑ" localSheetId="0">#REF!</definedName>
    <definedName name="FGKJHLKHKJÑ" localSheetId="7">#REF!</definedName>
    <definedName name="FGKJHLKHKJÑ">#REF!</definedName>
    <definedName name="GGGGGGGGGGGGG" localSheetId="9">#REF!</definedName>
    <definedName name="GGGGGGGGGGGGG" localSheetId="0">#REF!</definedName>
    <definedName name="GGGGGGGGGGGGG" localSheetId="7">#REF!</definedName>
    <definedName name="GGGGGGGGGGGGG">#REF!</definedName>
    <definedName name="IED" localSheetId="9">#REF!</definedName>
    <definedName name="IED" localSheetId="0">#REF!</definedName>
    <definedName name="IED" localSheetId="7">#REF!</definedName>
    <definedName name="IED">#REF!</definedName>
    <definedName name="INDICADOR">[2]listas!$S$216:$S$275</definedName>
    <definedName name="LINEA" localSheetId="9">#REF!</definedName>
    <definedName name="LINEA" localSheetId="0">#REF!</definedName>
    <definedName name="LINEA" localSheetId="7">#REF!</definedName>
    <definedName name="LINEA">#REF!</definedName>
    <definedName name="Mipymes" localSheetId="9">#REF!</definedName>
    <definedName name="Mipymes" localSheetId="0">#REF!</definedName>
    <definedName name="Mipymes" localSheetId="7">#REF!</definedName>
    <definedName name="Mipymes">#REF!</definedName>
    <definedName name="NIVEL" localSheetId="9">#REF!</definedName>
    <definedName name="NIVEL" localSheetId="0">#REF!</definedName>
    <definedName name="NIVEL" localSheetId="7">#REF!</definedName>
    <definedName name="NIVEL">#REF!</definedName>
    <definedName name="SECTOR" localSheetId="9">#REF!</definedName>
    <definedName name="SECTOR" localSheetId="0">#REF!</definedName>
    <definedName name="SECTOR" localSheetId="7">#REF!</definedName>
    <definedName name="SECTOR">#REF!</definedName>
    <definedName name="Sedes_culturales" localSheetId="9">#REF!</definedName>
    <definedName name="Sedes_culturales" localSheetId="0">#REF!</definedName>
    <definedName name="Sedes_culturales" localSheetId="7">#REF!</definedName>
    <definedName name="Sedes_culturales">#REF!</definedName>
    <definedName name="TEMA" localSheetId="9">#REF!</definedName>
    <definedName name="TEMA" localSheetId="0">#REF!</definedName>
    <definedName name="TEMA" localSheetId="7">#REF!</definedName>
    <definedName name="TEMA">#REF!</definedName>
    <definedName name="TEMAGEO" localSheetId="9">#REF!</definedName>
    <definedName name="TEMAGEO" localSheetId="0">#REF!</definedName>
    <definedName name="TEMAGEO" localSheetId="7">#REF!</definedName>
    <definedName name="TEMAGEO">#REF!</definedName>
    <definedName name="TIPODECODIGO" localSheetId="9">#REF!</definedName>
    <definedName name="TIPODECODIGO" localSheetId="0">#REF!</definedName>
    <definedName name="TIPODECODIGO" localSheetId="7">#REF!</definedName>
    <definedName name="TIPODECODIG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0" i="13" l="1"/>
  <c r="H49" i="13"/>
  <c r="H46" i="13"/>
  <c r="H47" i="13" l="1"/>
  <c r="H48" i="13"/>
  <c r="H51" i="13" l="1"/>
  <c r="F40" i="13" l="1"/>
  <c r="I40" i="13" l="1"/>
  <c r="J94" i="12" l="1"/>
  <c r="K94" i="12" s="1"/>
  <c r="L94" i="12" s="1"/>
  <c r="N94" i="12" s="1"/>
  <c r="J95" i="12"/>
  <c r="K95" i="12" s="1"/>
  <c r="J96" i="12"/>
  <c r="J97" i="12"/>
  <c r="K97" i="12" s="1"/>
  <c r="J98" i="12"/>
  <c r="K98" i="12" s="1"/>
  <c r="L98" i="12" s="1"/>
  <c r="N98" i="12" s="1"/>
  <c r="J99" i="12"/>
  <c r="M99" i="12" s="1"/>
  <c r="J93" i="12"/>
  <c r="M95" i="12" l="1"/>
  <c r="K99" i="12"/>
  <c r="L99" i="12" s="1"/>
  <c r="N99" i="12" s="1"/>
  <c r="L95" i="12"/>
  <c r="N95" i="12" s="1"/>
  <c r="M94" i="12"/>
  <c r="M98" i="12"/>
  <c r="K96" i="12"/>
  <c r="L96" i="12" s="1"/>
  <c r="N96" i="12" s="1"/>
  <c r="M97" i="12"/>
  <c r="L97" i="12"/>
  <c r="N97" i="12" s="1"/>
  <c r="M96" i="12"/>
  <c r="N100" i="12" l="1"/>
  <c r="G95" i="12" l="1"/>
  <c r="M93" i="12"/>
  <c r="K93" i="12"/>
  <c r="K81" i="12"/>
  <c r="K75" i="12"/>
  <c r="K69" i="12"/>
  <c r="K63" i="12"/>
  <c r="K57" i="12"/>
  <c r="K51" i="12"/>
  <c r="K45" i="12"/>
  <c r="K39" i="12"/>
  <c r="K33" i="12"/>
  <c r="K26" i="12"/>
  <c r="K19" i="12"/>
  <c r="AA14" i="12"/>
  <c r="Z14" i="12"/>
  <c r="Y14" i="12"/>
  <c r="T14" i="12"/>
  <c r="R14" i="12"/>
  <c r="S14" i="12" s="1"/>
  <c r="U14" i="12" s="1"/>
  <c r="O14" i="12"/>
  <c r="M14" i="12"/>
  <c r="AB14" i="12" s="1"/>
  <c r="AA13" i="12"/>
  <c r="Z13" i="12"/>
  <c r="Y13" i="12"/>
  <c r="T13" i="12"/>
  <c r="R13" i="12"/>
  <c r="S13" i="12" s="1"/>
  <c r="U13" i="12" s="1"/>
  <c r="O13" i="12"/>
  <c r="M13" i="12"/>
  <c r="N13" i="12" s="1"/>
  <c r="P13" i="12" s="1"/>
  <c r="AA12" i="12"/>
  <c r="Z12" i="12"/>
  <c r="Y12" i="12"/>
  <c r="T12" i="12"/>
  <c r="R12" i="12"/>
  <c r="S12" i="12" s="1"/>
  <c r="U12" i="12" s="1"/>
  <c r="O12" i="12"/>
  <c r="M12" i="12"/>
  <c r="N12" i="12" s="1"/>
  <c r="AA11" i="12"/>
  <c r="Z11" i="12"/>
  <c r="Y11" i="12"/>
  <c r="T11" i="12"/>
  <c r="R11" i="12"/>
  <c r="S11" i="12" s="1"/>
  <c r="U11" i="12" s="1"/>
  <c r="O11" i="12"/>
  <c r="M11" i="12"/>
  <c r="AI10" i="12"/>
  <c r="AA10" i="12"/>
  <c r="Z10" i="12"/>
  <c r="Y10" i="12"/>
  <c r="T10" i="12"/>
  <c r="R10" i="12"/>
  <c r="S10" i="12" s="1"/>
  <c r="U10" i="12" s="1"/>
  <c r="O10" i="12"/>
  <c r="M10" i="12"/>
  <c r="N10" i="12" s="1"/>
  <c r="AH9" i="12"/>
  <c r="AA9" i="12"/>
  <c r="Z9" i="12"/>
  <c r="Y9" i="12"/>
  <c r="T9" i="12"/>
  <c r="R9" i="12"/>
  <c r="S9" i="12" s="1"/>
  <c r="U9" i="12" s="1"/>
  <c r="O9" i="12"/>
  <c r="M9" i="12"/>
  <c r="AJ8" i="12"/>
  <c r="AI8" i="12"/>
  <c r="AA8" i="12"/>
  <c r="Z8" i="12"/>
  <c r="Y8" i="12"/>
  <c r="T8" i="12"/>
  <c r="R8" i="12"/>
  <c r="S8" i="12" s="1"/>
  <c r="U8" i="12" s="1"/>
  <c r="O8" i="12"/>
  <c r="M8" i="12"/>
  <c r="N8" i="12" s="1"/>
  <c r="AA7" i="12"/>
  <c r="Z7" i="12"/>
  <c r="Y7" i="12"/>
  <c r="T7" i="12"/>
  <c r="R7" i="12"/>
  <c r="S7" i="12" s="1"/>
  <c r="U7" i="12" s="1"/>
  <c r="O7" i="12"/>
  <c r="M7" i="12"/>
  <c r="AA6" i="12"/>
  <c r="Z6" i="12"/>
  <c r="Y6" i="12"/>
  <c r="T6" i="12"/>
  <c r="R6" i="12"/>
  <c r="S6" i="12" s="1"/>
  <c r="U6" i="12" s="1"/>
  <c r="O6" i="12"/>
  <c r="N6" i="12"/>
  <c r="M6" i="12"/>
  <c r="AA5" i="12"/>
  <c r="Z5" i="12"/>
  <c r="Y5" i="12"/>
  <c r="T5" i="12"/>
  <c r="R5" i="12"/>
  <c r="S5" i="12" s="1"/>
  <c r="U5" i="12" s="1"/>
  <c r="O5" i="12"/>
  <c r="M5" i="12"/>
  <c r="N5" i="12" s="1"/>
  <c r="AA4" i="12"/>
  <c r="Z4" i="12"/>
  <c r="Y4" i="12"/>
  <c r="T4" i="12"/>
  <c r="R4" i="12"/>
  <c r="S4" i="12" s="1"/>
  <c r="U4" i="12" s="1"/>
  <c r="O4" i="12"/>
  <c r="M4" i="12"/>
  <c r="N4" i="12" s="1"/>
  <c r="AA3" i="12"/>
  <c r="Z3" i="12"/>
  <c r="Y3" i="12"/>
  <c r="T3" i="12"/>
  <c r="R3" i="12"/>
  <c r="S3" i="12" s="1"/>
  <c r="U3" i="12" s="1"/>
  <c r="O3" i="12"/>
  <c r="M3" i="12"/>
  <c r="N3" i="12" s="1"/>
  <c r="P3" i="12" s="1"/>
  <c r="J100" i="3"/>
  <c r="G102" i="3"/>
  <c r="J102" i="3"/>
  <c r="M102" i="3" s="1"/>
  <c r="J105" i="3"/>
  <c r="J104" i="3"/>
  <c r="K104" i="3" s="1"/>
  <c r="L104" i="3" s="1"/>
  <c r="N104" i="3" s="1"/>
  <c r="J103" i="3"/>
  <c r="K103" i="3" s="1"/>
  <c r="L103" i="3" s="1"/>
  <c r="N103" i="3" s="1"/>
  <c r="M101" i="3"/>
  <c r="N101" i="3"/>
  <c r="AC4" i="12" l="1"/>
  <c r="AC8" i="12"/>
  <c r="AB6" i="12"/>
  <c r="AB7" i="12"/>
  <c r="P4" i="12"/>
  <c r="AE4" i="12" s="1"/>
  <c r="AD3" i="12"/>
  <c r="AB9" i="12"/>
  <c r="AF13" i="12"/>
  <c r="AD14" i="12"/>
  <c r="N9" i="12"/>
  <c r="P9" i="12" s="1"/>
  <c r="AC10" i="12"/>
  <c r="AB4" i="12"/>
  <c r="K102" i="3"/>
  <c r="L102" i="3" s="1"/>
  <c r="N102" i="3" s="1"/>
  <c r="N106" i="3" s="1"/>
  <c r="M103" i="3"/>
  <c r="AB13" i="12"/>
  <c r="J89" i="12"/>
  <c r="AB3" i="12"/>
  <c r="AC5" i="12"/>
  <c r="AB5" i="12"/>
  <c r="AD7" i="12"/>
  <c r="AD8" i="12"/>
  <c r="AC12" i="12"/>
  <c r="AD12" i="12"/>
  <c r="AD13" i="12"/>
  <c r="Z15" i="12"/>
  <c r="AD4" i="12"/>
  <c r="AD6" i="12"/>
  <c r="AD9" i="12"/>
  <c r="AB10" i="12"/>
  <c r="AD11" i="12"/>
  <c r="N14" i="12"/>
  <c r="P14" i="12" s="1"/>
  <c r="L93" i="12"/>
  <c r="N93" i="12" s="1"/>
  <c r="AF3" i="12"/>
  <c r="AE3" i="12"/>
  <c r="AC9" i="12"/>
  <c r="AE13" i="12"/>
  <c r="AD5" i="12"/>
  <c r="AC6" i="12"/>
  <c r="P6" i="12"/>
  <c r="AB11" i="12"/>
  <c r="AC3" i="12"/>
  <c r="AF9" i="12"/>
  <c r="AE9" i="12"/>
  <c r="N7" i="12"/>
  <c r="AB8" i="12"/>
  <c r="AD10" i="12"/>
  <c r="AF4" i="12"/>
  <c r="P5" i="12"/>
  <c r="P8" i="12"/>
  <c r="P10" i="12"/>
  <c r="N11" i="12"/>
  <c r="AB12" i="12"/>
  <c r="AC13" i="12"/>
  <c r="U15" i="12"/>
  <c r="P12" i="12"/>
  <c r="M104" i="3"/>
  <c r="M105" i="3"/>
  <c r="K105" i="3"/>
  <c r="L105" i="3" s="1"/>
  <c r="N105" i="3" s="1"/>
  <c r="AG13" i="12" l="1"/>
  <c r="AC14" i="12"/>
  <c r="AG4" i="12"/>
  <c r="AF5" i="12"/>
  <c r="AE5" i="12"/>
  <c r="P7" i="12"/>
  <c r="AC7" i="12"/>
  <c r="AE12" i="12"/>
  <c r="AF12" i="12"/>
  <c r="P11" i="12"/>
  <c r="AC11" i="12"/>
  <c r="AF10" i="12"/>
  <c r="AE10" i="12"/>
  <c r="AF6" i="12"/>
  <c r="AE6" i="12"/>
  <c r="AG3" i="12"/>
  <c r="AF14" i="12"/>
  <c r="AE14" i="12"/>
  <c r="AE8" i="12"/>
  <c r="AF8" i="12"/>
  <c r="AG8" i="12" s="1"/>
  <c r="AG9" i="12"/>
  <c r="U16" i="12" l="1"/>
  <c r="Z16" i="12"/>
  <c r="AG14" i="12"/>
  <c r="AG12" i="12"/>
  <c r="AG6" i="12"/>
  <c r="AF11" i="12"/>
  <c r="AE11" i="12"/>
  <c r="AF7" i="12"/>
  <c r="AE7" i="12"/>
  <c r="AG10" i="12"/>
  <c r="P15" i="12"/>
  <c r="P16" i="12" s="1"/>
  <c r="AG5" i="12"/>
  <c r="AE15" i="12" l="1"/>
  <c r="AE16" i="12" s="1"/>
  <c r="AH17" i="12"/>
  <c r="AG11" i="12"/>
  <c r="AG7" i="12"/>
  <c r="F4" i="11" l="1"/>
  <c r="F5" i="11"/>
  <c r="F6" i="11"/>
  <c r="F3" i="11"/>
  <c r="F8" i="11" s="1"/>
  <c r="K100" i="3" l="1"/>
  <c r="L100" i="3" s="1"/>
  <c r="N100" i="3" s="1"/>
  <c r="M100" i="3"/>
  <c r="AJ8" i="3"/>
  <c r="AI8" i="3"/>
  <c r="AI10" i="3"/>
  <c r="AH9" i="3"/>
  <c r="Y4" i="3"/>
  <c r="Y5" i="3"/>
  <c r="Y6" i="3"/>
  <c r="Y7" i="3"/>
  <c r="Y8" i="3"/>
  <c r="Y9" i="3"/>
  <c r="Y10" i="3"/>
  <c r="Y11" i="3"/>
  <c r="Y12" i="3"/>
  <c r="Y13" i="3"/>
  <c r="Y14" i="3"/>
  <c r="Y15" i="3"/>
  <c r="Y16" i="3"/>
  <c r="Y17" i="3"/>
  <c r="Y18" i="3"/>
  <c r="Y19" i="3"/>
  <c r="Y20" i="3"/>
  <c r="Y21" i="3"/>
  <c r="Y3" i="3"/>
  <c r="T4" i="3"/>
  <c r="T5" i="3"/>
  <c r="T6" i="3"/>
  <c r="T7" i="3"/>
  <c r="T8" i="3"/>
  <c r="T9" i="3"/>
  <c r="T10" i="3"/>
  <c r="T11" i="3"/>
  <c r="T12" i="3"/>
  <c r="T13" i="3"/>
  <c r="T14" i="3"/>
  <c r="T15" i="3"/>
  <c r="T16" i="3"/>
  <c r="T17" i="3"/>
  <c r="T18" i="3"/>
  <c r="T19" i="3"/>
  <c r="T20" i="3"/>
  <c r="T21" i="3"/>
  <c r="T3" i="3"/>
  <c r="O4" i="3"/>
  <c r="O5" i="3"/>
  <c r="O6" i="3"/>
  <c r="O7" i="3"/>
  <c r="O8" i="3"/>
  <c r="O9" i="3"/>
  <c r="O10" i="3"/>
  <c r="O11" i="3"/>
  <c r="O12" i="3"/>
  <c r="O13" i="3"/>
  <c r="O14" i="3"/>
  <c r="O15" i="3"/>
  <c r="O16" i="3"/>
  <c r="O17" i="3"/>
  <c r="O18" i="3"/>
  <c r="O19" i="3"/>
  <c r="O20" i="3"/>
  <c r="O21" i="3"/>
  <c r="O3" i="3"/>
  <c r="J124" i="9" l="1"/>
  <c r="J116" i="9"/>
  <c r="J109" i="9"/>
  <c r="J101" i="9"/>
  <c r="J91" i="9"/>
  <c r="J83" i="9"/>
  <c r="J73" i="9"/>
  <c r="J65" i="9"/>
  <c r="J55" i="9"/>
  <c r="AF50" i="9"/>
  <c r="AE49" i="9"/>
  <c r="AE48" i="9"/>
  <c r="AE47" i="9"/>
  <c r="AF46" i="9"/>
  <c r="J44" i="9"/>
  <c r="AF41" i="9" s="1"/>
  <c r="AG41" i="9" s="1"/>
  <c r="AF43" i="9"/>
  <c r="J34" i="9"/>
  <c r="AA29" i="9"/>
  <c r="AA28" i="9"/>
  <c r="AA27" i="9"/>
  <c r="AA26" i="9"/>
  <c r="AA25" i="9"/>
  <c r="AA24" i="9"/>
  <c r="AA23" i="9"/>
  <c r="AA22" i="9"/>
  <c r="AA21" i="9"/>
  <c r="Z21" i="9"/>
  <c r="Y21" i="9"/>
  <c r="R21" i="9"/>
  <c r="M21" i="9"/>
  <c r="AA20" i="9"/>
  <c r="Z20" i="9"/>
  <c r="Y20" i="9"/>
  <c r="R20" i="9"/>
  <c r="M20" i="9"/>
  <c r="AA19" i="9"/>
  <c r="Z19" i="9"/>
  <c r="Y19" i="9"/>
  <c r="R19" i="9"/>
  <c r="M19" i="9"/>
  <c r="AA18" i="9"/>
  <c r="Z18" i="9"/>
  <c r="Y18" i="9"/>
  <c r="R18" i="9"/>
  <c r="T18" i="9" s="1"/>
  <c r="M18" i="9"/>
  <c r="AA17" i="9"/>
  <c r="Z17" i="9"/>
  <c r="Y17" i="9"/>
  <c r="R17" i="9"/>
  <c r="M17" i="9"/>
  <c r="AA16" i="9"/>
  <c r="Z16" i="9"/>
  <c r="Y16" i="9"/>
  <c r="R16" i="9"/>
  <c r="M16" i="9"/>
  <c r="AA15" i="9"/>
  <c r="Z15" i="9"/>
  <c r="Y15" i="9"/>
  <c r="R15" i="9"/>
  <c r="M15" i="9"/>
  <c r="AA14" i="9"/>
  <c r="Z14" i="9"/>
  <c r="Y14" i="9"/>
  <c r="R14" i="9"/>
  <c r="T14" i="9" s="1"/>
  <c r="M14" i="9"/>
  <c r="AA13" i="9"/>
  <c r="Z13" i="9"/>
  <c r="Y13" i="9"/>
  <c r="R13" i="9"/>
  <c r="M13" i="9"/>
  <c r="AA12" i="9"/>
  <c r="Z12" i="9"/>
  <c r="Y12" i="9"/>
  <c r="R12" i="9"/>
  <c r="M12" i="9"/>
  <c r="AA11" i="9"/>
  <c r="Z11" i="9"/>
  <c r="Y11" i="9"/>
  <c r="R11" i="9"/>
  <c r="M11" i="9"/>
  <c r="AA10" i="9"/>
  <c r="Z10" i="9"/>
  <c r="Y10" i="9"/>
  <c r="R10" i="9"/>
  <c r="T10" i="9" s="1"/>
  <c r="M10" i="9"/>
  <c r="AA9" i="9"/>
  <c r="Z9" i="9"/>
  <c r="Y9" i="9"/>
  <c r="R9" i="9"/>
  <c r="M9" i="9"/>
  <c r="AA8" i="9"/>
  <c r="Z8" i="9"/>
  <c r="Y8" i="9"/>
  <c r="R8" i="9"/>
  <c r="M8" i="9"/>
  <c r="AA7" i="9"/>
  <c r="Z7" i="9"/>
  <c r="Y7" i="9"/>
  <c r="R7" i="9"/>
  <c r="M7" i="9"/>
  <c r="AA6" i="9"/>
  <c r="Z6" i="9"/>
  <c r="Y6" i="9"/>
  <c r="R6" i="9"/>
  <c r="M6" i="9"/>
  <c r="AA5" i="9"/>
  <c r="Z5" i="9"/>
  <c r="Y5" i="9"/>
  <c r="R5" i="9"/>
  <c r="M5" i="9"/>
  <c r="N5" i="9" s="1"/>
  <c r="AA4" i="9"/>
  <c r="Z4" i="9"/>
  <c r="Y4" i="9"/>
  <c r="R4" i="9"/>
  <c r="M4" i="9"/>
  <c r="AA3" i="9"/>
  <c r="Z3" i="9"/>
  <c r="Y3" i="9"/>
  <c r="R3" i="9"/>
  <c r="M3" i="9"/>
  <c r="J134" i="9" l="1"/>
  <c r="AF42" i="9"/>
  <c r="AB3" i="9"/>
  <c r="O3" i="9"/>
  <c r="N3" i="9"/>
  <c r="T3" i="9"/>
  <c r="S3" i="9"/>
  <c r="U3" i="9" s="1"/>
  <c r="AB4" i="9"/>
  <c r="O4" i="9"/>
  <c r="N4" i="9"/>
  <c r="P4" i="9" s="1"/>
  <c r="T4" i="9"/>
  <c r="S4" i="9"/>
  <c r="U4" i="9" s="1"/>
  <c r="AE4" i="9" s="1"/>
  <c r="T5" i="9"/>
  <c r="S5" i="9"/>
  <c r="U5" i="9" s="1"/>
  <c r="AB7" i="9"/>
  <c r="O7" i="9"/>
  <c r="N7" i="9"/>
  <c r="T7" i="9"/>
  <c r="S7" i="9"/>
  <c r="U7" i="9" s="1"/>
  <c r="AB8" i="9"/>
  <c r="O8" i="9"/>
  <c r="N8" i="9"/>
  <c r="P8" i="9" s="1"/>
  <c r="T8" i="9"/>
  <c r="S8" i="9"/>
  <c r="U8" i="9" s="1"/>
  <c r="O10" i="9"/>
  <c r="AB10" i="9"/>
  <c r="AB11" i="9"/>
  <c r="O11" i="9"/>
  <c r="N11" i="9"/>
  <c r="T11" i="9"/>
  <c r="S11" i="9"/>
  <c r="U11" i="9" s="1"/>
  <c r="AB12" i="9"/>
  <c r="O12" i="9"/>
  <c r="N12" i="9"/>
  <c r="T12" i="9"/>
  <c r="S12" i="9"/>
  <c r="U12" i="9" s="1"/>
  <c r="O14" i="9"/>
  <c r="AB14" i="9"/>
  <c r="AB15" i="9"/>
  <c r="O15" i="9"/>
  <c r="N15" i="9"/>
  <c r="T15" i="9"/>
  <c r="S15" i="9"/>
  <c r="U15" i="9" s="1"/>
  <c r="AB16" i="9"/>
  <c r="O16" i="9"/>
  <c r="N16" i="9"/>
  <c r="AC16" i="9" s="1"/>
  <c r="T16" i="9"/>
  <c r="S16" i="9"/>
  <c r="U16" i="9" s="1"/>
  <c r="O18" i="9"/>
  <c r="AD18" i="9" s="1"/>
  <c r="AB18" i="9"/>
  <c r="N19" i="9"/>
  <c r="P19" i="9" s="1"/>
  <c r="AB19" i="9"/>
  <c r="O19" i="9"/>
  <c r="S19" i="9"/>
  <c r="U19" i="9" s="1"/>
  <c r="T19" i="9"/>
  <c r="AB20" i="9"/>
  <c r="O20" i="9"/>
  <c r="N20" i="9"/>
  <c r="S20" i="9"/>
  <c r="U20" i="9" s="1"/>
  <c r="T20" i="9"/>
  <c r="AF20" i="9"/>
  <c r="AE20" i="9"/>
  <c r="AB21" i="9"/>
  <c r="O21" i="9"/>
  <c r="N21" i="9"/>
  <c r="T21" i="9"/>
  <c r="S21" i="9"/>
  <c r="U21" i="9" s="1"/>
  <c r="P5" i="9"/>
  <c r="T9" i="9"/>
  <c r="S9" i="9"/>
  <c r="U9" i="9" s="1"/>
  <c r="O6" i="9"/>
  <c r="N6" i="9"/>
  <c r="P12" i="9"/>
  <c r="AD14" i="9"/>
  <c r="AB17" i="9"/>
  <c r="O17" i="9"/>
  <c r="N17" i="9"/>
  <c r="AB5" i="9"/>
  <c r="O5" i="9"/>
  <c r="T6" i="9"/>
  <c r="S6" i="9"/>
  <c r="U6" i="9" s="1"/>
  <c r="AB9" i="9"/>
  <c r="O9" i="9"/>
  <c r="N9" i="9"/>
  <c r="T13" i="9"/>
  <c r="S13" i="9"/>
  <c r="U13" i="9" s="1"/>
  <c r="Z30" i="9"/>
  <c r="Z31" i="9" s="1"/>
  <c r="AB6" i="9"/>
  <c r="P3" i="9"/>
  <c r="AD10" i="9"/>
  <c r="AB13" i="9"/>
  <c r="O13" i="9"/>
  <c r="AD13" i="9" s="1"/>
  <c r="N13" i="9"/>
  <c r="T17" i="9"/>
  <c r="S17" i="9"/>
  <c r="U17" i="9" s="1"/>
  <c r="AC21" i="9"/>
  <c r="P21" i="9"/>
  <c r="AF40" i="9"/>
  <c r="AG40" i="9" s="1"/>
  <c r="N10" i="9"/>
  <c r="S10" i="9"/>
  <c r="U10" i="9" s="1"/>
  <c r="N14" i="9"/>
  <c r="S14" i="9"/>
  <c r="U14" i="9" s="1"/>
  <c r="N18" i="9"/>
  <c r="S18" i="9"/>
  <c r="U18" i="9" s="1"/>
  <c r="Z20" i="3"/>
  <c r="AA20" i="3"/>
  <c r="J122" i="7"/>
  <c r="J114" i="7"/>
  <c r="J107" i="7"/>
  <c r="J99" i="7"/>
  <c r="J89" i="7"/>
  <c r="J81" i="7"/>
  <c r="J71" i="7"/>
  <c r="J63" i="7"/>
  <c r="J53" i="7"/>
  <c r="J42" i="7"/>
  <c r="J32" i="7"/>
  <c r="L27" i="7"/>
  <c r="M27" i="7" s="1"/>
  <c r="N27" i="7" s="1"/>
  <c r="L26" i="7"/>
  <c r="M26" i="7" s="1"/>
  <c r="N26" i="7" s="1"/>
  <c r="L25" i="7"/>
  <c r="M25" i="7" s="1"/>
  <c r="N25" i="7" s="1"/>
  <c r="L24" i="7"/>
  <c r="M24" i="7" s="1"/>
  <c r="N24" i="7" s="1"/>
  <c r="L23" i="7"/>
  <c r="M23" i="7" s="1"/>
  <c r="N23" i="7" s="1"/>
  <c r="L22" i="7"/>
  <c r="M22" i="7" s="1"/>
  <c r="N22" i="7" s="1"/>
  <c r="L21" i="7"/>
  <c r="M21" i="7" s="1"/>
  <c r="N21" i="7" s="1"/>
  <c r="L20" i="7"/>
  <c r="M20" i="7" s="1"/>
  <c r="N20" i="7" s="1"/>
  <c r="L19" i="7"/>
  <c r="M19" i="7" s="1"/>
  <c r="N19" i="7" s="1"/>
  <c r="L18" i="7"/>
  <c r="M18" i="7" s="1"/>
  <c r="N18" i="7" s="1"/>
  <c r="L17" i="7"/>
  <c r="M17" i="7" s="1"/>
  <c r="N17" i="7" s="1"/>
  <c r="L16" i="7"/>
  <c r="M16" i="7" s="1"/>
  <c r="N16" i="7" s="1"/>
  <c r="L15" i="7"/>
  <c r="M15" i="7" s="1"/>
  <c r="N15" i="7" s="1"/>
  <c r="L14" i="7"/>
  <c r="M14" i="7" s="1"/>
  <c r="N14" i="7" s="1"/>
  <c r="L13" i="7"/>
  <c r="M13" i="7" s="1"/>
  <c r="N13" i="7" s="1"/>
  <c r="L12" i="7"/>
  <c r="M12" i="7" s="1"/>
  <c r="N12" i="7" s="1"/>
  <c r="L11" i="7"/>
  <c r="M11" i="7" s="1"/>
  <c r="N11" i="7" s="1"/>
  <c r="L10" i="7"/>
  <c r="M10" i="7" s="1"/>
  <c r="N10" i="7" s="1"/>
  <c r="L9" i="7"/>
  <c r="M9" i="7" s="1"/>
  <c r="N9" i="7" s="1"/>
  <c r="AG20" i="9" l="1"/>
  <c r="AC4" i="9"/>
  <c r="AC5" i="9"/>
  <c r="AC3" i="9"/>
  <c r="AD19" i="9"/>
  <c r="AC19" i="9"/>
  <c r="P16" i="9"/>
  <c r="AD5" i="9"/>
  <c r="AD9" i="9"/>
  <c r="AC8" i="9"/>
  <c r="AC12" i="9"/>
  <c r="U30" i="9"/>
  <c r="U31" i="9" s="1"/>
  <c r="AD21" i="9"/>
  <c r="AC20" i="9"/>
  <c r="AD20" i="9"/>
  <c r="AD16" i="9"/>
  <c r="AC15" i="9"/>
  <c r="P15" i="9"/>
  <c r="AD15" i="9"/>
  <c r="AD12" i="9"/>
  <c r="AC11" i="9"/>
  <c r="P11" i="9"/>
  <c r="AD11" i="9"/>
  <c r="AD8" i="9"/>
  <c r="AC7" i="9"/>
  <c r="P7" i="9"/>
  <c r="AD7" i="9"/>
  <c r="AF4" i="9"/>
  <c r="AG4" i="9" s="1"/>
  <c r="AD4" i="9"/>
  <c r="AD3" i="9"/>
  <c r="AF16" i="9"/>
  <c r="AE16" i="9"/>
  <c r="AC14" i="9"/>
  <c r="P14" i="9"/>
  <c r="AF5" i="9"/>
  <c r="AE5" i="9"/>
  <c r="AF21" i="9"/>
  <c r="AE21" i="9"/>
  <c r="AF3" i="9"/>
  <c r="AE3" i="9"/>
  <c r="P17" i="9"/>
  <c r="AC17" i="9"/>
  <c r="AD6" i="9"/>
  <c r="AF8" i="9"/>
  <c r="AE8" i="9"/>
  <c r="P9" i="9"/>
  <c r="AC9" i="9"/>
  <c r="AF19" i="9"/>
  <c r="AE19" i="9"/>
  <c r="P6" i="9"/>
  <c r="AC6" i="9"/>
  <c r="AC18" i="9"/>
  <c r="P18" i="9"/>
  <c r="AC10" i="9"/>
  <c r="P10" i="9"/>
  <c r="P13" i="9"/>
  <c r="AC13" i="9"/>
  <c r="AD17" i="9"/>
  <c r="AF12" i="9"/>
  <c r="AE12" i="9"/>
  <c r="J131" i="7"/>
  <c r="AE20" i="3"/>
  <c r="AF20" i="3"/>
  <c r="N29" i="7"/>
  <c r="J133" i="7" l="1"/>
  <c r="AG19" i="9"/>
  <c r="AG5" i="9"/>
  <c r="AG16" i="9"/>
  <c r="AF7" i="9"/>
  <c r="AE7" i="9"/>
  <c r="AF11" i="9"/>
  <c r="AE11" i="9"/>
  <c r="AF15" i="9"/>
  <c r="AE15" i="9"/>
  <c r="AF9" i="9"/>
  <c r="AE9" i="9"/>
  <c r="AE18" i="9"/>
  <c r="AF18" i="9"/>
  <c r="AG18" i="9" s="1"/>
  <c r="AF17" i="9"/>
  <c r="AE17" i="9"/>
  <c r="AE14" i="9"/>
  <c r="AF14" i="9"/>
  <c r="AF13" i="9"/>
  <c r="AE13" i="9"/>
  <c r="AF35" i="9" s="1"/>
  <c r="AG8" i="9"/>
  <c r="AG21" i="9"/>
  <c r="AE6" i="9"/>
  <c r="AF6" i="9"/>
  <c r="P30" i="9"/>
  <c r="P31" i="9" s="1"/>
  <c r="AG12" i="9"/>
  <c r="AE10" i="9"/>
  <c r="AF10" i="9"/>
  <c r="AG3" i="9"/>
  <c r="L9" i="6"/>
  <c r="M9" i="6" s="1"/>
  <c r="N9" i="6" s="1"/>
  <c r="L10" i="6"/>
  <c r="M10" i="6" s="1"/>
  <c r="N10" i="6" s="1"/>
  <c r="L11" i="6"/>
  <c r="M11" i="6"/>
  <c r="N11" i="6" s="1"/>
  <c r="L12" i="6"/>
  <c r="M12" i="6" s="1"/>
  <c r="N12" i="6" s="1"/>
  <c r="L13" i="6"/>
  <c r="M13" i="6"/>
  <c r="N13" i="6" s="1"/>
  <c r="L14" i="6"/>
  <c r="M14" i="6" s="1"/>
  <c r="N14" i="6" s="1"/>
  <c r="L15" i="6"/>
  <c r="M15" i="6" s="1"/>
  <c r="N15" i="6" s="1"/>
  <c r="L16" i="6"/>
  <c r="M16" i="6" s="1"/>
  <c r="N16" i="6" s="1"/>
  <c r="L17" i="6"/>
  <c r="M17" i="6" s="1"/>
  <c r="N17" i="6" s="1"/>
  <c r="L18" i="6"/>
  <c r="M18" i="6" s="1"/>
  <c r="N18" i="6" s="1"/>
  <c r="L19" i="6"/>
  <c r="M19" i="6"/>
  <c r="N19" i="6" s="1"/>
  <c r="L20" i="6"/>
  <c r="M20" i="6" s="1"/>
  <c r="N20" i="6" s="1"/>
  <c r="L21" i="6"/>
  <c r="M21" i="6" s="1"/>
  <c r="N21" i="6" s="1"/>
  <c r="L22" i="6"/>
  <c r="M22" i="6" s="1"/>
  <c r="N22" i="6" s="1"/>
  <c r="L23" i="6"/>
  <c r="M23" i="6" s="1"/>
  <c r="N23" i="6" s="1"/>
  <c r="L24" i="6"/>
  <c r="M24" i="6" s="1"/>
  <c r="N24" i="6" s="1"/>
  <c r="L25" i="6"/>
  <c r="M25" i="6"/>
  <c r="N25" i="6" s="1"/>
  <c r="L26" i="6"/>
  <c r="M26" i="6" s="1"/>
  <c r="N26" i="6" s="1"/>
  <c r="L27" i="6"/>
  <c r="M27" i="6" s="1"/>
  <c r="N27" i="6" s="1"/>
  <c r="J32" i="6"/>
  <c r="J42" i="6"/>
  <c r="J53" i="6"/>
  <c r="J63" i="6"/>
  <c r="J71" i="6"/>
  <c r="J81" i="6"/>
  <c r="J89" i="6"/>
  <c r="J99" i="6"/>
  <c r="J107" i="6"/>
  <c r="J114" i="6"/>
  <c r="J122" i="6"/>
  <c r="AG6" i="9" l="1"/>
  <c r="AG7" i="9"/>
  <c r="AF36" i="9"/>
  <c r="AF49" i="9" s="1"/>
  <c r="AG10" i="9"/>
  <c r="AG14" i="9"/>
  <c r="AF34" i="9"/>
  <c r="AF37" i="9" s="1"/>
  <c r="AE30" i="9"/>
  <c r="AE31" i="9" s="1"/>
  <c r="AG15" i="9"/>
  <c r="AG11" i="9"/>
  <c r="AF48" i="9"/>
  <c r="AG13" i="9"/>
  <c r="AG17" i="9"/>
  <c r="AG9" i="9"/>
  <c r="J131" i="6"/>
  <c r="N29" i="6"/>
  <c r="AF47" i="9" l="1"/>
  <c r="AG37" i="9"/>
  <c r="AG36" i="9"/>
  <c r="AG35" i="9"/>
  <c r="AG34" i="9"/>
  <c r="J133" i="6"/>
  <c r="AF51" i="9"/>
  <c r="AG20" i="3"/>
  <c r="AG50" i="9" l="1"/>
  <c r="AG51" i="9"/>
  <c r="AG46" i="9"/>
  <c r="AG47" i="9"/>
  <c r="AH47" i="9" s="1"/>
  <c r="AG48" i="9"/>
  <c r="AH48" i="9" s="1"/>
  <c r="AG49" i="9"/>
  <c r="AH49" i="9" s="1"/>
  <c r="AA3" i="3"/>
  <c r="AA4" i="3"/>
  <c r="AA5" i="3"/>
  <c r="AA6" i="3"/>
  <c r="AA7" i="3"/>
  <c r="AA8" i="3"/>
  <c r="AA9" i="3"/>
  <c r="AA10" i="3"/>
  <c r="AA11" i="3"/>
  <c r="AA12" i="3"/>
  <c r="AA13" i="3"/>
  <c r="AA14" i="3"/>
  <c r="AA15" i="3"/>
  <c r="AA16" i="3"/>
  <c r="AA17" i="3"/>
  <c r="AA18" i="3"/>
  <c r="AA19" i="3"/>
  <c r="AA21" i="3"/>
  <c r="Z4" i="3"/>
  <c r="Z5" i="3"/>
  <c r="Z6" i="3"/>
  <c r="Z7" i="3"/>
  <c r="Z8" i="3"/>
  <c r="Z9" i="3"/>
  <c r="Z10" i="3"/>
  <c r="Z11" i="3"/>
  <c r="Z12" i="3"/>
  <c r="Z13" i="3"/>
  <c r="Z14" i="3"/>
  <c r="Z15" i="3"/>
  <c r="Z16" i="3"/>
  <c r="Z17" i="3"/>
  <c r="Z18" i="3"/>
  <c r="Z19" i="3"/>
  <c r="Z21" i="3"/>
  <c r="Z3" i="3"/>
  <c r="J126" i="5"/>
  <c r="R21" i="3"/>
  <c r="R20" i="3"/>
  <c r="R19" i="3"/>
  <c r="R18" i="3"/>
  <c r="R17" i="3"/>
  <c r="R16" i="3"/>
  <c r="R15" i="3"/>
  <c r="R14" i="3"/>
  <c r="R13" i="3"/>
  <c r="R12" i="3"/>
  <c r="R11" i="3"/>
  <c r="R10" i="3"/>
  <c r="R9" i="3"/>
  <c r="R8" i="3"/>
  <c r="R7" i="3"/>
  <c r="R6" i="3"/>
  <c r="R5" i="3"/>
  <c r="R4" i="3"/>
  <c r="R3" i="3"/>
  <c r="Z22" i="3" l="1"/>
  <c r="S3" i="3"/>
  <c r="U3" i="3" s="1"/>
  <c r="S4" i="3"/>
  <c r="U4" i="3" s="1"/>
  <c r="S5" i="3"/>
  <c r="U5" i="3" s="1"/>
  <c r="S6" i="3"/>
  <c r="U6" i="3" s="1"/>
  <c r="S7" i="3"/>
  <c r="U7" i="3" s="1"/>
  <c r="S8" i="3"/>
  <c r="U8" i="3" s="1"/>
  <c r="S9" i="3"/>
  <c r="U9" i="3" s="1"/>
  <c r="S10" i="3"/>
  <c r="U10" i="3" s="1"/>
  <c r="S11" i="3"/>
  <c r="U11" i="3" s="1"/>
  <c r="S12" i="3"/>
  <c r="U12" i="3" s="1"/>
  <c r="S13" i="3"/>
  <c r="U13" i="3" s="1"/>
  <c r="S14" i="3"/>
  <c r="U14" i="3" s="1"/>
  <c r="S15" i="3"/>
  <c r="U15" i="3" s="1"/>
  <c r="S16" i="3"/>
  <c r="U16" i="3" s="1"/>
  <c r="S17" i="3"/>
  <c r="U17" i="3" s="1"/>
  <c r="S18" i="3"/>
  <c r="U18" i="3" s="1"/>
  <c r="S19" i="3"/>
  <c r="U19" i="3" s="1"/>
  <c r="S20" i="3"/>
  <c r="U20" i="3" s="1"/>
  <c r="S21" i="3"/>
  <c r="U21" i="3" s="1"/>
  <c r="K88" i="3"/>
  <c r="K82" i="3"/>
  <c r="K76" i="3"/>
  <c r="K70" i="3"/>
  <c r="K64" i="3"/>
  <c r="K58" i="3"/>
  <c r="K52" i="3"/>
  <c r="K46" i="3"/>
  <c r="K40" i="3"/>
  <c r="K33" i="3"/>
  <c r="K26" i="3"/>
  <c r="E10" i="11" s="1"/>
  <c r="M21" i="3"/>
  <c r="M20" i="3"/>
  <c r="M19" i="3"/>
  <c r="M18" i="3"/>
  <c r="M17" i="3"/>
  <c r="M16" i="3"/>
  <c r="M15" i="3"/>
  <c r="M14" i="3"/>
  <c r="M13" i="3"/>
  <c r="M12" i="3"/>
  <c r="M11" i="3"/>
  <c r="M10" i="3"/>
  <c r="M9" i="3"/>
  <c r="M8" i="3"/>
  <c r="M7" i="3"/>
  <c r="M6" i="3"/>
  <c r="M5" i="3"/>
  <c r="M4" i="3"/>
  <c r="M3" i="3"/>
  <c r="J96" i="3" l="1"/>
  <c r="E5" i="11"/>
  <c r="E3" i="11"/>
  <c r="E4" i="11"/>
  <c r="E7" i="11"/>
  <c r="G7" i="11" s="1"/>
  <c r="E6" i="11"/>
  <c r="AB3" i="3"/>
  <c r="AD3" i="3"/>
  <c r="N3" i="3"/>
  <c r="P3" i="3" s="1"/>
  <c r="AB4" i="3"/>
  <c r="AD4" i="3"/>
  <c r="N4" i="3"/>
  <c r="AB5" i="3"/>
  <c r="AD5" i="3"/>
  <c r="N5" i="3"/>
  <c r="AB6" i="3"/>
  <c r="AD6" i="3"/>
  <c r="N6" i="3"/>
  <c r="AB7" i="3"/>
  <c r="AD7" i="3"/>
  <c r="N7" i="3"/>
  <c r="AB8" i="3"/>
  <c r="AD8" i="3"/>
  <c r="N8" i="3"/>
  <c r="AB9" i="3"/>
  <c r="AD9" i="3"/>
  <c r="N9" i="3"/>
  <c r="AB10" i="3"/>
  <c r="AD10" i="3"/>
  <c r="N10" i="3"/>
  <c r="AB11" i="3"/>
  <c r="AD11" i="3"/>
  <c r="N11" i="3"/>
  <c r="AB12" i="3"/>
  <c r="AD12" i="3"/>
  <c r="N12" i="3"/>
  <c r="AB13" i="3"/>
  <c r="AD13" i="3"/>
  <c r="N13" i="3"/>
  <c r="AB14" i="3"/>
  <c r="AD14" i="3"/>
  <c r="N14" i="3"/>
  <c r="AB15" i="3"/>
  <c r="AD15" i="3"/>
  <c r="N15" i="3"/>
  <c r="AB16" i="3"/>
  <c r="AD16" i="3"/>
  <c r="N16" i="3"/>
  <c r="AB17" i="3"/>
  <c r="AD17" i="3"/>
  <c r="N17" i="3"/>
  <c r="AB18" i="3"/>
  <c r="AD18" i="3"/>
  <c r="N18" i="3"/>
  <c r="AB19" i="3"/>
  <c r="AD19" i="3"/>
  <c r="N19" i="3"/>
  <c r="AB20" i="3"/>
  <c r="AD20" i="3"/>
  <c r="N20" i="3"/>
  <c r="AC20" i="3" s="1"/>
  <c r="AB21" i="3"/>
  <c r="AD21" i="3"/>
  <c r="N21" i="3"/>
  <c r="U22" i="3"/>
  <c r="Z23" i="3" l="1"/>
  <c r="G3" i="11"/>
  <c r="E8" i="11"/>
  <c r="U23" i="3"/>
  <c r="AC21" i="3"/>
  <c r="P21" i="3"/>
  <c r="AC19" i="3"/>
  <c r="P19" i="3"/>
  <c r="AC18" i="3"/>
  <c r="P18" i="3"/>
  <c r="AC17" i="3"/>
  <c r="P17" i="3"/>
  <c r="AC16" i="3"/>
  <c r="P16" i="3"/>
  <c r="AC15" i="3"/>
  <c r="P15" i="3"/>
  <c r="AC14" i="3"/>
  <c r="P14" i="3"/>
  <c r="AC13" i="3"/>
  <c r="P13" i="3"/>
  <c r="AC12" i="3"/>
  <c r="P12" i="3"/>
  <c r="AC11" i="3"/>
  <c r="P11" i="3"/>
  <c r="AC10" i="3"/>
  <c r="P10" i="3"/>
  <c r="AC9" i="3"/>
  <c r="P9" i="3"/>
  <c r="AC8" i="3"/>
  <c r="P8" i="3"/>
  <c r="AC7" i="3"/>
  <c r="P7" i="3"/>
  <c r="AC6" i="3"/>
  <c r="P6" i="3"/>
  <c r="AC5" i="3"/>
  <c r="P5" i="3"/>
  <c r="AC4" i="3"/>
  <c r="P4" i="3"/>
  <c r="AC3" i="3"/>
  <c r="AF3" i="3" l="1"/>
  <c r="AE3" i="3"/>
  <c r="P22" i="3"/>
  <c r="P23" i="3" s="1"/>
  <c r="AF4" i="3"/>
  <c r="AE4" i="3"/>
  <c r="AF5" i="3"/>
  <c r="AE5" i="3"/>
  <c r="AF6" i="3"/>
  <c r="AE6" i="3"/>
  <c r="AF7" i="3"/>
  <c r="AE7" i="3"/>
  <c r="AF8" i="3"/>
  <c r="AE8" i="3"/>
  <c r="AF9" i="3"/>
  <c r="AE9" i="3"/>
  <c r="AF10" i="3"/>
  <c r="AE10" i="3"/>
  <c r="AF11" i="3"/>
  <c r="AE11" i="3"/>
  <c r="AF12" i="3"/>
  <c r="AE12" i="3"/>
  <c r="AF13" i="3"/>
  <c r="AE13" i="3"/>
  <c r="AF14" i="3"/>
  <c r="AE14" i="3"/>
  <c r="AF15" i="3"/>
  <c r="AE15" i="3"/>
  <c r="AF16" i="3"/>
  <c r="AE16" i="3"/>
  <c r="AF17" i="3"/>
  <c r="AE17" i="3"/>
  <c r="AF18" i="3"/>
  <c r="AE18" i="3"/>
  <c r="AF19" i="3"/>
  <c r="AE19" i="3"/>
  <c r="AF21" i="3"/>
  <c r="AE21" i="3"/>
  <c r="AE22" i="3" l="1"/>
  <c r="AE23" i="3" s="1"/>
  <c r="D5" i="11"/>
  <c r="G5" i="11" s="1"/>
  <c r="D4" i="11"/>
  <c r="D6" i="11"/>
  <c r="G6" i="11" s="1"/>
  <c r="AG21" i="3"/>
  <c r="AG19" i="3"/>
  <c r="AG18" i="3"/>
  <c r="AG17" i="3"/>
  <c r="AG16" i="3"/>
  <c r="AG15" i="3"/>
  <c r="AG14" i="3"/>
  <c r="AG13" i="3"/>
  <c r="AG12" i="3"/>
  <c r="AG11" i="3"/>
  <c r="AG10" i="3"/>
  <c r="AG9" i="3"/>
  <c r="AG8" i="3"/>
  <c r="AG7" i="3"/>
  <c r="AG6" i="3"/>
  <c r="AG5" i="3"/>
  <c r="AG4" i="3"/>
  <c r="AG3" i="3"/>
  <c r="AH24" i="3" l="1"/>
  <c r="D8" i="11"/>
  <c r="G4" i="11"/>
  <c r="G8" i="11" l="1"/>
  <c r="H4" i="11" s="1"/>
  <c r="H7" i="11" l="1"/>
  <c r="H3" i="11"/>
  <c r="H6" i="11"/>
  <c r="H5" i="11"/>
  <c r="H8"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tc={B4E793C9-87B9-4174-9C90-E9E40997B86E}</author>
    <author>tc={E998290A-4318-4A2A-8AFE-B1BFE1EA207B}</author>
  </authors>
  <commentList>
    <comment ref="AA1" authorId="0" shapeId="0" xr:uid="{641B3456-26D9-4CF6-B495-E735DB8D9C0F}">
      <text>
        <t>[Comentario encadenado]
Su versión de Excel le permite leer este comentario encadenado; sin embargo, las ediciones que se apliquen se quitarán si el archivo se abre en una versión más reciente de Excel. Más información: https://go.microsoft.com/fwlink/?linkid=870924
Comentario:
    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
      </text>
    </comment>
    <comment ref="A15" authorId="1" shapeId="0" xr:uid="{4585EF21-0D9E-4CFA-AA77-7BE17194708E}">
      <text>
        <t>[Comentario encadenado]
Su versión de Excel le permite leer este comentario encadenado; sin embargo, las ediciones que se apliquen se quitarán si el archivo se abre en una versión más reciente de Excel. Más información: https://go.microsoft.com/fwlink/?linkid=870924
Comentario:
    Sugiero que aquí se coloque la palabra total para entender de que tratan los valores de esta fila</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tc={B4E793C9-87B9-4172-9C90-E9E40997B86E}</author>
    <author>tc={E998290A-4318-4A28-8AFE-B1BFE1EA207B}</author>
  </authors>
  <commentList>
    <comment ref="AA1" authorId="0" shapeId="0" xr:uid="{B4E793C9-87B9-4172-9C90-E9E40997B86E}">
      <text>
        <t>[Comentario encadenado]
Su versión de Excel le permite leer este comentario encadenado; sin embargo, las ediciones que se apliquen se quitarán si el archivo se abre en una versión más reciente de Excel. Más información: https://go.microsoft.com/fwlink/?linkid=870924
Comentario:
    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
      </text>
    </comment>
    <comment ref="A22" authorId="1" shapeId="0" xr:uid="{E998290A-4318-4A28-8AFE-B1BFE1EA207B}">
      <text>
        <t>[Comentario encadenado]
Su versión de Excel le permite leer este comentario encadenado; sin embargo, las ediciones que se apliquen se quitarán si el archivo se abre en una versión más reciente de Excel. Más información: https://go.microsoft.com/fwlink/?linkid=870924
Comentario:
    Sugiero que aquí se coloque la palabra total para entender de que tratan los valores de esta fila</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tc={B4E793C9-87B9-4173-9C90-E9E40997B86E}</author>
    <author>tc={E998290A-4318-4A29-8AFE-B1BFE1EA207B}</author>
  </authors>
  <commentList>
    <comment ref="AA1" authorId="0" shapeId="0" xr:uid="{493D8250-A35F-4F5D-92D6-8E30C4B60A90}">
      <text>
        <t>[Comentario encadenado]
Su versión de Excel le permite leer este comentario encadenado; sin embargo, las ediciones que se apliquen se quitarán si el archivo se abre en una versión más reciente de Excel. Más información: https://go.microsoft.com/fwlink/?linkid=870924
Comentario:
    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
      </text>
    </comment>
    <comment ref="A30" authorId="1" shapeId="0" xr:uid="{195DCEDD-E54E-4F50-A2CB-A09D816343C2}">
      <text>
        <t>[Comentario encadenado]
Su versión de Excel le permite leer este comentario encadenado; sin embargo, las ediciones que se apliquen se quitarán si el archivo se abre en una versión más reciente de Excel. Más información: https://go.microsoft.com/fwlink/?linkid=870924
Comentario:
    Sugiero que aquí se coloque la palabra total para entender de que tratan los valores de esta fila</t>
      </text>
    </comment>
  </commentList>
</comments>
</file>

<file path=xl/sharedStrings.xml><?xml version="1.0" encoding="utf-8"?>
<sst xmlns="http://schemas.openxmlformats.org/spreadsheetml/2006/main" count="1420" uniqueCount="459">
  <si>
    <t>ESTUDIO DE MERCADO</t>
  </si>
  <si>
    <t>COTIZACIÓN 1</t>
  </si>
  <si>
    <t>COTIZACIÓN 2</t>
  </si>
  <si>
    <t>COTIZACIÓN 3</t>
  </si>
  <si>
    <t>PROMEDIOS TOTALES</t>
  </si>
  <si>
    <t>Ítem</t>
  </si>
  <si>
    <t>Componente</t>
  </si>
  <si>
    <t>Actividad</t>
  </si>
  <si>
    <t>Alcance de la actividad</t>
  </si>
  <si>
    <t>Duración</t>
  </si>
  <si>
    <t>Población Obejtivo</t>
  </si>
  <si>
    <t>Descripción</t>
  </si>
  <si>
    <t>Cantidad</t>
  </si>
  <si>
    <t>Unidad de medida</t>
  </si>
  <si>
    <t>Tiempo</t>
  </si>
  <si>
    <t>Valor unitario sin IVA</t>
  </si>
  <si>
    <t>Valor IVA</t>
  </si>
  <si>
    <t>Valor unitario con IVA</t>
  </si>
  <si>
    <t>Valor total Sin IVA</t>
  </si>
  <si>
    <t>Valor total con IVA</t>
  </si>
  <si>
    <t>Promedio Valor unitario sin IVA</t>
  </si>
  <si>
    <t>Promedio Valor IVA</t>
  </si>
  <si>
    <t>Promedio Valor unitario con IVA</t>
  </si>
  <si>
    <t>Promedio Valor total Sin IVA</t>
  </si>
  <si>
    <t>Prmedio Valor total con IVA</t>
  </si>
  <si>
    <t>DESVIACIÓN ESTANDAR</t>
  </si>
  <si>
    <t>COEF VAR.</t>
  </si>
  <si>
    <t>Componente: Prevención de violencia en el contexto familiar, violencia sexual y promoción y garantía de derechos</t>
  </si>
  <si>
    <t>A.2 “La familia es para cuidarla”</t>
  </si>
  <si>
    <t>Implementar acciones de sensibilización para prevenir la violencia en el contexto familiar y promover dinámicas de cuidado y entornos protectores.</t>
  </si>
  <si>
    <t>30 minutos de sensibilización por casa</t>
  </si>
  <si>
    <t>500 personas</t>
  </si>
  <si>
    <t xml:space="preserve">Sensibilización de 30 minutos por casa                                                                                                                                                                                                                 
(Papeleria) Tener en cuenta materiales referidos en la estrategia “La familia es para cuidarla”.                                                                                      
Impresión de piezas comunicativas de prevención de violencias: Pieza gráfica del folleto de la campaña La familia es para cuidarla, dispuesta por la SDIS- Subdirección para la Familia. 
Impresión del Instrumento el cuidado familiar, aportado por la SDIS.                                                                                                                                                                                                           </t>
  </si>
  <si>
    <t>Personas</t>
  </si>
  <si>
    <t>minutos de sensibilización por casa</t>
  </si>
  <si>
    <t>-Diseñar un (1) folleto digital o Flip book para compartir en línea y dejar como recurso instalado en las viviendas visitadas. El Flip book, debe contener (por lo menos 10 páginas con recursos escritos y visuales que contengan información convenida y aprobada por el comité de seguimiento y la oficina de prensa, en temas te prevención de violencia en el contexto familiar y violencia sexual.
-500 Folletos plegables en papel estucado o couché, en Formato A4. Medidas: 210 × 297 mm. Impresos en tintas de 5 colores. Con información sobre la prevención de violencia sexual y en el contexto familiar.</t>
  </si>
  <si>
    <t>unidad</t>
  </si>
  <si>
    <t>-200 Imanes con números/rutas de atención impreso en 5 colores, de 10cms x 6cms. Para pegar en la nevera. Diseño a definir por el comité de seguimiento.</t>
  </si>
  <si>
    <t>-200 stickers para pegar en las puertas de las viviendas sensibilizadas estilo “rombo” de 12x12. Papel adhesivo de publicidad.</t>
  </si>
  <si>
    <t>A.3 Estrategia de acompañamiento “Cuidándome -Cuidándonos”.</t>
  </si>
  <si>
    <t>Contribuir a la re-significación de relaciones sanas y seguras desde la confianza, el apego seguro en las prácticas cotidianas de las familias, a través de escenarios individuales reflexivos y experienciales que favorezcan, el fortalecimiento de capacidades de las familias que permitan la creación de vínculos asertivos, seguros y positivos creando espacios protectores que permitan la prevalencia de derechos de las niñas y los niños.</t>
  </si>
  <si>
    <t>12 sesiones por persona – 1 hora C/U15</t>
  </si>
  <si>
    <t>450 Personas</t>
  </si>
  <si>
    <t>450 Diplomas con mensaje alusivo a familias que cuidan. Compuesto de mínimo 3 colores. 20 x 30 cm. Papel Opalina. Diseño a convenir por el comité de seguimiento.</t>
  </si>
  <si>
    <t>Unidad</t>
  </si>
  <si>
    <t xml:space="preserve"> sesiones por persona – 1 hora C/U15</t>
  </si>
  <si>
    <t>B2.2 Movilizaciones territoriales</t>
  </si>
  <si>
    <t>Promover la prevención de violencias a partir de la concientización de la misma en la localidad.</t>
  </si>
  <si>
    <t>Puestas en escena (actos) de 1 hora en espacio público</t>
  </si>
  <si>
    <t>Comunidad en general de la localidad de Suba.</t>
  </si>
  <si>
    <t>15 Performances: Actos teatrales, musicales, artísticos puestos en escena que deberá garantizar el desarrollo de actos artístico-culturales (performances) donde se promueva de maneras disruptivas la no violencia y a partir de los cuales se generen reflexiones en la comunidad
2 artistas y 2 psicopedagosos</t>
  </si>
  <si>
    <t>450 Folletos o volantes: Folletos plegables en papel estucado o couché, en Formato A4. Medidas: 210 × 297 mm. Impresos en tintas de 5 colores. Con información sobre la prevención de violencia sexual e intrafamiliar</t>
  </si>
  <si>
    <t>B3. Estrategia comunicativa “Di No a la vulneración de derechos”.</t>
  </si>
  <si>
    <t>•
Implementar una estrategia comunicativa en prevención de vulneraciones y la divulgación de mensajes asertivos y claros de frecuente transmisión, con el fin de incidir positivamente en el cambio de patrones de conducta en niños, niñas y adolescentes y de todos los actores involucrados en su protección y defensa.
•
Formar y promover en el conocimiento y apropiación de los derechos de las niñas, niños y adolescentes, el marco normativo y legal de protección, y las ofertas y servicios orientados a su atención.</t>
  </si>
  <si>
    <t>Cuarenta (40) obras de teatro de 60 minutos c/u y Seis (6) sesiones de formación por grupo de 30 personas con una duración de 60 minutos c/u.</t>
  </si>
  <si>
    <t>1200 Personas</t>
  </si>
  <si>
    <t>1200 Kits (participantes): Se deberá incluir la entrega de un kit por cada uno de los participantes que comprenda:
-Una agenda para notas tipo cuaderno pequeño de 15cm x 20cm (aprox) de 75 páginas con 5 páginas impresas a color con mensajes alusivos a la prevención de violencias.
-Un esfero marcado con los logos de la entidad.
-Una tula impermeable. 43 cm de altura x 35 cm de ancho aprox. Con mensaje alusivos a la prevención de las violencias en el contexto familiar y sexual y la erradicación del castigo físico.
-Una cartilla con información y actividades en prevención de violencia intrafamiliar y/o sexual. Debe contener mínimo 50 páginas y su contenido debe ser aprobado por la supervisión del contrato y la oficina de prensa.</t>
  </si>
  <si>
    <t xml:space="preserve">200 reconocimientos a los ganadores. Cada reconocimiento contará con:
-Diploma compuesto de mínimo 3 colores. 20 x 30 cm. Papel Opalina. Diseño a convenir por el comité de seguimiento.
-Una medalla de reconocimiento.
</t>
  </si>
  <si>
    <t xml:space="preserve">Alquiler de dos (2) espacios cerrados con capacidad para 150 personas </t>
  </si>
  <si>
    <t>Espacios</t>
  </si>
  <si>
    <t>Componente: Orientación y asesoría familiar.</t>
  </si>
  <si>
    <t>Formación y orientación a familias</t>
  </si>
  <si>
    <t>Orientación y asesoría familiar para la prevención de violencias que permitan a las víctimas recibir una atención y orientación adecuada.</t>
  </si>
  <si>
    <t>Máximo 10 sesiones de 1h (c/u)</t>
  </si>
  <si>
    <t>Alquiler de un espacio por seis meses que contenga las siguientes características:
Ubicación de un sitio de atención en un punto estratégico de la localidad, destinado para la orientación y asesoría familiar, dos espacios adecuados para la atención de las y los participantes con el mobiliario necesario en lugares que cuenten con adecuada ventilación, iluminación y condiciones de higiene permanente, espacios cerrados, que permitan la privacidad. Igualmente debe contar con baños y elementos de higiene.
Debe ubicarse en un punto de fácil accesibilidad y equidistante dentro de la localidad, teniendo en cuenta que muchos de las y los potenciales participantes no cuentan con medios económicos para su desplazamiento.
Estado del Inmueble:
Debe estar dotado con mobiliario y materiales necesarios para la ejecución del componente.
La recepción y sala de espera, debe ser un lugar cómodo dotado con computador, teléfono, cuya ambientación visual y auditiva propicie un ambiente tranquilo y agradable a los participantes. El inmueble debe contar con mínimo un baño, dotado con los implementos de aseo necesarios (toalla para manos, jabón, papel higiénico, papelera).</t>
  </si>
  <si>
    <t>Meses</t>
  </si>
  <si>
    <t>Familias</t>
  </si>
  <si>
    <t>Componente: Posicionamiento y promoción del buen trato en jornadas locales.</t>
  </si>
  <si>
    <t>Conmemorar eventos que permiten visibilizar causas sociales entorno a la prevención de las violencias.</t>
  </si>
  <si>
    <t>Comunidad en general de la localidad</t>
  </si>
  <si>
    <t>Jornadas de 6 horas</t>
  </si>
  <si>
    <t>Comunidad en general de la localidad de Suba</t>
  </si>
  <si>
    <t xml:space="preserve">El contratista deberá garantizar, en el desarrollo de los 10 eventos conmemorativos y/o celebraciones de jornadas locales, el acompañamiento de:
-Un (1) animador con mínimo Título de bachiller, 18 meses de experiencia laboral en recreación, animación, o afines.
-Tres (3) Artistas prefiblemente locales.
-6 Profesionales con 24 meses de experiencia en actividades de facilitador, tallerista o docente y al menos 12 meses de los 24 meses de experiencia profesional en trabajo en comunidad o jóvenes en temas de derechos sexuales y reproductivos y/o habilidades para la vida que realicen actividades principalmente lúdicas, recreativas y vivenciales. Sensibilización tendiente a la prevención de violencias y rutas de atención integral de acceso a la justicia.                                                                                                                                                                                           </t>
  </si>
  <si>
    <t>Jornadas</t>
  </si>
  <si>
    <t>PERSONAL (CARGO)</t>
  </si>
  <si>
    <t>PERFIL</t>
  </si>
  <si>
    <t>CANTIDAD</t>
  </si>
  <si>
    <t xml:space="preserve">MESES </t>
  </si>
  <si>
    <t>VALOR MENSUAL REFERENCIA TECHO RESOLUCIÓN 0001 DEL 04/01/2024 - SECRETARÍA DISTRITAL DE GOBIERNO</t>
  </si>
  <si>
    <t>VALOR TOTAL</t>
  </si>
  <si>
    <t>Todos los Componentes</t>
  </si>
  <si>
    <t>PERSONAL</t>
  </si>
  <si>
    <t>Cordinador del Proyecto</t>
  </si>
  <si>
    <t>FORMACIÓN PROFESIONAL</t>
  </si>
  <si>
    <r>
      <t>Formación profesional en áreas del conocimiento de ciencias sociales y humanas o economía, administración, contaduría y afines y núcleos básicos del conocimiento en Ciencia Política, Derecho, Psicología, Sociología, Trabajo Social, Administración, Administración Pública o Economía con especialización en áreas cómo Ciencias Humanas, Economía o Administración.</t>
    </r>
    <r>
      <rPr>
        <sz val="11"/>
        <color theme="1"/>
        <rFont val="Calibri"/>
        <family val="2"/>
        <scheme val="minor"/>
      </rPr>
      <t xml:space="preserve"> </t>
    </r>
  </si>
  <si>
    <t>EXPERIENCIA PROFESIONAL</t>
  </si>
  <si>
    <t>Experiencia mínima de sesenta (60) meses debidamente certificada, contados a partir de la expedición de la tarjeta profesional, terminación de materias y/o fecha de grado, según aplique.</t>
  </si>
  <si>
    <t>EXPERIENCIA ESPECIFICA</t>
  </si>
  <si>
    <t>Experiencia mínima profesional de treinta y seis (36) y hasta setenta y dos (72) meses en coordinación y ejecución de proyectos sociales y/o cargos de nivel directivo o gerencial con población afectada por violencia en el contexto familiar y/o violencia sexual.</t>
  </si>
  <si>
    <t>Dedicación 100%.</t>
  </si>
  <si>
    <t>Asistente Administrativo</t>
  </si>
  <si>
    <t xml:space="preserve">Título de formación técnica o tecnológica o acreditación o aprobación del 50% o más de un plan de estudios de una carrera profesional que sea afín con el objeto a contratar. </t>
  </si>
  <si>
    <t xml:space="preserve">Experiencia mínima de treinta y cinco (35) meses debidamente certificada, contados a partir de la expedición de la tarjeta profesional, terminación de materias y/o fecha de grado, según aplique. </t>
  </si>
  <si>
    <t xml:space="preserve">Experiencia mínima de 18 meses en actividades administrativas de secretariado o archivo, manejo de bases de datos o asistenciales. </t>
  </si>
  <si>
    <t>Componente 2 A2.
LA FAMILIA ES PARA CUIDARLA</t>
  </si>
  <si>
    <t xml:space="preserve"> Psicólogo</t>
  </si>
  <si>
    <r>
      <t>Formación profesional en áreas del conocimiento de ciencias sociales y humanas y núcleos básicos del conocimiento en Psicología.</t>
    </r>
    <r>
      <rPr>
        <sz val="11"/>
        <color theme="1"/>
        <rFont val="Calibri"/>
        <family val="2"/>
        <scheme val="minor"/>
      </rPr>
      <t xml:space="preserve"> </t>
    </r>
  </si>
  <si>
    <t>Experiencia de veintiún (21) meses de debidamente certificada, contados a partir de la expedición de la tarjeta profesional, terminación de materias y/o fecha de grado, según aplique.</t>
  </si>
  <si>
    <t>Experiencia mínima de 18 meses en asesoría a familias en situación de violencia en el contexto familiar o poblaciones vulnerables.</t>
  </si>
  <si>
    <t>Profesional en Trabajo Social</t>
  </si>
  <si>
    <t>Formación profesional en áreas del conocimiento de ciencias sociales y humanas y núcleos básicos del conocimiento en Trabajo Social.</t>
  </si>
  <si>
    <r>
      <t>Experiencia mínima de 18 meses en asesoría a familias en situación de violencia en el contexto familiar o poblaciones vulnerables.</t>
    </r>
    <r>
      <rPr>
        <sz val="11"/>
        <color theme="1"/>
        <rFont val="Calibri"/>
        <family val="2"/>
        <scheme val="minor"/>
      </rPr>
      <t xml:space="preserve"> </t>
    </r>
  </si>
  <si>
    <t>Componente 2 
A3. CUIDÁNDOME, CUIDÁNDONOS</t>
  </si>
  <si>
    <t>Componente 2 
B3. ESTRATEGIAS COMUNICATIVAS_DI NO A LA VULNERACIÓN DE DERECHO</t>
  </si>
  <si>
    <t>Componenete 2 
Actividad B. 2. 2. Movilizaciones Territoriales</t>
  </si>
  <si>
    <t>Artista Escénico</t>
  </si>
  <si>
    <t>Formación profesional en áreas del conocimiento de bella artes y núcleo básico del conocimiento en Artes Plásticas Visuales y afines, Artes Representativas, Música y Otros Programas Asociados a Bellas Artes</t>
  </si>
  <si>
    <t>Experiencia mínima de 18 meses en trabajo con comunidad o en proyectos sociales o puestas en escena sobre temáticas relacionadas con violencias, preferiblemente con entidades del sector público.</t>
  </si>
  <si>
    <t>Componenete 3</t>
  </si>
  <si>
    <t xml:space="preserve">Psicólogo </t>
  </si>
  <si>
    <t xml:space="preserve">Experiencia mínima de 18 meses en asesoría a personas o familias en situación de violencias. </t>
  </si>
  <si>
    <t>Trabajador Social</t>
  </si>
  <si>
    <t>Experiencia mínima de 18 meses en asesoría a familias en situación de violencia en el contexto familiar o poblaciones vulnerables</t>
  </si>
  <si>
    <r>
      <t xml:space="preserve">NOTA 1: </t>
    </r>
    <r>
      <rPr>
        <sz val="11"/>
        <color theme="1"/>
        <rFont val="Calibri"/>
        <family val="2"/>
        <scheme val="minor"/>
      </rPr>
      <t>EL VALOR TOTAL COTIZADO INCLUYE TODOS LOS COSTOS DIRECTOS E INDIRECTOS, IMPUESTOS , TASAS, CONTRIBUCIONES Y TODOS LOS NECESARIOS PARA EJECUTAR DEL OBJETO CONTRACTUAL CON EL CUMPLIMIENTO DE LAS CONDICIONES  Y ESPECIFICACIONES TECNICAS.</t>
    </r>
    <r>
      <rPr>
        <b/>
        <sz val="11"/>
        <color theme="1"/>
        <rFont val="Calibri"/>
        <family val="2"/>
        <scheme val="minor"/>
      </rPr>
      <t xml:space="preserve"> 
NOTA 2: </t>
    </r>
    <r>
      <rPr>
        <sz val="11"/>
        <color theme="1"/>
        <rFont val="Calibri"/>
        <family val="2"/>
        <scheme val="minor"/>
      </rPr>
      <t>EL VALOR DEL PERSONAL CORRESPONDE A VALORES DE REFERENCIA SEGÚN RESOLUCIÓN 0001 DEL 04/01/2024  DE LA SECRETARÍA DISTRITAL DE GOBIERNO</t>
    </r>
    <r>
      <rPr>
        <b/>
        <sz val="11"/>
        <color theme="1"/>
        <rFont val="Calibri"/>
        <family val="2"/>
        <scheme val="minor"/>
      </rPr>
      <t xml:space="preserve">. </t>
    </r>
    <r>
      <rPr>
        <sz val="11"/>
        <color theme="1"/>
        <rFont val="Calibri"/>
        <family val="2"/>
        <scheme val="minor"/>
      </rPr>
      <t>NO ES OFERTABLE</t>
    </r>
  </si>
  <si>
    <t>Total Personal</t>
  </si>
  <si>
    <t>Item</t>
  </si>
  <si>
    <t>Unidad de Medida</t>
  </si>
  <si>
    <t xml:space="preserve">Valor </t>
  </si>
  <si>
    <t>Iva</t>
  </si>
  <si>
    <t>Valor Total</t>
  </si>
  <si>
    <t>Todos los componentes</t>
  </si>
  <si>
    <t>Papelería, impresiones.</t>
  </si>
  <si>
    <t>Componente 4</t>
  </si>
  <si>
    <t>Sonido: 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</si>
  <si>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Servicio</t>
  </si>
  <si>
    <t>Tarima: Alquiler de tarima de 5x5 (altura modular entre 0.20 y 1.60) con faldon negro, escalera de embarque y desembarque, cinta anti deslizante y barandas. Incluye instalación, transporte y entrega en el lugar requerido, montaje y desmontaje de la misma (jornada 6 horas día). Debe contar con techo que cubra la superficie de la tarima en caso de lluvia.</t>
  </si>
  <si>
    <t>Sillas: alquiler silla plástica de 2.11kg. 46,5cm de ancho, 87,5cm de alto, 52,5cm de largo, con espaldar tejido.</t>
  </si>
  <si>
    <t xml:space="preserve">Mesas: ALQUILER DE MESAS: MESAS PLÁSTICAS BLANCAS, CUADRADA DE 75 CMS DE LARGO X 75 CMS DE ANCHO X 70,5 CMS DE ALTO INCLUYE TRANSPORTE, INSTALACIÓN Y ENTREGA EN EL LUGAR REQUERIDO. JORNADA DE 4 A 6 HORAS.  </t>
  </si>
  <si>
    <t>ALQUILER DE PLANTA ELÉCTRICA DE 50 KVA: PLANTA ELECTRICA DE 50 KVA INSONORIZADA, QUE INCLUYA TRANSPORTE, PARCIAL DE CORRIENTE DE 10 METROS, TRIFÁSICA, TIERRA Y NEUTRO CON OPERARIO DISPONIBLE JORNADA DE 4 A 6 HORAS.</t>
  </si>
  <si>
    <t>FORMATO SOLICITUD DE COTIZACIÓN</t>
  </si>
  <si>
    <t>ALCALDÍA LOCAL DE SUBA</t>
  </si>
  <si>
    <t>ADVERTENCIA</t>
  </si>
  <si>
    <t>La cotización recibida servirá de base para la elaboración de un estudio de mercado, y por tanto, no constituye en si misma una oferta y consecuentemente NO obliga a ninguna de las partes.</t>
  </si>
  <si>
    <t>OBJETO</t>
  </si>
  <si>
    <t>VALIDEZ DE LA CONTRATACIÓN</t>
  </si>
  <si>
    <t>Se solicita que la cotización tenga validez minimo 3 Meses a partir de su expedición.</t>
  </si>
  <si>
    <t>ESPECIFICACIONES TECNICAS</t>
  </si>
  <si>
    <t xml:space="preserve">Para visualizar las especificaciones tecnicas dirijase a la pestaña Cotización </t>
  </si>
  <si>
    <t>CONDICIONES DE CONTRATACIÓN</t>
  </si>
  <si>
    <t>PLAZO</t>
  </si>
  <si>
    <t>CODIGOS UNSPSC</t>
  </si>
  <si>
    <t xml:space="preserve">SEGMENTO </t>
  </si>
  <si>
    <t>FAMILIA</t>
  </si>
  <si>
    <t>CLASE</t>
  </si>
  <si>
    <t xml:space="preserve">NOMBRE </t>
  </si>
  <si>
    <t>Servicios de Política Social</t>
  </si>
  <si>
    <t>Servicios de Bienestar Social</t>
  </si>
  <si>
    <t>Organizaciones de Eventos Culturales</t>
  </si>
  <si>
    <t>Servicios de Prevención o control de enfermedades de transmisión sexual</t>
  </si>
  <si>
    <t>Servicios de Derecho de Familia</t>
  </si>
  <si>
    <t>Servicios de defensa de los Derechos de los Niños</t>
  </si>
  <si>
    <t>Solicita y elabora:</t>
  </si>
  <si>
    <t>Sergio Mejia Dussán</t>
  </si>
  <si>
    <t>Revisó:</t>
  </si>
  <si>
    <t>Jeimmy Sierra Godoy</t>
  </si>
  <si>
    <t>FONDO DE DESARROLLO LOCAL DE SUBA</t>
  </si>
  <si>
    <t>OBJETO: Contratar los servicios integrales y especializados para la formación de personas en estrategias personales y comunitarias de prevención de la violencia intrafamiliar y/o violencia sexual en la localidad de Suba</t>
  </si>
  <si>
    <t>CORPORACIÓN ESTRATEGICA EN GESTIÓN E INTEGRACIÓN COLOMBIA- EGESCO</t>
  </si>
  <si>
    <t>Población Objetivo</t>
  </si>
  <si>
    <t>Insumos mínimos requeridos
Especificaciones técnicas</t>
  </si>
  <si>
    <t>VALOR UNITARIO REFERENCIA TECHO INCLUIDO IVA QUE NO PODRAN SUPERAR LOS PROPONENTES</t>
  </si>
  <si>
    <t>VALOR TOTA DE REFERENCIA TECHO INCLUIDO IVA QUE NO PODRAN SUPERAR LOS PROPONENTES</t>
  </si>
  <si>
    <t>VALOR UNITARIO</t>
  </si>
  <si>
    <t>IVA</t>
  </si>
  <si>
    <t>VALOR UNITARIO INCLUIDO IVA</t>
  </si>
  <si>
    <t xml:space="preserve">Sensibilización de 30 minutos por casa                                                                                                                                                                                                                 (Papeleria) Tener en cuenta materiales referidos en la estrategia “La familia es para cuidarla”.                                                                                      Impresión de piezas comunicativas de prevención de violencias: Pieza gráfica del folleto de la campaña La familia es para cuidarla, dispuesta por la SDIS- Subdirección para la Familia. 
Impresión del Instrumento el cuidado familiar, aportado por la SDIS.                                                                                                                                                                                                           </t>
  </si>
  <si>
    <t>-500 Imanes con números/rutas de atención impreso en 5 colores, de 10cms x 6cms. Para pegar en la nevera. Diseño a definir por el comité de seguimiento.</t>
  </si>
  <si>
    <t>1500 Folletos o volantes: Folletos plegables en papel estucado o couché, en Formato A4. Medidas: 210 × 297 mm. Impresos en tintas de 5 colores. Con información sobre la prevención de violencia sexual e intrafamiliar</t>
  </si>
  <si>
    <t xml:space="preserve">El contratista deberá garantizar, en el desarrollo de los 5 eventos conmemorativos y/o celebraciones de jornadas locales, el acompañamiento de:
-Un (1) animador con mínimo Título de bachiller, 18 meses de experiencia laboral en recreación, animación, o afines.
-Tres (3) Artistas locales.
-6 Profesionales con 24 meses de experiencia en actividades de facilitador, tallerista o docente y al menos 12 meses de los 24 meses de experiencia profesional en trabajo en comunidad o jóvenes en temas de derechos sexuales y reproductivos y/o habilidades para la vida que realicen actividades principalmente lúdicas, recreativas y vivenciales. Sensibilización tendiente a la prevención de violencias y rutas de atención integral de acceso a la justicia.                                                                                                                                                                                           </t>
  </si>
  <si>
    <t xml:space="preserve">Carpas: Alquiler de carpa tipo bodega para trabajo liviano, tipo túnel con laterales y ventanas en vinilo transparente. Para mover a distintos puntos de la localidad durante el proyecto. Medidas: 6mts x 3 mts.
</t>
  </si>
  <si>
    <t xml:space="preserve">   </t>
  </si>
  <si>
    <t>Mesas: Mesa cuadrada de 4 puestos, color blanca, desarmable, fácil de transportar. 
Alto: 72 cms, Material de la cubierta:  Plástico, Material de la estructura: Plástico</t>
  </si>
  <si>
    <t>Alquiler Generador Electrico Potencia Standby: 40 kW / 50 kVA. Corriente Standby: 131 A. Para una autonomia aproximada de 8 horas. Generador Y164C con AVR para soportar picos de Corriente en Voltaje 127 - 220V. Fases 3</t>
  </si>
  <si>
    <t>Pendones: Diseño a definir por el comité de seguimiento, previo aval de prensa. En 5 colores. Con soporte tipo araña. Material: Vinilo o lona. Tamaño: 60cmx180cm. Los pendones deben ser aprobados por la oficina de prensa de la Alcaldía Local de Suba</t>
  </si>
  <si>
    <t xml:space="preserve">Nombre representante legal :DIANA CAROLINA CUERVO TORRES
Celular: 3138863356
Correo electrónico: direccion@egesco.org
Firma:       
    </t>
  </si>
  <si>
    <t>VALOR TOTAL OFERTADO</t>
  </si>
  <si>
    <t xml:space="preserve">  </t>
  </si>
  <si>
    <t>Coponenente 1</t>
  </si>
  <si>
    <r>
      <t>Formación profesional en áreas del conocimiento de ciencias sociales y humanas o economía, administración, contaduría y afines y núcleos básicos del conocimiento en Ciencia Política, Derecho, Psicología, Sociología, Trabajo Social, Administración, Administración Pública o Economía con especialización en áreas cómo Ciencias Humanas, Economía o Administración.</t>
    </r>
    <r>
      <rPr>
        <sz val="10"/>
        <color theme="1"/>
        <rFont val="Garamond"/>
        <family val="1"/>
      </rPr>
      <t xml:space="preserve"> </t>
    </r>
  </si>
  <si>
    <t>Componente 1</t>
  </si>
  <si>
    <t>Componente 2 A2</t>
  </si>
  <si>
    <r>
      <t>Formación profesional en áreas del conocimiento de ciencias sociales y humanas y núcleos básicos del conocimiento en Psicología.</t>
    </r>
    <r>
      <rPr>
        <sz val="10"/>
        <color theme="1"/>
        <rFont val="Garamond"/>
        <family val="1"/>
      </rPr>
      <t xml:space="preserve"> </t>
    </r>
  </si>
  <si>
    <r>
      <t>Experiencia mínima de 18 meses en asesoría a familias en situación de violencia en el contexto familiar o poblaciones vulnerables.</t>
    </r>
    <r>
      <rPr>
        <sz val="10"/>
        <color theme="1"/>
        <rFont val="Garamond"/>
        <family val="1"/>
      </rPr>
      <t xml:space="preserve"> </t>
    </r>
  </si>
  <si>
    <t>Componente 2 A3</t>
  </si>
  <si>
    <t>Componente 2 B3</t>
  </si>
  <si>
    <t>Componenete 2 B2.2</t>
  </si>
  <si>
    <t>NOTA 1: EL VALOR TOTAL COTIZADO INCLUYE TODOS LOS COSTOS DIRECTOS E INDIRECTOS, IMPUESTOS , TASAS, CONTRIBUCIONES Y TODOS LOS NECESARIOS PARA EJECUTAR DEL OBJETO CONTRACTUAL CON EL CUMPLIMIENTO DE LAS CONDICIONES  Y ESPECIFICACIONES TECNICAS. 
NOTA 2: EL VALOR DEL PERSONAL CORRESPONDE A VALORES DE REFERENCIA SEGÚN RESOLUCIÓN 0001 DEL 04/01/2024  DE LA SECRETARÍA DISTRITAL DE GOBIERNO. NO ES OFERTABLE</t>
  </si>
  <si>
    <t>Total Proyecto</t>
  </si>
  <si>
    <t>Fundación Internacional de Pedagogia Conceptual Alberto Merani FIPCAM</t>
  </si>
  <si>
    <t xml:space="preserve">Sensibilización de 30 minutos por casa                                                                                                                                                                                                                           (Papeleria) Tener en cuenta materiales referidos en la estrategia “La familia es para cuidarla”.                                                                                            Impresión de piezas comunicativas de prevención de violencias: Pieza gráfica del folleto de la campaña La familia es para cuidarla, dispuesta por la SDIS- Subdirección para la Familia. 
Impresión del Instrumento el cuidado familiar, aportado por la SDIS.                                                                                                                                                                                                           </t>
  </si>
  <si>
    <t>Nombre representante legal :
Celular:
Correo electrónico:
Firma:</t>
  </si>
  <si>
    <t>NOTA 1: EL VALOR TOTAL COTIZADO INCLUYE TODOS LOS COSTOS DIRECTOS E INDIRECTOS, IMPUESTOS , TASAS, CONTRIBUCIONES Y TODOS LOS NECESARIOS PARA EJECUTAR DEL OBJETO CONTRACTUAL CON EL CUMPLIMIENTO DE LAS CONDICIONES  Y ESPECIFICACIONES TECNICAS. 
NOTA 2: EL VALOR DEL PERSONAL CORRESPONDE A VALORES DE REFERENCIA SEGÚN RESOLUCIÓN 0001 DEL 04/01/2024  DE LA SECRETARÍA DISTRITAL DE GOBIERNO</t>
  </si>
  <si>
    <r>
      <rPr>
        <b/>
        <sz val="5"/>
        <rFont val="Times New Roman"/>
        <family val="1"/>
      </rPr>
      <t>FONDO DE DESARROLLO LOCAL DE SUBA</t>
    </r>
  </si>
  <si>
    <r>
      <rPr>
        <sz val="5"/>
        <rFont val="Times New Roman"/>
        <family val="1"/>
      </rPr>
      <t>OBJETO: Contratar los servicios integrales y especializados para la formación de personas en estrategias personales y comunitarias de prevención de la violencia intrafamiliar y/o violencia sexual en la localidad de Suba</t>
    </r>
  </si>
  <si>
    <r>
      <rPr>
        <b/>
        <sz val="5"/>
        <rFont val="Calibri"/>
        <family val="1"/>
      </rPr>
      <t>FUNDACION UN NUEVO AMANECER</t>
    </r>
  </si>
  <si>
    <r>
      <rPr>
        <b/>
        <sz val="5.5"/>
        <rFont val="Times New Roman"/>
        <family val="1"/>
      </rPr>
      <t>Componente</t>
    </r>
  </si>
  <si>
    <r>
      <rPr>
        <b/>
        <sz val="5.5"/>
        <rFont val="Times New Roman"/>
        <family val="1"/>
      </rPr>
      <t>Actividad</t>
    </r>
  </si>
  <si>
    <r>
      <rPr>
        <b/>
        <sz val="5.5"/>
        <rFont val="Times New Roman"/>
        <family val="1"/>
      </rPr>
      <t>Alcance de la actividad</t>
    </r>
  </si>
  <si>
    <r>
      <rPr>
        <b/>
        <sz val="5.5"/>
        <rFont val="Times New Roman"/>
        <family val="1"/>
      </rPr>
      <t>Duración</t>
    </r>
  </si>
  <si>
    <r>
      <rPr>
        <b/>
        <sz val="5.5"/>
        <rFont val="Times New Roman"/>
        <family val="1"/>
      </rPr>
      <t>Población Objetivo</t>
    </r>
  </si>
  <si>
    <r>
      <rPr>
        <b/>
        <sz val="5.5"/>
        <rFont val="Times New Roman"/>
        <family val="1"/>
      </rPr>
      <t>Insumos mínimos requeridos Especificaciones técnicas</t>
    </r>
  </si>
  <si>
    <r>
      <rPr>
        <b/>
        <sz val="5.5"/>
        <rFont val="Times New Roman"/>
        <family val="1"/>
      </rPr>
      <t>Unidad de medida</t>
    </r>
  </si>
  <si>
    <r>
      <rPr>
        <b/>
        <sz val="5.5"/>
        <rFont val="Times New Roman"/>
        <family val="1"/>
      </rPr>
      <t>Cantidad</t>
    </r>
  </si>
  <si>
    <r>
      <rPr>
        <b/>
        <sz val="5.5"/>
        <rFont val="Calibri"/>
        <family val="1"/>
      </rPr>
      <t>VALOR UNITARIO</t>
    </r>
  </si>
  <si>
    <r>
      <rPr>
        <b/>
        <sz val="5.5"/>
        <rFont val="Calibri"/>
        <family val="1"/>
      </rPr>
      <t>IVA</t>
    </r>
  </si>
  <si>
    <r>
      <rPr>
        <b/>
        <sz val="5.5"/>
        <rFont val="Calibri"/>
        <family val="1"/>
      </rPr>
      <t>VALOR UNITARIO INCLUIDO IVA</t>
    </r>
  </si>
  <si>
    <r>
      <rPr>
        <b/>
        <sz val="5.5"/>
        <rFont val="Calibri"/>
        <family val="1"/>
      </rPr>
      <t>VALOR TOTAL</t>
    </r>
  </si>
  <si>
    <r>
      <rPr>
        <sz val="5"/>
        <rFont val="Times New Roman"/>
        <family val="1"/>
      </rPr>
      <t>Componente: Prevención de violencia en el contexto familiar, violencia sexual y promoción y garantía de derechos</t>
    </r>
  </si>
  <si>
    <r>
      <rPr>
        <sz val="5"/>
        <rFont val="Calibri"/>
        <family val="1"/>
      </rPr>
      <t>A.2 “La familia es para cuidarla”</t>
    </r>
  </si>
  <si>
    <r>
      <rPr>
        <sz val="5"/>
        <rFont val="Calibri"/>
        <family val="1"/>
      </rPr>
      <t>Implementar acciones de sensibilización para prevenir  la violencia en el contexto familiar y promover dinámicas de cuidado y entornos protectores.</t>
    </r>
  </si>
  <si>
    <r>
      <rPr>
        <sz val="5"/>
        <rFont val="Calibri"/>
        <family val="1"/>
      </rPr>
      <t>30 minutos de sensibilización por casa</t>
    </r>
  </si>
  <si>
    <r>
      <rPr>
        <sz val="5"/>
        <rFont val="Calibri"/>
        <family val="1"/>
      </rPr>
      <t>500 personas</t>
    </r>
  </si>
  <si>
    <r>
      <rPr>
        <sz val="5"/>
        <rFont val="Calibri"/>
        <family val="1"/>
      </rPr>
      <t xml:space="preserve">Sensibilización de 30 minutos por casa
</t>
    </r>
    <r>
      <rPr>
        <sz val="5"/>
        <rFont val="Calibri"/>
        <family val="1"/>
      </rPr>
      <t xml:space="preserve">(Papeleria) Tener en cuenta materiales referidos en la estrategia “La familia es para cuidarla”.                                                                                           Impresión de piezas
</t>
    </r>
    <r>
      <rPr>
        <sz val="5"/>
        <rFont val="Calibri"/>
        <family val="1"/>
      </rPr>
      <t>comunicativas de prevención de violencias: Pieza gráfica del folleto de la campaña La familia es para cuidarla, dispuesta por la SDIS- Subdirección para la Familia.</t>
    </r>
  </si>
  <si>
    <r>
      <rPr>
        <sz val="5"/>
        <rFont val="Calibri"/>
        <family val="1"/>
      </rPr>
      <t>Personas</t>
    </r>
  </si>
  <si>
    <r>
      <rPr>
        <sz val="5"/>
        <rFont val="Calibri"/>
        <family val="1"/>
      </rPr>
      <t xml:space="preserve">-Diseñar un (1) folleto digital o Flip book para compartir en línea y dejar como recurso
</t>
    </r>
    <r>
      <rPr>
        <sz val="5"/>
        <rFont val="Calibri"/>
        <family val="1"/>
      </rPr>
      <t>instalado en las viviendas visitadas. El Flip book, debe contener (por lo menos 10 páginas con recursos escritos y visuales que contengan información convenida y aprobada por el comité de seguimiento y la oficina de prensa, en temas te prevención de violencia en el contexto familiar y violencia sexual.</t>
    </r>
  </si>
  <si>
    <r>
      <rPr>
        <sz val="5"/>
        <rFont val="Calibri"/>
        <family val="1"/>
      </rPr>
      <t>unidad</t>
    </r>
  </si>
  <si>
    <r>
      <rPr>
        <sz val="5"/>
        <rFont val="Calibri"/>
        <family val="1"/>
      </rPr>
      <t xml:space="preserve">-500 Imanes con números/rutas de atención impreso en 5 colores, de 10cms x 6cms.
</t>
    </r>
    <r>
      <rPr>
        <sz val="5"/>
        <rFont val="Calibri"/>
        <family val="1"/>
      </rPr>
      <t>Para pegar en la nevera. Diseño a definir por el comité de seguimiento.</t>
    </r>
  </si>
  <si>
    <r>
      <rPr>
        <sz val="5"/>
        <rFont val="Calibri"/>
        <family val="1"/>
      </rPr>
      <t>-200 stickers para pegar en las puertas de las viviendas sensibilizadas estilo “rombo” de</t>
    </r>
  </si>
  <si>
    <r>
      <rPr>
        <sz val="5"/>
        <rFont val="Calibri"/>
        <family val="1"/>
      </rPr>
      <t xml:space="preserve">A.3 Estrategia de acompañamiento
</t>
    </r>
    <r>
      <rPr>
        <sz val="5"/>
        <rFont val="Calibri"/>
        <family val="1"/>
      </rPr>
      <t>“Cuidándome -Cuidándonos”.</t>
    </r>
  </si>
  <si>
    <r>
      <rPr>
        <sz val="5"/>
        <rFont val="Calibri"/>
        <family val="1"/>
      </rPr>
      <t>450 Diplomas con mensaje alusivo a familias que cuidan. Compuesto de mínimo 3 colores. 20 x 30 cm. Papel Opalina. Diseño a convenir por el comité de seguimiento.</t>
    </r>
  </si>
  <si>
    <r>
      <rPr>
        <sz val="5"/>
        <rFont val="Calibri"/>
        <family val="1"/>
      </rPr>
      <t>Unidad</t>
    </r>
  </si>
  <si>
    <r>
      <rPr>
        <sz val="5"/>
        <rFont val="Calibri"/>
        <family val="1"/>
      </rPr>
      <t>B2.2 Movilizaciones territoriales</t>
    </r>
  </si>
  <si>
    <r>
      <rPr>
        <sz val="5"/>
        <rFont val="Calibri"/>
        <family val="1"/>
      </rPr>
      <t>Promover la prevención de violencias a partir de la concientización de la misma en la localidad.</t>
    </r>
  </si>
  <si>
    <r>
      <rPr>
        <sz val="5"/>
        <rFont val="Calibri"/>
        <family val="1"/>
      </rPr>
      <t xml:space="preserve">Puestas en escena (actos) de 1 hora en espacio
</t>
    </r>
    <r>
      <rPr>
        <sz val="5"/>
        <rFont val="Calibri"/>
        <family val="1"/>
      </rPr>
      <t>público</t>
    </r>
  </si>
  <si>
    <r>
      <rPr>
        <sz val="5"/>
        <rFont val="Calibri"/>
        <family val="1"/>
      </rPr>
      <t>Comunidad en general de la localidad de Suba.</t>
    </r>
  </si>
  <si>
    <r>
      <rPr>
        <sz val="5"/>
        <rFont val="Calibri"/>
        <family val="1"/>
      </rPr>
      <t xml:space="preserve">15 Performances: Actos teatrales, musicales, artísticos puestos en escena que deberá
</t>
    </r>
    <r>
      <rPr>
        <sz val="5"/>
        <rFont val="Calibri"/>
        <family val="1"/>
      </rPr>
      <t>garantizar el desarrollo de actos artístico-culturales (performances) donde se promueva de maneras disruptivas la no violencia y a partir de los cuales se generen reflexiones en la</t>
    </r>
  </si>
  <si>
    <r>
      <rPr>
        <sz val="5"/>
        <rFont val="Calibri"/>
        <family val="1"/>
      </rPr>
      <t xml:space="preserve">1500 Folletos o volantes: Folletos plegables en papel estucado o couché, en Formato A4.
</t>
    </r>
    <r>
      <rPr>
        <sz val="5"/>
        <rFont val="Calibri"/>
        <family val="1"/>
      </rPr>
      <t>Medidas: 210 × 297 mm. Impresos en tintas de 5 colores. Con información sobre la</t>
    </r>
  </si>
  <si>
    <r>
      <rPr>
        <sz val="5"/>
        <rFont val="Calibri"/>
        <family val="1"/>
      </rPr>
      <t xml:space="preserve">1200 Kits (participantes): Se deberá incluir la entrega de un kit por cada uno de los
</t>
    </r>
    <r>
      <rPr>
        <sz val="5"/>
        <rFont val="Calibri"/>
        <family val="1"/>
      </rPr>
      <t xml:space="preserve">participantes que comprenda:
</t>
    </r>
    <r>
      <rPr>
        <sz val="5"/>
        <rFont val="Calibri"/>
        <family val="1"/>
      </rPr>
      <t xml:space="preserve">-Una agenda para notas tipo cuaderno pequeño de 15cm x 20cm (aprox) de 75 páginas con 5 páginas impresas a color con mensajes alusivos a la prevención de violencias.
</t>
    </r>
    <r>
      <rPr>
        <sz val="5"/>
        <rFont val="Calibri"/>
        <family val="1"/>
      </rPr>
      <t xml:space="preserve">-Un esfero marcado con los logos de la entidad.
</t>
    </r>
    <r>
      <rPr>
        <sz val="5"/>
        <rFont val="Calibri"/>
        <family val="1"/>
      </rPr>
      <t>-Una tula impermeable. 43 cm de altura x 35 cm de ancho aprox. Con mensaje alusivos a la prevención de las violencias en el contexto familiar y sexual y la erradicación del castigo físico.</t>
    </r>
  </si>
  <si>
    <r>
      <rPr>
        <sz val="5"/>
        <rFont val="Calibri"/>
        <family val="1"/>
      </rPr>
      <t xml:space="preserve">200 reconocimientos a los ganadores. Cada reconocimiento contará con:
</t>
    </r>
    <r>
      <rPr>
        <sz val="5"/>
        <rFont val="Calibri"/>
        <family val="1"/>
      </rPr>
      <t xml:space="preserve">-Diploma compuesto de mínimo 3 colores. 20 x 30 cm. Papel Opalina. Diseño a convenir por el comité de seguimiento.
</t>
    </r>
    <r>
      <rPr>
        <sz val="5"/>
        <rFont val="Calibri"/>
        <family val="1"/>
      </rPr>
      <t>-Una medalla de reconocimiento.</t>
    </r>
  </si>
  <si>
    <r>
      <rPr>
        <sz val="5"/>
        <rFont val="Calibri"/>
        <family val="1"/>
      </rPr>
      <t>Alquiler de dos (2) espacios cerrados con capacidad para 150 personas</t>
    </r>
  </si>
  <si>
    <r>
      <rPr>
        <sz val="5"/>
        <rFont val="Times New Roman"/>
        <family val="1"/>
      </rPr>
      <t>Componente: Orientación y asesoría familiar.</t>
    </r>
  </si>
  <si>
    <r>
      <rPr>
        <sz val="5"/>
        <rFont val="Calibri"/>
        <family val="1"/>
      </rPr>
      <t>Orientación y asesoría familiar para la prevención de violencias que permitan a las víctimas recibir una atención y orientación adecuada.</t>
    </r>
  </si>
  <si>
    <r>
      <rPr>
        <sz val="5"/>
        <rFont val="Calibri"/>
        <family val="1"/>
      </rPr>
      <t>Máximo 10 sesiones de 1h (c/u)</t>
    </r>
  </si>
  <si>
    <r>
      <rPr>
        <sz val="5"/>
        <rFont val="Calibri"/>
        <family val="1"/>
      </rPr>
      <t xml:space="preserve">Alquiler de un espacio por seis meses que contenga las siguientes características:
</t>
    </r>
    <r>
      <rPr>
        <sz val="5"/>
        <rFont val="Calibri"/>
        <family val="1"/>
      </rPr>
      <t xml:space="preserve">Ubicación de un sitio de atención en un punto estratégico de la localidad, destinado para la orientación y asesoría familiar, dos espacios adecuados para la atención de las y los participantes con el mobiliario necesario en lugares que cuenten con adecuada ventilación, iluminación y condiciones de higiene permanente, espacios cerrados, que permitan la privacidad. Igualmente debe contar con baños y elementos de higiene.
</t>
    </r>
    <r>
      <rPr>
        <sz val="5"/>
        <rFont val="Calibri"/>
        <family val="1"/>
      </rPr>
      <t xml:space="preserve">Debe ubicarse en un punto de fácil accesibilidad y equidistante dentro de la localidad, teniendo en cuenta que muchos de las y los potenciales participantes no cuentan con medios económicos para su desplazamiento.
</t>
    </r>
    <r>
      <rPr>
        <sz val="5"/>
        <rFont val="Calibri"/>
        <family val="1"/>
      </rPr>
      <t xml:space="preserve">Estado del Inmueble:
</t>
    </r>
    <r>
      <rPr>
        <sz val="5"/>
        <rFont val="Calibri"/>
        <family val="1"/>
      </rPr>
      <t>Debe estar dotado con mobiliario y materiales necesarios para la ejecución del</t>
    </r>
  </si>
  <si>
    <r>
      <rPr>
        <sz val="5"/>
        <rFont val="Calibri"/>
        <family val="1"/>
      </rPr>
      <t>Meses</t>
    </r>
  </si>
  <si>
    <r>
      <rPr>
        <sz val="5"/>
        <rFont val="Times New Roman"/>
        <family val="1"/>
      </rPr>
      <t>Componente: Posicionamiento y promoción del buen trato en jornadas locales.</t>
    </r>
  </si>
  <si>
    <r>
      <rPr>
        <sz val="5"/>
        <rFont val="Calibri"/>
        <family val="1"/>
      </rPr>
      <t>Conmemorar eventos que permiten visibilizar causas sociales entorno a la prevención de las violencias.</t>
    </r>
  </si>
  <si>
    <r>
      <rPr>
        <sz val="5"/>
        <rFont val="Calibri"/>
        <family val="1"/>
      </rPr>
      <t>Comunidad en general de la localidad</t>
    </r>
  </si>
  <si>
    <r>
      <rPr>
        <sz val="5"/>
        <rFont val="Calibri"/>
        <family val="1"/>
      </rPr>
      <t>Jornadas de 6 horas</t>
    </r>
  </si>
  <si>
    <r>
      <rPr>
        <sz val="5"/>
        <rFont val="Calibri"/>
        <family val="1"/>
      </rPr>
      <t>Comunidad en general de la localidad de Suba</t>
    </r>
  </si>
  <si>
    <r>
      <rPr>
        <sz val="5"/>
        <rFont val="Calibri"/>
        <family val="1"/>
      </rPr>
      <t xml:space="preserve">El contratista deberá garantizar, en el desarrollo de los 5 eventos conmemorativos y/o
</t>
    </r>
    <r>
      <rPr>
        <sz val="5"/>
        <rFont val="Calibri"/>
        <family val="1"/>
      </rPr>
      <t xml:space="preserve">celebraciones de jornadas locales, el acompañamiento de:
</t>
    </r>
    <r>
      <rPr>
        <sz val="5"/>
        <rFont val="Calibri"/>
        <family val="1"/>
      </rPr>
      <t xml:space="preserve">-Un (1) animador con mínimo Título de bachiller, 18 meses de experiencia laboral en recreación, animación, o afines.
</t>
    </r>
    <r>
      <rPr>
        <sz val="5"/>
        <rFont val="Calibri"/>
        <family val="1"/>
      </rPr>
      <t xml:space="preserve">-Tres (3) Artistas locales.
</t>
    </r>
    <r>
      <rPr>
        <sz val="5"/>
        <rFont val="Calibri"/>
        <family val="1"/>
      </rPr>
      <t>-6 Profesionales con 24 meses de experiencia en actividades de facilitador, tallerista o docente y al menos 12 meses de los 24 meses de experiencia profesional en trabajo en</t>
    </r>
  </si>
  <si>
    <r>
      <rPr>
        <sz val="5"/>
        <rFont val="Calibri"/>
        <family val="1"/>
      </rPr>
      <t>Jornadas</t>
    </r>
  </si>
  <si>
    <r>
      <rPr>
        <sz val="5"/>
        <rFont val="Calibri"/>
        <family val="1"/>
      </rPr>
      <t xml:space="preserve">Sonido: Alquiler de sonido profesional de 7.000 watts line array. con sistema y
</t>
    </r>
    <r>
      <rPr>
        <sz val="5"/>
        <rFont val="Calibri"/>
        <family val="1"/>
      </rPr>
      <t xml:space="preserve">microfonería completo para presentaciones. incluye 8 micrófonos dinámicos, 2 micrófonos condensadores, 4 cajas directas activas, 1 consola análoga 16 canales, 1
</t>
    </r>
    <r>
      <rPr>
        <sz val="5"/>
        <rFont val="Calibri"/>
        <family val="1"/>
      </rPr>
      <t>ecualizador gráfico, 1 reverberación digital, 1 snake de 8 canales y 10 metros, 1 cd player</t>
    </r>
  </si>
  <si>
    <r>
      <rPr>
        <sz val="5"/>
        <rFont val="Calibri"/>
        <family val="1"/>
      </rPr>
      <t>Carpas: Alquiler de carpa tipo bodega para trabajo liviano, tipo túnel con laterales y ventanas en vinilo transparente. Para mover a distintos puntos de la localidad durante el proyecto. Medidas: 6mts x 3 mts.</t>
    </r>
  </si>
  <si>
    <r>
      <rPr>
        <sz val="5"/>
        <rFont val="Calibri"/>
        <family val="1"/>
      </rPr>
      <t xml:space="preserve">Tarima: Alquiler de tarima de 5x5 (altura modular entre 0.20 y 1.60) con faldon negro,
</t>
    </r>
    <r>
      <rPr>
        <sz val="5"/>
        <rFont val="Calibri"/>
        <family val="1"/>
      </rPr>
      <t>escalera de embarque y desembarque, cinta anti deslizante y barandas. Incluye instalación, transporte y entrega en el lugar requerido, montaje y desmontaje de la</t>
    </r>
  </si>
  <si>
    <r>
      <rPr>
        <sz val="5"/>
        <rFont val="Calibri"/>
        <family val="1"/>
      </rPr>
      <t>Sillas: alquiler silla plástica de 2.11kg. 46,5cm de ancho, 87,5cm de alto, 52,5cm de largo,</t>
    </r>
  </si>
  <si>
    <r>
      <rPr>
        <sz val="5"/>
        <rFont val="Calibri"/>
        <family val="1"/>
      </rPr>
      <t xml:space="preserve">Mesas: Mesa cuadrada de 4 puestos, color blanca, desarmable, fácil de transportar.
</t>
    </r>
    <r>
      <rPr>
        <sz val="5"/>
        <rFont val="Calibri"/>
        <family val="1"/>
      </rPr>
      <t>Alto: 72 cms, Material de la cubierta:  Plástico, Material de la estructura: Plástico</t>
    </r>
  </si>
  <si>
    <r>
      <rPr>
        <sz val="5"/>
        <rFont val="Calibri"/>
        <family val="1"/>
      </rPr>
      <t xml:space="preserve">Alquiler Generador Electrico Potencia Standby: 40 kW / 50 kVA. Corriente Standby: 131 A.
</t>
    </r>
    <r>
      <rPr>
        <sz val="5"/>
        <rFont val="Calibri"/>
        <family val="1"/>
      </rPr>
      <t>Para una autonomia aproximada de 8 horas. Generador Y164C con AVR para soportar</t>
    </r>
  </si>
  <si>
    <r>
      <rPr>
        <sz val="5"/>
        <rFont val="Calibri"/>
        <family val="1"/>
      </rPr>
      <t>Pendones: Diseño a definir por el comité de seguimiento, previo aval de prensa. En 5 colores. Con soporte tipo araña. Material: Vinilo o lona. Tamaño: 60cmx180cm. Los pendones deben ser aprobados por la oficina de prensa de la Alcaldía Local de Suba</t>
    </r>
  </si>
  <si>
    <r>
      <rPr>
        <b/>
        <sz val="5"/>
        <rFont val="Times New Roman"/>
        <family val="1"/>
      </rPr>
      <t>VALOR SUBTOTAL OFERTADO</t>
    </r>
  </si>
  <si>
    <r>
      <rPr>
        <b/>
        <sz val="5"/>
        <color rgb="FFFFFFFF"/>
        <rFont val="Arial"/>
        <family val="2"/>
      </rPr>
      <t>PERSONAL (CARGO)</t>
    </r>
  </si>
  <si>
    <r>
      <rPr>
        <b/>
        <sz val="5"/>
        <color rgb="FFFFFFFF"/>
        <rFont val="Arial"/>
        <family val="2"/>
      </rPr>
      <t>PERFIL</t>
    </r>
  </si>
  <si>
    <r>
      <rPr>
        <b/>
        <sz val="5"/>
        <color rgb="FFFFFFFF"/>
        <rFont val="Arial"/>
        <family val="2"/>
      </rPr>
      <t>CANTIDAD</t>
    </r>
  </si>
  <si>
    <r>
      <rPr>
        <b/>
        <sz val="5"/>
        <color rgb="FFFFFFFF"/>
        <rFont val="Arial"/>
        <family val="2"/>
      </rPr>
      <t>MESES</t>
    </r>
  </si>
  <si>
    <r>
      <rPr>
        <b/>
        <sz val="5"/>
        <color rgb="FFFFFFFF"/>
        <rFont val="Arial"/>
        <family val="2"/>
      </rPr>
      <t>REFERENCIA TECHO RESOLUCIÓN 0001 DEL 04/01/2024 - SECRETARÍA DISTRITAL DE</t>
    </r>
  </si>
  <si>
    <r>
      <rPr>
        <b/>
        <sz val="5"/>
        <color rgb="FFFFFFFF"/>
        <rFont val="Arial"/>
        <family val="2"/>
      </rPr>
      <t>VALOR TOTAL</t>
    </r>
  </si>
  <si>
    <r>
      <rPr>
        <sz val="5"/>
        <rFont val="Calibri"/>
        <family val="1"/>
      </rPr>
      <t>Cordinador del Proyecto</t>
    </r>
  </si>
  <si>
    <r>
      <rPr>
        <b/>
        <u/>
        <sz val="5"/>
        <rFont val="Times New Roman"/>
        <family val="1"/>
      </rPr>
      <t>FORMACIÓN PROFESIONAL</t>
    </r>
  </si>
  <si>
    <r>
      <rPr>
        <sz val="5"/>
        <rFont val="Times New Roman"/>
        <family val="1"/>
      </rPr>
      <t>Formación profesional en áreas del conocimiento de ciencias sociales y humanas o economía, administración,  contaduría  y  afines  y  núcleos  básicos  del  conocimiento  en  Ciencia  Política, Derecho,  Psicología,  Sociología,  Trabajo  Social,  Administración,  Administración  Pública  o Economía con especialización en áreas cómo Ciencias Humanas, Economía o Administración.</t>
    </r>
  </si>
  <si>
    <r>
      <rPr>
        <b/>
        <u/>
        <sz val="5"/>
        <rFont val="Times New Roman"/>
        <family val="1"/>
      </rPr>
      <t>EXPERIENCIA PROFESIONAL</t>
    </r>
  </si>
  <si>
    <r>
      <rPr>
        <sz val="5"/>
        <rFont val="Times New Roman"/>
        <family val="1"/>
      </rPr>
      <t>Experiencia  mínima  de  sesenta  (60)  meses  debidamente  certificada,  contados  a  partir  de  la expedición de la tarjeta profesional, terminación de materias y/o fecha de grado, según aplique.</t>
    </r>
  </si>
  <si>
    <r>
      <rPr>
        <b/>
        <u/>
        <sz val="5"/>
        <rFont val="Times New Roman"/>
        <family val="1"/>
      </rPr>
      <t>EXPERIENCIA ESPECIFICA</t>
    </r>
  </si>
  <si>
    <r>
      <rPr>
        <sz val="5"/>
        <rFont val="Times New Roman"/>
        <family val="1"/>
      </rPr>
      <t>Experiencia  mínima  profesional  de  treinta  y  seis  (36)  y  hasta  setenta  y  dos  (72)  meses  en coordinación y ejecución de proyectos sociales y/o cargos de nivel directivo o gerencial con población afectada por violencia en el contexto familiar y/o violencia sexual.</t>
    </r>
  </si>
  <si>
    <r>
      <rPr>
        <b/>
        <sz val="5"/>
        <rFont val="Times New Roman"/>
        <family val="1"/>
      </rPr>
      <t>Dedicación 100%.</t>
    </r>
  </si>
  <si>
    <r>
      <rPr>
        <sz val="5"/>
        <rFont val="Times New Roman"/>
        <family val="1"/>
      </rPr>
      <t>Asistente Administrativo</t>
    </r>
  </si>
  <si>
    <r>
      <rPr>
        <sz val="5"/>
        <rFont val="Times New Roman"/>
        <family val="1"/>
      </rPr>
      <t>Título de formación técnica o tecnológica o acreditación o aprobación del 50% o más de un plan de estudios de una carrera profesional que sea afín con el objeto a contratar.</t>
    </r>
  </si>
  <si>
    <r>
      <rPr>
        <sz val="5"/>
        <rFont val="Times New Roman"/>
        <family val="1"/>
      </rPr>
      <t>Experiencia mínima de treinta y cinco (35) meses debidamente certificada, contados a partir de la  expedición  de  la  tarjeta  profesional,  terminación  de  materias  y/o  fecha  de  grado,  según aplique.</t>
    </r>
  </si>
  <si>
    <r>
      <rPr>
        <sz val="5"/>
        <rFont val="Times New Roman"/>
        <family val="1"/>
      </rPr>
      <t>Experiencia  mínima  de  18  meses  en  actividades  administrativas  de  secretariado  o  archivo, manejo de bases de datos o asistenciales.</t>
    </r>
  </si>
  <si>
    <r>
      <rPr>
        <sz val="5"/>
        <rFont val="Times New Roman"/>
        <family val="1"/>
      </rPr>
      <t>Psicólogo</t>
    </r>
  </si>
  <si>
    <r>
      <rPr>
        <sz val="5"/>
        <rFont val="Times New Roman"/>
        <family val="1"/>
      </rPr>
      <t>Formación  profesional  en  áreas  del  conocimiento  de  ciencias sociales  y humanas  y núcleos básicos del conocimiento en Psicología.</t>
    </r>
  </si>
  <si>
    <r>
      <rPr>
        <sz val="5"/>
        <rFont val="Times New Roman"/>
        <family val="1"/>
      </rPr>
      <t>Experiencia  de  veintiún  (21)  meses  de  debidamente  certificada,  contados  a  partir  de  la expedición de la tarjeta profesional, terminación de materias y/o fecha de grado, según aplique.</t>
    </r>
  </si>
  <si>
    <r>
      <rPr>
        <sz val="4.5"/>
        <rFont val="Calibri"/>
        <family val="1"/>
      </rPr>
      <t xml:space="preserve">Experiencia  mínima  de 18  meses  en  asesoría  a  familias  en  situación  de violencia  en  el  contexto
</t>
    </r>
    <r>
      <rPr>
        <sz val="4.5"/>
        <rFont val="Calibri"/>
        <family val="1"/>
      </rPr>
      <t>familiar o poblaciones vulnerables.</t>
    </r>
  </si>
  <si>
    <r>
      <rPr>
        <sz val="5"/>
        <rFont val="Times New Roman"/>
        <family val="1"/>
      </rPr>
      <t>Profesional en Trabajo Social</t>
    </r>
  </si>
  <si>
    <r>
      <rPr>
        <sz val="5"/>
        <rFont val="Times New Roman"/>
        <family val="1"/>
      </rPr>
      <t>Formación  profesional  en  áreas  del  conocimiento  de  ciencias sociales  y humanas  y núcleos básicos del conocimiento en Trabajo Social.</t>
    </r>
  </si>
  <si>
    <r>
      <rPr>
        <sz val="5"/>
        <rFont val="Times New Roman"/>
        <family val="1"/>
      </rPr>
      <t>Formación   profesional   en   áreas   del   conocimiento   de  bella   artes   y  núcleo   básico  del conocimiento  en  Artes  Plásticas  Visuales  y  afines,  Artes  Representativas,  Música  y  Otros Programas Asociados a Bellas Artes</t>
    </r>
  </si>
  <si>
    <r>
      <rPr>
        <sz val="5"/>
        <rFont val="Times New Roman"/>
        <family val="1"/>
      </rPr>
      <t>Artista Escénico</t>
    </r>
  </si>
  <si>
    <r>
      <rPr>
        <sz val="4.5"/>
        <rFont val="Calibri"/>
        <family val="1"/>
      </rPr>
      <t xml:space="preserve">Experiencia mínima de 18 meses en trabajo con comunidad o en proyectos sociales o puestas en
</t>
    </r>
    <r>
      <rPr>
        <sz val="4.5"/>
        <rFont val="Calibri"/>
        <family val="1"/>
      </rPr>
      <t>escena  sobre  temáticas  relacionadas  con  violencias,  preferiblemente  con  entidades  del  sector público.</t>
    </r>
  </si>
  <si>
    <r>
      <rPr>
        <sz val="4.5"/>
        <rFont val="Calibri"/>
        <family val="1"/>
      </rPr>
      <t>Experiencia mínima de 18 meses en asesoría a personas o familias en situación de violencias.</t>
    </r>
  </si>
  <si>
    <r>
      <rPr>
        <sz val="5"/>
        <rFont val="Times New Roman"/>
        <family val="1"/>
      </rPr>
      <t>Trabajador Social</t>
    </r>
  </si>
  <si>
    <r>
      <rPr>
        <sz val="4.5"/>
        <rFont val="Calibri"/>
        <family val="1"/>
      </rPr>
      <t xml:space="preserve">Experiencia  mínima  de 18  meses  en  asesoría  a  familias  en  situación  de violencia  en  el  contexto
</t>
    </r>
    <r>
      <rPr>
        <sz val="4.5"/>
        <rFont val="Calibri"/>
        <family val="1"/>
      </rPr>
      <t>familiar o poblaciones vulnerables</t>
    </r>
  </si>
  <si>
    <r>
      <rPr>
        <b/>
        <sz val="5"/>
        <rFont val="Times New Roman"/>
        <family val="1"/>
      </rPr>
      <t>VALOR TOTAL</t>
    </r>
  </si>
  <si>
    <t xml:space="preserve">Papelería, impresiones y gastos de Tramites Administrativos </t>
  </si>
  <si>
    <t>Valor</t>
  </si>
  <si>
    <t>Personal</t>
  </si>
  <si>
    <t>Insumos</t>
  </si>
  <si>
    <t>Total</t>
  </si>
  <si>
    <t>%</t>
  </si>
  <si>
    <t>FORMATO OFERTA ECONOMICA</t>
  </si>
  <si>
    <t>ÍTEM</t>
  </si>
  <si>
    <t xml:space="preserve">ELEMENTO </t>
  </si>
  <si>
    <t>DESCRIPCIÓN</t>
  </si>
  <si>
    <t>VALOR UNITARIO INCLUIDO IVA FINAL TECHO QUE LOS PROPONENTES NO PODRÁN SUPERAR</t>
  </si>
  <si>
    <t>VALOR UNITARIO ANTES DE IVA</t>
  </si>
  <si>
    <t>TOTAL (VALOR UNITARIO INCLUIDO IVA)</t>
  </si>
  <si>
    <t>COMPONENTES A CARGO DEL TALENTO HUMANO</t>
  </si>
  <si>
    <t>CARGO</t>
  </si>
  <si>
    <t>TIEMPO (MESES)
(dedicación 100%)</t>
  </si>
  <si>
    <t>DEDICACIÓN</t>
  </si>
  <si>
    <t>VALOR UNITARIO SEGÚN RESOLUCIÓN 0001 DE LA SECRETARÍA DE GOBIERNO QUE NO PODRÁ SER OFERTADO POR LOS PROPONENTES</t>
  </si>
  <si>
    <t>VALOR TOTAL DEFINIDIO POR LA ALS QUE LOS PROPONENTES NO PODRÁN OFERTAR</t>
  </si>
  <si>
    <t>TOTAL TALENTO HUMANO</t>
  </si>
  <si>
    <t>ELEMENTOS QUE NO PODRÁN SER OFERTADOS (QUE NO PODRÁ SER OFERTADO POR LOS PROPONENTES)</t>
  </si>
  <si>
    <t>CRONOGRAMA GENERAL DE ACTIVIDADES</t>
  </si>
  <si>
    <t>COMPONENTE</t>
  </si>
  <si>
    <t>ACTIVIDAD</t>
  </si>
  <si>
    <t>MES 1</t>
  </si>
  <si>
    <t>MES 2</t>
  </si>
  <si>
    <t>MES 3</t>
  </si>
  <si>
    <t>MES 4</t>
  </si>
  <si>
    <t>MES 5</t>
  </si>
  <si>
    <t>MES 6</t>
  </si>
  <si>
    <t>MES 7</t>
  </si>
  <si>
    <t>MES 8</t>
  </si>
  <si>
    <t>COMPONENTE 1. ALISTAMIENTO</t>
  </si>
  <si>
    <t>Elaboración de Documentos y realización de trámites administrativos</t>
  </si>
  <si>
    <t>Contratación Talento Humano requerido</t>
  </si>
  <si>
    <t>Plan de Trabajo</t>
  </si>
  <si>
    <t>Presentación Pública del Proyecto</t>
  </si>
  <si>
    <t>Socialización del proyecto</t>
  </si>
  <si>
    <t>COMPONENTE 2: PREVENCIÓN DE VIOLECIA EN EL CONTEXTO FAMILIAR, CIENCIA SEXUAL Y PROMOCIÓN Y GARANTIA DE DERECHOS.</t>
  </si>
  <si>
    <t>A2. La familia es para cuidarla</t>
  </si>
  <si>
    <t>A3. Estrategia de acompañamiento “Cuidándome -Cuidándonos”.</t>
  </si>
  <si>
    <t>B. 2. 2. Movilizaciones Territoriales</t>
  </si>
  <si>
    <t xml:space="preserve">B3- Estrategia comunicativas: “Di no a la vulneración de derechos”. </t>
  </si>
  <si>
    <t>COMPONENTE 3: ORIENTACIÓN Y ASESORÍA FAMILIAR</t>
  </si>
  <si>
    <t>Encuentros Presenciales Familiares</t>
  </si>
  <si>
    <t>Encuentros Presenciales Individuales</t>
  </si>
  <si>
    <t>COMPONENETE 4: POSICIONAMIENTO Y PROMOCIÓN DEL BUEN TRATO EN JORNADAS LOCALES</t>
  </si>
  <si>
    <t>Se realizarán 5 jornadas que celebren o conmemoren alguna de las fechas propuestas</t>
  </si>
  <si>
    <t>COMPONENTE 5: SEGUIMIENTO Y EVALUACIÓN DEL PROYECTO</t>
  </si>
  <si>
    <t>Encuestas de satisfacción</t>
  </si>
  <si>
    <t>Elaboración Informe mensual de Actividades y anexos (bases de datos y soportes documentales)</t>
  </si>
  <si>
    <t>Elaboración Informe Final de Actividades y anexos (bases de datos y soportes documentales)</t>
  </si>
  <si>
    <t>Componenete 2</t>
  </si>
  <si>
    <t>Componeente3</t>
  </si>
  <si>
    <t>Componeente4</t>
  </si>
  <si>
    <t>Cordinador</t>
  </si>
  <si>
    <t>Asistente</t>
  </si>
  <si>
    <t>Personal componente 2</t>
  </si>
  <si>
    <t>Personal componente 3</t>
  </si>
  <si>
    <t>Personal componente 4</t>
  </si>
  <si>
    <t>Componenete 1</t>
  </si>
  <si>
    <t>Componenete 5</t>
  </si>
  <si>
    <t>TOTAL</t>
  </si>
  <si>
    <r>
      <t xml:space="preserve">NOTA 1: </t>
    </r>
    <r>
      <rPr>
        <sz val="12"/>
        <color theme="1"/>
        <rFont val="Arial Narrow"/>
        <family val="2"/>
      </rPr>
      <t>EL VALOR TOTAL COTIZADO INCLUYE TODOS LOS COSTOS DIRECTOS E INDIRECTOS, IMPUESTOS , TASAS, CONTRIBUCIONES Y TODOS LOS NECESARIOS PARA EJECUTAR DEL OBJETO CONTRACTUAL CON EL CUMPLIMIENTO DE LAS CONDICIONES  Y ESPECIFICACIONES TECNICAS.</t>
    </r>
    <r>
      <rPr>
        <b/>
        <sz val="12"/>
        <color theme="1"/>
        <rFont val="Arial Narrow"/>
        <family val="2"/>
      </rPr>
      <t xml:space="preserve"> 
NOTA 2: </t>
    </r>
    <r>
      <rPr>
        <sz val="12"/>
        <color theme="1"/>
        <rFont val="Arial Narrow"/>
        <family val="2"/>
      </rPr>
      <t>EL VALOR DEL PERSONAL CORRESPONDE A VALORES DE REFERENCIA SEGÚN RESOLUCIÓN 0001 DEL 04/01/2024  DE LA SECRETARÍA DISTRITAL DE GOBIERNO</t>
    </r>
    <r>
      <rPr>
        <b/>
        <sz val="12"/>
        <color theme="1"/>
        <rFont val="Arial Narrow"/>
        <family val="2"/>
      </rPr>
      <t xml:space="preserve">. </t>
    </r>
    <r>
      <rPr>
        <sz val="12"/>
        <color theme="1"/>
        <rFont val="Arial Narrow"/>
        <family val="2"/>
      </rPr>
      <t>NO ES OFERTABLE</t>
    </r>
  </si>
  <si>
    <t>ELEMENTOS Y/O SERVICIOS</t>
  </si>
  <si>
    <t xml:space="preserve">Atentamente,
Proponente:
Nit. No. 
Dirección 
Teléfono:
Correo electrónico Nombre del Representante Legal:Dirección
Firma del Representante Legal  
Correo electrónico 
Documento de Identificación: </t>
  </si>
  <si>
    <t>Coordinador</t>
  </si>
  <si>
    <t>Auxiliar logistico</t>
  </si>
  <si>
    <t>Título bachiller.
Mínimo veinticuatro (24) meses de experiencia laboral relacionada en organización de eventos o apoyo logístico o gestión de proyectos</t>
  </si>
  <si>
    <t>Todos</t>
  </si>
  <si>
    <t>Formación - Asistencia técnica</t>
  </si>
  <si>
    <t xml:space="preserve">NOTA 1: EL VALOR TOTAL COTIZADO INCLUYE TODOS LOS COSTOS DIRECTOS E INDIRECTOS, IMPUESTOS , TASAS, CONTRIBUCIONES Y TODOS LOS NECESARIOS PARA EJECUTAR DEL OBJETO CONTRACTUAL CON EL CUMPLIMIENTO DE LAS CONDICIONES  Y ESPECIFICACIONES TECNICAS. 
NOTA 2: EL VALOR DEL PERSONAL CORRESPONDE A VALORES DE REFERENCIA SEGÚN RESOLUCIÓN 1124 DEL 04/01/2024  DE LA SECRETARÍA DISTRITAL DE GOBIERNO. NO ES OFERTABLE
</t>
  </si>
  <si>
    <t>Volantes</t>
  </si>
  <si>
    <t>Volantes 4x4, impresos en propalcote 115 gs, tamaño 1/2 carta.</t>
  </si>
  <si>
    <t>Espacio fisico o salón con vocación educativa</t>
  </si>
  <si>
    <t>Espacio ubicado en la localidad de Suba, para desarrollar capacitaciones,  con capacidad para mínimo 50  personas  y que cuente con sillas, mesas y baños.</t>
  </si>
  <si>
    <t>Refrigerios</t>
  </si>
  <si>
    <t>Certificaciones o diplomas</t>
  </si>
  <si>
    <t>Diploma o certificación de la aprobación formativa impresa a 4 tintas en papel opalina o pergamino tamaño carta.</t>
  </si>
  <si>
    <t>Espacio físico dentro de la localidad de Suba</t>
  </si>
  <si>
    <t>Salón en la localidad de suba con capacidad para 100 personas, con sillas, mesas y baños.</t>
  </si>
  <si>
    <t>Unidades</t>
  </si>
  <si>
    <t>Día</t>
  </si>
  <si>
    <t>Software especializado para para producción y edición audiovisual.</t>
  </si>
  <si>
    <t>Suscripción anual a servicio de software especializado para producción y edición de video, fotografía y audio.</t>
  </si>
  <si>
    <t>Jugo en caja de 200 ml, un pastel (carne, pollo o jamón con queso) una fruta de cosecha y un dulce, todo debidamente empacado individualmente en bolsa biodegradable.</t>
  </si>
  <si>
    <t>Título profesional en comunicación social, periodismo, ingeniero de sonido, diseñador gráfico y afines.
Título de posgrado en administración, gerencia o proyectos, marketing digital, producción audiovisual.
Mínimo tres (3) años de experiencia profesional en la gerencia o coordinación de proyectos y actividades logísticas orientadas a la capacitación, formación o prestación de servicios educativos, con acreditación de experiencia específica en coordinación.</t>
  </si>
  <si>
    <t>Profesional de apoyo administrativo</t>
  </si>
  <si>
    <t xml:space="preserve">Título profesional dentro del área del conocimiento de economía o administración o contaduría y afines.
Mínimo un año (1) año de experiencia profesional relacionada con la administración de proyectos o logística. Y manejo comprobable de herramientas ofimáticas básicas. </t>
  </si>
  <si>
    <t>Profesional Formador en Producción</t>
  </si>
  <si>
    <t>Título profesional en Comunicación Social, o Periodismo, o Comunicación Audiovisual, o Producción Multimedia, o medios audiovisuales, o Dirección y Producción de Medios Audiovisuales, o Ingeniería de Telecomunicaciones o afines.
Mínimo dos (2) años de experiencia profesional relacionada en producción de medios o edición audiovisuales o manejo de medios tecnológicos y comunicativos o relacionados.</t>
  </si>
  <si>
    <t>Profesional Formador en Manejo de Medios y Convergencia Tecnológica</t>
  </si>
  <si>
    <t>Título profesional en Comunicación Audiovisual y Multimedia o Dirección y Producción de Cine y Televisión o dentro del NBC de Comunicación Social, Periodismo o afines.
Título de posgrado dentro del NBC en áreas afines o relacionadas a la comunicación social o TIC.  
Mínimo dos (2) años de experiencia profesional relacionada en pedagogía o docencia o manejo de medios tecnológicos y comunicativos, convergencia tecnológica o relacionados.</t>
  </si>
  <si>
    <t xml:space="preserve">Bolsa de $20.000.000 para cada uno de los 25 medios comunitarios </t>
  </si>
  <si>
    <t xml:space="preserve">Bolsa de $12.000.000 para cada uno de los 25 medios comunitarios </t>
  </si>
  <si>
    <t>BHTL 1</t>
  </si>
  <si>
    <t>BHTL 2</t>
  </si>
  <si>
    <t>BHTL 3</t>
  </si>
  <si>
    <t>BHTL 4</t>
  </si>
  <si>
    <t>BHTL 5</t>
  </si>
  <si>
    <t>BHTL 6</t>
  </si>
  <si>
    <t>BHTL 7</t>
  </si>
  <si>
    <t>BHTL 8</t>
  </si>
  <si>
    <t>BHTL 9</t>
  </si>
  <si>
    <t>BHTL 10</t>
  </si>
  <si>
    <t>BHTL 11</t>
  </si>
  <si>
    <t>BHTL 12</t>
  </si>
  <si>
    <t>BHTL 13</t>
  </si>
  <si>
    <t>BHTL 14</t>
  </si>
  <si>
    <t>BHTL 15</t>
  </si>
  <si>
    <t>BHTL 16</t>
  </si>
  <si>
    <t>BHTL 17</t>
  </si>
  <si>
    <t>BHTL 18</t>
  </si>
  <si>
    <t>BHTL 19</t>
  </si>
  <si>
    <t>BHTL 20</t>
  </si>
  <si>
    <t>BHTL 21</t>
  </si>
  <si>
    <t>BHTL 22</t>
  </si>
  <si>
    <t>BHTL 23</t>
  </si>
  <si>
    <t>BHTL 24</t>
  </si>
  <si>
    <t>BHTL 25</t>
  </si>
  <si>
    <t>BHTL 26</t>
  </si>
  <si>
    <t>Computador de mesa AIO</t>
  </si>
  <si>
    <t>Computador All In One con capacidad para edición de videos, con una velocidad del procesador minimo de 1.8 GHz, con Disco de Estado Solido (SSD) de 1 TB, con 10 nucleos, 32 GB de memoria RAM, con sistema operativo Windows 11, pantalla de 27 pulgadas aproximadamente, resolución de pantalla Full HD, con los siguientes puertos y entradas: Entrada Tarjeta SD 
Puerto HDMI , Puerto HDMI 2.1 , Puerto LAN/Ethernet , Puerto USB 2.0 , Puerto USB 3.2 , Puerto USB Tipo C , Salida de Audífonos , Thunderbolt 4  
Con conectividad Bluetooth , Conexión Con Cable , USB , WiFi
Con camara web integrada de resolución de camara 1080 HD
Con Office 365 instalado para un año.
Con 12 meses de garantía</t>
  </si>
  <si>
    <t>Computador portatil</t>
  </si>
  <si>
    <t>Computador portatil de minimo 14 pulgadas, con capacidad para edición de video, con procesador minimo 2.7 GHz a 4.75 GHz, sistema operativo windows 11 pro, memoria RAM de 16 GB y unidad disco de 512 GB SSD, camara HD RGB de 720p con obturador de privacidad para la cámara web, con cargador de 65 W o superior, con los siguientes puertos y entradas: USB-C® 4, 40 Gbps (alimentación/DisplayPort 2.1), USB-C®, 10 Gbps (alimentación/DP 2.1), 2 USB-A, 5 Gbps, USB-A, 10 Gbps, HDMI 2.1 (admite resoluciones de hasta 4K a 60 Hz), Ethernet (RJ45), Toma combinada para auriculares y micrófono, Opcional: lector de tarjetas Smart, Opcional: Nano SIM.</t>
  </si>
  <si>
    <t>Cámara de video</t>
  </si>
  <si>
    <t>Cámara de video 4K o 5K AC5 4K Ultra HD videocámara con zoom óptico de 12x, zoom inteligente de 100x para vlogging, videocámara WiFi UHD de 3.1 pulgadas, pantalla táctil IPS con micrófono lente, formato MP4 con conectividad wifi y USB, con resolución 4K, 4K: 3840* 2160 (24FPS), 2K: 2560x1440 (30FPS), con salida de TV HDMI, tarjeta SD máxima de 256 GB, con soporte para zapata y conector de micrófono externo, soporte para flash de relleno externo.</t>
  </si>
  <si>
    <t>Cámara de fotografía</t>
  </si>
  <si>
    <t>Cámara profesional de mínimo 20 MPx, lente 18-13mm, tamaño del lente 23.5 mm x 15.6 mm, Sensibilidad ISO
100-102400, resolución de video 4K,  Conectividad Bluetooth, NFC, Wi-Fi, Conexiones Mic jack 3.5 mm, HDMI micro-D, Multi (micro-USB), Apertura máxima del lente f/3.5-5.6,  tarjetas de memoria Memory Stick Pro Duo, Memory Stick Pro-HG Duo, Memory Stick Micro (M2), SD, SDHC UHS-I, SDXC UHS-I, Micro-SD, Micro-SDHC, Micro-SDXC, con los siguientes accesorios 1 adaptador de CA, 1 batería recargable, 1 cable micro-USB, 1 tapa de lente, 1 correa para hombro, 1 protector de visor óptico, 1 tapa de zapata, 1 tapa del cuerpo, 1 tapa trasera de lente.</t>
  </si>
  <si>
    <t>Grabadora de sonido</t>
  </si>
  <si>
    <t>Grabadora digital de sonido portatil de 6 canales profesional, formato de grabación MP3,  con tarjeta de momoria SDXC, con tiempo de grabación maxima de 20H y USB</t>
  </si>
  <si>
    <t>Microfono de condensador</t>
  </si>
  <si>
    <t>Microfono para streaming, podcast, músicos, con frecuencia máxima: 20000Hz y Frecuencia mínima: 20H con conexión por cable, Conectores de entrada y salida XLR, Sistemas operativos compatibles Mac OS, Windows.
Con Soporte de montaje con rosca y Adaptador de rosca.</t>
  </si>
  <si>
    <t>Microfono dinamico para podcast</t>
  </si>
  <si>
    <t>Micrófono dinámico para podcast con soporte. Certificado OBS, audio mejorado, panel táctil LED, salidas USB-C y XLR, modo de nivel automático, filtro digital pop, podcasting, transmisión. Con Salidas USB-C y XLR, con Certificado OBS. Con Panel táctil LED multicolor. Dispositivos compatibles  macOS 12, Windows 10. 
Con Parabrisas de espuma, cable USB-C a USB-C de 9.8 ft, soporte de escritorio ajustable.</t>
  </si>
  <si>
    <t>Microfono de solapa</t>
  </si>
  <si>
    <t>Micrófono De Solapa Inalámbrico Con 2 Receptores Para Celular Tipo C Iphone Y Pc Con estuche, con conexión inalambrica. Frecuencia mínima - Frecuencia máxima
20 Hz - 20 kHz, con 2 microfonos.</t>
  </si>
  <si>
    <t>Sistema de microfono inalambrico</t>
  </si>
  <si>
    <t>Sistema de microfono inalambrico banda H9 (512-542 MHz), con conector XLR, con microfono.</t>
  </si>
  <si>
    <t>Video beam</t>
  </si>
  <si>
    <t>Proyector ultrabrillante de 3.400-lúmenes  y una resolución nativa XGA, con conectividad HDMI y un altavoz incorporado de 5 W, Lámpara con una duración hasta de 12.000 horas, Tecnología de 3-chips 3LCD.</t>
  </si>
  <si>
    <t>Dron</t>
  </si>
  <si>
    <t>Dron con cámara Resolución 4K HDR a 100 fps para grabaciones en cámara lenta y calidad profesional.
Sensor de cámara: 1/1.3” con soporte HDR 4K, apertura f/1.7 y píxeles grandes de 2.4μm..
OcuSync 4 para un alcance de vuelo de hasta 12.4 millas (frente a las 7.5 millas de la versión anterior).
Seguimiento inteligente con ActiveTrack, incluyendo nuevos modos para un rastreo más preciso.
Batería de larga duración, con hasta 34 minutos de vuelo (hasta 45 minutos con batería adicional).
Diseño compacto y ligero (menos de 8.8 oz).
Recarga rápida con el cargador incluido, y opciones de personalización de la nitidez y reducción de ruido.</t>
  </si>
  <si>
    <t>Mixer de sonido o consola</t>
  </si>
  <si>
    <t>Consola activa con:
• 8 Entradas xlr
• 8 Entradas trs
• 8 Inserts
• Ecualizador de 3 bandas por canal
• 2 Salidas XLR
• 2 Salidas trs
• Lector usb
• Bluetooth
• Procesador de 16 efectos
• Ecualizador grafico de 7 bandas
• Ecualizador para entrada usb
• Conector audifonos
• Phantom power</t>
  </si>
  <si>
    <t>Mixer para podcast - streaming</t>
  </si>
  <si>
    <t>Consola para producción todo en uno para podcasting, streaming, producción de música y creación de contenido, Potencia de salida de auriculares: 250 mW. Conectividad de red: Wifi 28.29 oz/n/ac 2.4GHz y 5GHz, Ethernet 100/1000.
Preamplificadores Revolution de ruido ultra bajo y alta ganancia (-131.5dBV EIN, ganancia de 76 dB)
Cuatro entradas combinadas Neutrik de alta calidad para conectar micrófonos, instrumentos y dispositivos de nivel de línea
Nueve canales asignables individualmente con seis faders físicos de calidad de transmisión y tres faders virtuales
Motor de audio de cuatro núcleos de alto rendimient</t>
  </si>
  <si>
    <t>Kit de luces profesional</t>
  </si>
  <si>
    <t>Kit de luces con 2 cabezales P80S II, Cada cabezal de luz proporciona 80W de potencia, LED COB (Chip-on-Board) de excelente calidad con alto rendimiento de reproducción cromática (CRI +97). Con:
Combo completo, cada luz proporciona 80W.
Con filtros de color intercambiables
Rendimiento balanceado de luz diaria natural 5600K.
Excelente disipación de calor
Control remoto por app con smartphone.
Montura Bowens frontal.
Ángulo de luz: 120°
Soporte permite inclinación a 180°</t>
  </si>
  <si>
    <t>Tripode profesional</t>
  </si>
  <si>
    <t>Trípode de cámara de video, videocámara, digital Cine con esparcidor de tierra, patas dobles, de cabeza fluida de 69 pulgadas, Altura máxima175 Centímetros.</t>
  </si>
  <si>
    <t>Suscripción anual de software especializado para producción y edición de video, fotografía y audio.</t>
  </si>
  <si>
    <t>Estabilizador de imagen para celular</t>
  </si>
  <si>
    <t>Estabilizador de cardán para teléfono inteligente, cardán de teléfono de 3 ejes, barra de extensión integrada, portátil y plegable, cardán Android y iPhone con ShotGuides</t>
  </si>
  <si>
    <t>Camara 360</t>
  </si>
  <si>
    <t>Cámara de acción impermeable X4-8K 360, video gran angular 4K, efecto selfie stick invisible, protectores de lente extraíbles, duración de la batería de 135 minutos, edición AI</t>
  </si>
  <si>
    <t>Tablet</t>
  </si>
  <si>
    <t>Tablet con 128GB, 8GB de RAM, 8 nucleos, velocidad del procesador  2x A75 a 2,0 GHz + 6x A55 a 1,8 GHz, de 11 pulgadas, con camara de resolución minima de 8MP, Puerto USB Tipo C  y Salida de Audífonos, conexión wifi  y lápiz digita</t>
  </si>
  <si>
    <t>Cartulina opalina o pergamino</t>
  </si>
  <si>
    <t>Resma de 100 unidades de papel cartulina opalina o pergamino carta.</t>
  </si>
  <si>
    <t>Resma de papel</t>
  </si>
  <si>
    <t>Resma de papel carta color blanco de 500 hojas</t>
  </si>
  <si>
    <t>Diadema</t>
  </si>
  <si>
    <t>Diadema con cable mini jack, Con Bluetooth,  con microfono flexible, Con modo manos libres y frecuencia 20 Hz - 20 kHz</t>
  </si>
  <si>
    <t>Silla ergonomica</t>
  </si>
  <si>
    <t xml:space="preserve">
Espaldar: Material malla color negro con Apoyo Lumbar ajustable en Profundidad.
Brazos: Ajustables en Altura.
Asiento: Material Tapizado en Paño color negro, Espuma moldeada tipo inyectada. Densidad 23, Espesor 6cm.
Mecanismo: Un bloqueo y graduación de altura en asiento. Movimiento basculante en espalda cuando no está en posición fija, tensión graduable del basculante.
Columna neumática: Ajuste de altura del asiento con elevación de gas. Material Acero Desplazamiento 120mm
Base: Estrella de 5 aspas. Radio 300mm. Material Acero Nylon.
Rodachinas: Doble carrete. Material Nylon color negro. Diámetro 50mm.</t>
  </si>
  <si>
    <t>Impresora multifuncional</t>
  </si>
  <si>
    <t>Impresora multifunción con inyección de tinta a color, con función adicional de escaneo y fotocopias con conexión wifi, USB, Con Bluetooth. Con velocidad  del procesador minima de 980 MHz y capacidad de 100 hojas maxima de hojas.
Tipos de papel A4, sobres, Tarjetas hp, Papel fotográfico</t>
  </si>
  <si>
    <t>Carpa</t>
  </si>
  <si>
    <t>Carpas 3X3mt con laterales y frente, con calibre de alta resistencia. 
Color blanco con laterales movibles.</t>
  </si>
  <si>
    <t>Cabina de sonido con microfono</t>
  </si>
  <si>
    <t>Cabina activa de sonido de minimo 6.000 watts, MP3, bluetooth, USB, SD, entrada para 2 micrófonos, mini ecualizador, radio FM y display LCD.
Con Micrófono de cable, trípode y control remoto.</t>
  </si>
  <si>
    <r>
      <t xml:space="preserve">Bolsa a monto agotable de herramientas tecnológicas y/o logísticas
</t>
    </r>
    <r>
      <rPr>
        <b/>
        <sz val="11"/>
        <rFont val="Garamond"/>
        <family val="1"/>
      </rPr>
      <t>(NO MODIFICABLE)</t>
    </r>
  </si>
  <si>
    <r>
      <t>Bolsa a monto agotable de apoyo a la divulgación</t>
    </r>
    <r>
      <rPr>
        <b/>
        <sz val="11"/>
        <rFont val="Garamond"/>
        <family val="1"/>
      </rPr>
      <t xml:space="preserve"> (NO MODIFICABLE</t>
    </r>
    <r>
      <rPr>
        <sz val="11"/>
        <rFont val="Garamond"/>
        <family val="1"/>
      </rPr>
      <t>)</t>
    </r>
  </si>
  <si>
    <t>TALENTO HUMANO (QUE NO PODRÁ SER MODIFICADO POR LOS PROPONENTES)</t>
  </si>
  <si>
    <t>5. Entrega de herramientas tecnológicas y/o logísticas</t>
  </si>
  <si>
    <t>9. Apoyo a la divulgación</t>
  </si>
  <si>
    <r>
      <t>O</t>
    </r>
    <r>
      <rPr>
        <b/>
        <sz val="14"/>
        <color theme="0"/>
        <rFont val="Arial Narrow"/>
        <family val="2"/>
      </rPr>
      <t>BJETO: PRESTAR LOS SERVICIOS PARA DESARROLLAR EL PROCESO DE FORTALECIMIENTO DE LOS MEDIOS COMUNITARIOS Y ALTERNATIVOS DE LA LOCALIDAD DE SUBA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</si>
</sst>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quot;$&quot;* #,##0.00_-;\-&quot;$&quot;* #,##0.00_-;_-&quot;$&quot;* &quot;-&quot;??_-;_-@_-"/>
    <numFmt numFmtId="166" formatCode="\$\ #,##0"/>
    <numFmt numFmtId="167" formatCode="\$\ 0"/>
    <numFmt numFmtId="168" formatCode="_-* #,##0_-;\-* #,##0_-;_-* &quot;-&quot;??_-;_-@_-"/>
  </numFmts>
  <fonts count="83" x14ac:knownFonts="1">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sz val="11"/>
      <color rgb="FF000000"/>
      <name val="Calibri"/>
      <family val="2"/>
      <scheme val="minor"/>
    </font>
    <font>
      <sz val="11"/>
      <color theme="1"/>
      <name val="Garamond"/>
      <family val="1"/>
    </font>
    <font>
      <sz val="11"/>
      <color rgb="FF000000"/>
      <name val="Garamond"/>
      <family val="1"/>
    </font>
    <font>
      <b/>
      <sz val="11"/>
      <color theme="1"/>
      <name val="Garamond"/>
      <family val="1"/>
    </font>
    <font>
      <b/>
      <sz val="22"/>
      <color theme="1"/>
      <name val="Arial"/>
      <family val="2"/>
    </font>
    <font>
      <sz val="11"/>
      <name val="Calibri"/>
      <family val="2"/>
    </font>
    <font>
      <b/>
      <sz val="16"/>
      <color theme="1"/>
      <name val="Arial"/>
      <family val="2"/>
    </font>
    <font>
      <sz val="11"/>
      <color theme="1"/>
      <name val="Arial"/>
      <family val="2"/>
    </font>
    <font>
      <b/>
      <sz val="11"/>
      <color theme="1"/>
      <name val="Arial"/>
      <family val="2"/>
    </font>
    <font>
      <u/>
      <sz val="11"/>
      <color theme="10"/>
      <name val="Calibri"/>
      <family val="2"/>
    </font>
    <font>
      <sz val="12"/>
      <color rgb="FF000000"/>
      <name val="Arial"/>
      <family val="2"/>
    </font>
    <font>
      <b/>
      <sz val="24"/>
      <color theme="0"/>
      <name val="Garamond"/>
      <family val="1"/>
    </font>
    <font>
      <b/>
      <sz val="24"/>
      <color theme="1"/>
      <name val="Garamond"/>
      <family val="1"/>
    </font>
    <font>
      <b/>
      <sz val="16"/>
      <color rgb="FF000000"/>
      <name val="Garamond"/>
      <family val="1"/>
    </font>
    <font>
      <sz val="10"/>
      <color theme="1"/>
      <name val="Arial"/>
      <family val="2"/>
    </font>
    <font>
      <sz val="10"/>
      <name val="Calibri"/>
      <family val="2"/>
    </font>
    <font>
      <sz val="11"/>
      <name val="Calibri"/>
      <family val="2"/>
      <scheme val="minor"/>
    </font>
    <font>
      <sz val="10"/>
      <color theme="1"/>
      <name val="Garamond"/>
      <family val="1"/>
    </font>
    <font>
      <b/>
      <sz val="11"/>
      <color theme="0"/>
      <name val="Arial Narrow"/>
      <family val="2"/>
    </font>
    <font>
      <b/>
      <u/>
      <sz val="11"/>
      <color theme="1"/>
      <name val="Garamond"/>
      <family val="1"/>
    </font>
    <font>
      <sz val="11"/>
      <name val="Garamond"/>
      <family val="1"/>
    </font>
    <font>
      <sz val="10"/>
      <color rgb="FF000000"/>
      <name val="Calibri"/>
      <family val="2"/>
      <scheme val="minor"/>
    </font>
    <font>
      <sz val="10"/>
      <color rgb="FF000000"/>
      <name val="Calibri"/>
      <family val="2"/>
    </font>
    <font>
      <b/>
      <sz val="12"/>
      <color theme="1"/>
      <name val="Arial Narrow"/>
      <family val="2"/>
    </font>
    <font>
      <sz val="12"/>
      <color theme="1"/>
      <name val="Arial Narrow"/>
      <family val="2"/>
    </font>
    <font>
      <b/>
      <sz val="18"/>
      <color theme="1"/>
      <name val="Calibri"/>
      <family val="2"/>
      <scheme val="minor"/>
    </font>
    <font>
      <b/>
      <sz val="12"/>
      <color theme="1"/>
      <name val="Calibri"/>
      <family val="2"/>
      <scheme val="minor"/>
    </font>
    <font>
      <sz val="10"/>
      <color rgb="FF000000"/>
      <name val="Times New Roman"/>
      <family val="1"/>
    </font>
    <font>
      <b/>
      <sz val="5"/>
      <name val="Times New Roman"/>
      <family val="1"/>
    </font>
    <font>
      <sz val="5"/>
      <name val="Times New Roman"/>
      <family val="1"/>
    </font>
    <font>
      <b/>
      <sz val="5"/>
      <name val="Calibri"/>
      <family val="2"/>
    </font>
    <font>
      <b/>
      <sz val="5"/>
      <name val="Calibri"/>
      <family val="1"/>
    </font>
    <font>
      <b/>
      <sz val="5.5"/>
      <name val="Times New Roman"/>
      <family val="1"/>
    </font>
    <font>
      <b/>
      <sz val="5.5"/>
      <name val="Calibri"/>
      <family val="2"/>
    </font>
    <font>
      <b/>
      <sz val="5.5"/>
      <name val="Calibri"/>
      <family val="1"/>
    </font>
    <font>
      <sz val="5"/>
      <name val="Calibri"/>
      <family val="2"/>
    </font>
    <font>
      <sz val="5"/>
      <name val="Calibri"/>
      <family val="1"/>
    </font>
    <font>
      <sz val="5"/>
      <color rgb="FF000000"/>
      <name val="Calibri"/>
      <family val="2"/>
    </font>
    <font>
      <b/>
      <sz val="5.5"/>
      <color rgb="FF000000"/>
      <name val="Times New Roman"/>
      <family val="2"/>
    </font>
    <font>
      <b/>
      <sz val="5"/>
      <name val="Arial"/>
      <family val="2"/>
    </font>
    <font>
      <b/>
      <sz val="5"/>
      <color rgb="FFFFFFFF"/>
      <name val="Arial"/>
      <family val="2"/>
    </font>
    <font>
      <b/>
      <u/>
      <sz val="5"/>
      <name val="Times New Roman"/>
      <family val="1"/>
    </font>
    <font>
      <sz val="5"/>
      <color rgb="FF000000"/>
      <name val="Times New Roman"/>
      <family val="2"/>
    </font>
    <font>
      <sz val="4.5"/>
      <name val="Calibri"/>
      <family val="1"/>
    </font>
    <font>
      <sz val="4.5"/>
      <name val="Calibri"/>
      <family val="2"/>
    </font>
    <font>
      <sz val="10"/>
      <color rgb="FF000000"/>
      <name val="Garamond"/>
      <family val="1"/>
    </font>
    <font>
      <sz val="18"/>
      <color theme="1"/>
      <name val="Calibri"/>
      <family val="2"/>
      <scheme val="minor"/>
    </font>
    <font>
      <b/>
      <sz val="22"/>
      <color theme="1"/>
      <name val="Garamond"/>
      <family val="1"/>
    </font>
    <font>
      <b/>
      <sz val="12"/>
      <color theme="0"/>
      <name val="Calibri"/>
      <family val="2"/>
      <scheme val="minor"/>
    </font>
    <font>
      <b/>
      <sz val="12"/>
      <color theme="0"/>
      <name val="Garamond"/>
      <family val="1"/>
    </font>
    <font>
      <sz val="11"/>
      <color rgb="FFFF0000"/>
      <name val="Calibri"/>
      <family val="2"/>
      <scheme val="minor"/>
    </font>
    <font>
      <b/>
      <sz val="11"/>
      <color rgb="FFFF0000"/>
      <name val="Calibri"/>
      <family val="2"/>
      <scheme val="minor"/>
    </font>
    <font>
      <b/>
      <sz val="8"/>
      <color theme="1"/>
      <name val="Calibri"/>
      <family val="2"/>
      <scheme val="minor"/>
    </font>
    <font>
      <b/>
      <u/>
      <sz val="11"/>
      <color theme="1"/>
      <name val="Calibri"/>
      <family val="2"/>
      <scheme val="minor"/>
    </font>
    <font>
      <b/>
      <sz val="24"/>
      <color theme="0"/>
      <name val="Arial Narrow"/>
      <family val="2"/>
    </font>
    <font>
      <b/>
      <sz val="14"/>
      <color theme="0"/>
      <name val="Arial Narrow"/>
      <family val="2"/>
    </font>
    <font>
      <b/>
      <sz val="11"/>
      <color theme="1"/>
      <name val="Arial Narrow"/>
      <family val="2"/>
    </font>
    <font>
      <sz val="11"/>
      <color theme="1"/>
      <name val="Arial Narrow"/>
      <family val="2"/>
    </font>
    <font>
      <b/>
      <u/>
      <sz val="11"/>
      <color theme="1"/>
      <name val="Arial Narrow"/>
      <family val="2"/>
    </font>
    <font>
      <b/>
      <sz val="12"/>
      <color theme="1"/>
      <name val="Calibri Light"/>
      <family val="2"/>
    </font>
    <font>
      <b/>
      <sz val="10"/>
      <color theme="0"/>
      <name val="Calibri Light"/>
      <family val="2"/>
    </font>
    <font>
      <b/>
      <sz val="11"/>
      <color theme="0"/>
      <name val="Calibri Light"/>
      <family val="2"/>
    </font>
    <font>
      <sz val="11"/>
      <color theme="1"/>
      <name val="Calibri Light"/>
      <family val="2"/>
    </font>
    <font>
      <b/>
      <sz val="10"/>
      <color rgb="FF000000"/>
      <name val="Calibri Light"/>
      <family val="2"/>
    </font>
    <font>
      <b/>
      <sz val="10"/>
      <color theme="1"/>
      <name val="Calibri Light"/>
      <family val="2"/>
    </font>
    <font>
      <sz val="10"/>
      <color theme="1"/>
      <name val="Calibri Light"/>
      <family val="2"/>
    </font>
    <font>
      <b/>
      <sz val="12"/>
      <color theme="0"/>
      <name val="Calibri Light"/>
      <family val="2"/>
    </font>
    <font>
      <b/>
      <sz val="16"/>
      <color theme="0"/>
      <name val="Calibri Light"/>
      <family val="2"/>
    </font>
    <font>
      <b/>
      <sz val="24"/>
      <color theme="1"/>
      <name val="Arial Narrow"/>
      <family val="2"/>
    </font>
    <font>
      <sz val="14"/>
      <name val="Garamond"/>
      <family val="1"/>
    </font>
    <font>
      <b/>
      <sz val="24"/>
      <color theme="1" tint="0.34998626667073579"/>
      <name val="Arial Narrow"/>
      <family val="2"/>
    </font>
    <font>
      <b/>
      <sz val="11"/>
      <color theme="1" tint="0.34998626667073579"/>
      <name val="Arial Narrow"/>
      <family val="2"/>
    </font>
    <font>
      <sz val="12"/>
      <color theme="1" tint="0.34998626667073579"/>
      <name val="Arial Narrow"/>
      <family val="2"/>
    </font>
    <font>
      <sz val="11"/>
      <color theme="1" tint="0.34998626667073579"/>
      <name val="Arial Narrow"/>
      <family val="2"/>
    </font>
    <font>
      <b/>
      <sz val="12"/>
      <color theme="1" tint="0.34998626667073579"/>
      <name val="Arial Narrow"/>
      <family val="2"/>
    </font>
    <font>
      <b/>
      <sz val="11"/>
      <name val="Garamond"/>
      <family val="1"/>
    </font>
    <font>
      <sz val="8"/>
      <name val="Calibri"/>
      <family val="2"/>
      <scheme val="minor"/>
    </font>
  </fonts>
  <fills count="31">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rgb="FFD8D8D8"/>
        <bgColor rgb="FFD8D8D8"/>
      </patternFill>
    </fill>
    <fill>
      <patternFill patternType="solid">
        <fgColor theme="7" tint="0.59999389629810485"/>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theme="3"/>
        <bgColor indexed="64"/>
      </patternFill>
    </fill>
    <fill>
      <patternFill patternType="solid">
        <fgColor theme="0"/>
        <bgColor indexed="64"/>
      </patternFill>
    </fill>
    <fill>
      <patternFill patternType="solid">
        <fgColor rgb="FF00FF00"/>
        <bgColor indexed="64"/>
      </patternFill>
    </fill>
    <fill>
      <patternFill patternType="solid">
        <fgColor theme="6" tint="0.79998168889431442"/>
        <bgColor indexed="64"/>
      </patternFill>
    </fill>
    <fill>
      <patternFill patternType="solid">
        <fgColor rgb="FF44536A"/>
      </patternFill>
    </fill>
    <fill>
      <patternFill patternType="solid">
        <fgColor theme="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5"/>
        <bgColor indexed="64"/>
      </patternFill>
    </fill>
    <fill>
      <patternFill patternType="solid">
        <fgColor theme="8" tint="0.79998168889431442"/>
        <bgColor indexed="64"/>
      </patternFill>
    </fill>
    <fill>
      <patternFill patternType="solid">
        <fgColor rgb="FFC00000"/>
        <bgColor indexed="64"/>
      </patternFill>
    </fill>
    <fill>
      <patternFill patternType="solid">
        <fgColor rgb="FFFF0000"/>
        <bgColor indexed="64"/>
      </patternFill>
    </fill>
    <fill>
      <patternFill patternType="solid">
        <fgColor theme="9"/>
        <bgColor indexed="64"/>
      </patternFill>
    </fill>
    <fill>
      <patternFill patternType="solid">
        <fgColor theme="4" tint="-0.499984740745262"/>
        <bgColor indexed="64"/>
      </patternFill>
    </fill>
    <fill>
      <patternFill patternType="solid">
        <fgColor rgb="FFFFFFFF"/>
        <bgColor rgb="FF000000"/>
      </patternFill>
    </fill>
    <fill>
      <patternFill patternType="solid">
        <fgColor theme="2"/>
        <bgColor indexed="64"/>
      </patternFill>
    </fill>
  </fills>
  <borders count="54">
    <border>
      <left/>
      <right/>
      <top/>
      <bottom/>
      <diagonal/>
    </border>
    <border>
      <left style="medium">
        <color indexed="64"/>
      </left>
      <right/>
      <top/>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right/>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medium">
        <color indexed="64"/>
      </top>
      <bottom style="medium">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style="thin">
        <color indexed="64"/>
      </right>
      <top/>
      <bottom/>
      <diagonal/>
    </border>
    <border>
      <left style="thin">
        <color theme="1"/>
      </left>
      <right style="thin">
        <color theme="1"/>
      </right>
      <top style="thin">
        <color theme="1"/>
      </top>
      <bottom style="thin">
        <color theme="1"/>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11">
    <xf numFmtId="0" fontId="0" fillId="0" borderId="0"/>
    <xf numFmtId="0" fontId="5" fillId="0" borderId="0"/>
    <xf numFmtId="42" fontId="5"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2" fontId="3" fillId="0" borderId="0" applyFont="0" applyFill="0" applyBorder="0" applyAlignment="0" applyProtection="0"/>
    <xf numFmtId="0" fontId="20" fillId="0" borderId="0"/>
    <xf numFmtId="0" fontId="33" fillId="0" borderId="0"/>
    <xf numFmtId="0" fontId="2" fillId="0" borderId="0"/>
    <xf numFmtId="43" fontId="3" fillId="0" borderId="0" applyFont="0" applyFill="0" applyBorder="0" applyAlignment="0" applyProtection="0"/>
  </cellStyleXfs>
  <cellXfs count="478">
    <xf numFmtId="0" fontId="0" fillId="0" borderId="0" xfId="0"/>
    <xf numFmtId="0" fontId="5" fillId="0" borderId="0" xfId="1"/>
    <xf numFmtId="0" fontId="5" fillId="0" borderId="0" xfId="1" applyAlignment="1">
      <alignment horizontal="center" vertical="center"/>
    </xf>
    <xf numFmtId="0" fontId="4" fillId="0" borderId="11" xfId="0" applyFont="1" applyBorder="1" applyAlignment="1">
      <alignment vertical="center" wrapText="1"/>
    </xf>
    <xf numFmtId="0" fontId="3" fillId="0" borderId="6" xfId="0" applyFont="1" applyBorder="1" applyAlignment="1">
      <alignment horizontal="center" vertical="center"/>
    </xf>
    <xf numFmtId="0" fontId="3" fillId="0" borderId="6" xfId="1" applyFont="1" applyBorder="1" applyAlignment="1">
      <alignment horizontal="center" vertical="center"/>
    </xf>
    <xf numFmtId="0" fontId="3" fillId="0" borderId="6" xfId="1" applyFont="1" applyBorder="1" applyAlignment="1">
      <alignment horizontal="center" vertical="center" wrapText="1"/>
    </xf>
    <xf numFmtId="164" fontId="3" fillId="0" borderId="6" xfId="1" applyNumberFormat="1" applyFont="1" applyBorder="1" applyAlignment="1">
      <alignment horizontal="right" vertical="center" wrapText="1"/>
    </xf>
    <xf numFmtId="0" fontId="3" fillId="4" borderId="7" xfId="1" applyFont="1" applyFill="1" applyBorder="1" applyAlignment="1">
      <alignment horizontal="center" vertical="center"/>
    </xf>
    <xf numFmtId="0" fontId="3" fillId="4" borderId="0" xfId="1" applyFont="1" applyFill="1" applyAlignment="1">
      <alignment horizontal="center" vertical="center" wrapText="1"/>
    </xf>
    <xf numFmtId="0" fontId="6" fillId="4" borderId="0" xfId="1" applyFont="1" applyFill="1" applyAlignment="1">
      <alignment horizontal="center" vertical="center" wrapText="1"/>
    </xf>
    <xf numFmtId="44" fontId="3" fillId="4" borderId="0" xfId="1" applyNumberFormat="1" applyFont="1" applyFill="1" applyAlignment="1">
      <alignment horizontal="center" vertical="center" wrapText="1"/>
    </xf>
    <xf numFmtId="44" fontId="4" fillId="4" borderId="0" xfId="1" applyNumberFormat="1" applyFont="1" applyFill="1" applyAlignment="1">
      <alignment horizontal="center" vertical="center" wrapText="1"/>
    </xf>
    <xf numFmtId="0" fontId="8" fillId="0" borderId="6" xfId="1" applyFont="1" applyBorder="1" applyAlignment="1">
      <alignment horizontal="center" vertical="center" wrapText="1"/>
    </xf>
    <xf numFmtId="0" fontId="7" fillId="0" borderId="6" xfId="1" applyFont="1" applyBorder="1" applyAlignment="1">
      <alignment horizontal="center" vertical="center"/>
    </xf>
    <xf numFmtId="0" fontId="7" fillId="0" borderId="6" xfId="0" applyFont="1" applyBorder="1" applyAlignment="1">
      <alignment horizontal="center" vertical="center" wrapText="1"/>
    </xf>
    <xf numFmtId="0" fontId="14" fillId="5" borderId="19" xfId="0" applyFont="1" applyFill="1" applyBorder="1" applyAlignment="1">
      <alignment horizontal="left" vertical="center"/>
    </xf>
    <xf numFmtId="0" fontId="14" fillId="5" borderId="19" xfId="0" applyFont="1" applyFill="1" applyBorder="1" applyAlignment="1">
      <alignment horizontal="left" vertical="center" wrapText="1"/>
    </xf>
    <xf numFmtId="0" fontId="14" fillId="5" borderId="0" xfId="0" applyFont="1" applyFill="1"/>
    <xf numFmtId="0" fontId="16" fillId="0" borderId="19" xfId="0" applyFont="1" applyBorder="1" applyAlignment="1">
      <alignment horizontal="center" vertical="center" wrapText="1"/>
    </xf>
    <xf numFmtId="0" fontId="4" fillId="3" borderId="13" xfId="1" applyFont="1" applyFill="1" applyBorder="1" applyAlignment="1">
      <alignment horizontal="center" vertical="center" wrapText="1"/>
    </xf>
    <xf numFmtId="42" fontId="4" fillId="7" borderId="13" xfId="2" applyFont="1" applyFill="1" applyBorder="1" applyAlignment="1">
      <alignment horizontal="center" vertical="center" wrapText="1"/>
    </xf>
    <xf numFmtId="42" fontId="4" fillId="7" borderId="13" xfId="2" applyFont="1" applyFill="1" applyBorder="1" applyAlignment="1">
      <alignment horizontal="center" vertical="center"/>
    </xf>
    <xf numFmtId="42" fontId="4" fillId="9" borderId="13" xfId="2" applyFont="1" applyFill="1" applyBorder="1" applyAlignment="1">
      <alignment horizontal="center" vertical="center" wrapText="1"/>
    </xf>
    <xf numFmtId="42" fontId="4" fillId="9" borderId="13" xfId="2" applyFont="1" applyFill="1" applyBorder="1" applyAlignment="1">
      <alignment horizontal="center" vertical="center"/>
    </xf>
    <xf numFmtId="42" fontId="4" fillId="11" borderId="13" xfId="2" applyFont="1" applyFill="1" applyBorder="1" applyAlignment="1">
      <alignment horizontal="center" vertical="center" wrapText="1"/>
    </xf>
    <xf numFmtId="42" fontId="4" fillId="11" borderId="13" xfId="2" applyFont="1" applyFill="1" applyBorder="1" applyAlignment="1">
      <alignment horizontal="center" vertical="center"/>
    </xf>
    <xf numFmtId="42" fontId="4" fillId="13" borderId="13" xfId="2" applyFont="1" applyFill="1" applyBorder="1" applyAlignment="1">
      <alignment horizontal="center" vertical="center" wrapText="1"/>
    </xf>
    <xf numFmtId="9" fontId="3" fillId="0" borderId="6" xfId="4" applyFont="1" applyBorder="1" applyAlignment="1">
      <alignment horizontal="right" vertical="center" wrapText="1"/>
    </xf>
    <xf numFmtId="9" fontId="4" fillId="4" borderId="0" xfId="4" applyFont="1" applyFill="1" applyAlignment="1">
      <alignment horizontal="center" vertical="center" wrapText="1"/>
    </xf>
    <xf numFmtId="9" fontId="4" fillId="0" borderId="11" xfId="4" applyFont="1" applyBorder="1" applyAlignment="1">
      <alignment vertical="center" wrapText="1"/>
    </xf>
    <xf numFmtId="9" fontId="5" fillId="0" borderId="0" xfId="4" applyFont="1"/>
    <xf numFmtId="164" fontId="3" fillId="0" borderId="29" xfId="1" applyNumberFormat="1" applyFont="1" applyBorder="1" applyAlignment="1">
      <alignment horizontal="right" vertical="center" wrapText="1"/>
    </xf>
    <xf numFmtId="0" fontId="3" fillId="4" borderId="0" xfId="1" applyFont="1" applyFill="1" applyAlignment="1">
      <alignment horizontal="center" vertical="center"/>
    </xf>
    <xf numFmtId="0" fontId="7" fillId="0" borderId="30" xfId="0" applyFont="1" applyBorder="1" applyAlignment="1">
      <alignment vertical="center" wrapText="1"/>
    </xf>
    <xf numFmtId="0" fontId="0" fillId="0" borderId="6" xfId="0" applyBorder="1" applyAlignment="1">
      <alignment horizontal="center" vertical="center" wrapText="1"/>
    </xf>
    <xf numFmtId="0" fontId="0" fillId="0" borderId="29" xfId="0" applyBorder="1" applyAlignment="1">
      <alignment vertical="center" wrapText="1"/>
    </xf>
    <xf numFmtId="0" fontId="0" fillId="0" borderId="13" xfId="0" applyBorder="1" applyAlignment="1">
      <alignment horizontal="center" vertical="center" wrapText="1"/>
    </xf>
    <xf numFmtId="49" fontId="0" fillId="0" borderId="6" xfId="0" applyNumberFormat="1" applyBorder="1" applyAlignment="1">
      <alignment horizontal="left" vertical="center" wrapText="1"/>
    </xf>
    <xf numFmtId="49" fontId="0" fillId="0" borderId="6" xfId="0" quotePrefix="1" applyNumberFormat="1" applyBorder="1" applyAlignment="1">
      <alignment vertical="center" wrapText="1"/>
    </xf>
    <xf numFmtId="49" fontId="0" fillId="0" borderId="6" xfId="0" applyNumberFormat="1" applyBorder="1" applyAlignment="1">
      <alignment vertical="center" wrapText="1"/>
    </xf>
    <xf numFmtId="49" fontId="0" fillId="0" borderId="6" xfId="0" applyNumberFormat="1" applyBorder="1" applyAlignment="1">
      <alignment wrapText="1"/>
    </xf>
    <xf numFmtId="0" fontId="0" fillId="0" borderId="6" xfId="0" applyBorder="1" applyAlignment="1">
      <alignment vertical="center" wrapText="1"/>
    </xf>
    <xf numFmtId="0" fontId="22" fillId="0" borderId="6" xfId="0" applyFont="1" applyBorder="1" applyAlignment="1">
      <alignment vertical="center" wrapText="1"/>
    </xf>
    <xf numFmtId="0" fontId="16" fillId="0" borderId="3" xfId="0" applyFont="1" applyBorder="1" applyAlignment="1">
      <alignment horizontal="center" vertical="center" wrapText="1"/>
    </xf>
    <xf numFmtId="0" fontId="14" fillId="5" borderId="20" xfId="0" applyFont="1" applyFill="1" applyBorder="1"/>
    <xf numFmtId="0" fontId="13" fillId="0" borderId="6" xfId="0" applyFont="1" applyBorder="1" applyAlignment="1">
      <alignment horizontal="center" vertical="center" wrapText="1"/>
    </xf>
    <xf numFmtId="0" fontId="0" fillId="0" borderId="29" xfId="0" applyBorder="1" applyAlignment="1">
      <alignment horizontal="center" vertical="center" wrapText="1"/>
    </xf>
    <xf numFmtId="0" fontId="0" fillId="0" borderId="0" xfId="0" applyAlignment="1">
      <alignment horizontal="center" vertical="center" wrapText="1"/>
    </xf>
    <xf numFmtId="0" fontId="24" fillId="14" borderId="29" xfId="0" applyFont="1" applyFill="1" applyBorder="1" applyAlignment="1">
      <alignment horizontal="center" vertical="center"/>
    </xf>
    <xf numFmtId="42" fontId="24" fillId="14" borderId="31" xfId="6" applyFont="1" applyFill="1" applyBorder="1" applyAlignment="1">
      <alignment horizontal="center" vertical="center"/>
    </xf>
    <xf numFmtId="42" fontId="24" fillId="14" borderId="29" xfId="6" applyFont="1" applyFill="1" applyBorder="1" applyAlignment="1">
      <alignment horizontal="center" vertical="center"/>
    </xf>
    <xf numFmtId="44" fontId="24" fillId="14" borderId="7" xfId="0" applyNumberFormat="1" applyFont="1" applyFill="1" applyBorder="1" applyAlignment="1">
      <alignment vertical="center" wrapText="1"/>
    </xf>
    <xf numFmtId="44" fontId="24" fillId="14" borderId="12" xfId="0" applyNumberFormat="1" applyFont="1" applyFill="1" applyBorder="1" applyAlignment="1">
      <alignment vertical="center" wrapText="1"/>
    </xf>
    <xf numFmtId="0" fontId="25" fillId="0" borderId="6" xfId="0" applyFont="1" applyBorder="1" applyAlignment="1">
      <alignment horizontal="justify" vertical="center" wrapText="1"/>
    </xf>
    <xf numFmtId="0" fontId="7" fillId="0" borderId="6" xfId="0" applyFont="1" applyBorder="1" applyAlignment="1">
      <alignment horizontal="justify" vertical="center" wrapText="1"/>
    </xf>
    <xf numFmtId="0" fontId="23" fillId="0" borderId="6" xfId="0" applyFont="1" applyBorder="1" applyAlignment="1">
      <alignment horizontal="justify" vertical="center" wrapText="1"/>
    </xf>
    <xf numFmtId="0" fontId="9" fillId="0" borderId="6" xfId="0" applyFont="1" applyBorder="1" applyAlignment="1">
      <alignment horizontal="justify" vertical="center" wrapText="1"/>
    </xf>
    <xf numFmtId="0" fontId="26" fillId="0" borderId="6" xfId="0" applyFont="1" applyBorder="1" applyAlignment="1">
      <alignment horizontal="justify" vertical="center" wrapText="1"/>
    </xf>
    <xf numFmtId="0" fontId="27" fillId="0" borderId="6" xfId="0" applyFont="1" applyBorder="1" applyAlignment="1">
      <alignment horizontal="justify" vertical="center" wrapText="1"/>
    </xf>
    <xf numFmtId="0" fontId="28" fillId="0" borderId="6" xfId="0" applyFont="1" applyBorder="1" applyAlignment="1">
      <alignment horizontal="justify" vertical="center" wrapText="1"/>
    </xf>
    <xf numFmtId="0" fontId="28" fillId="0" borderId="29" xfId="0" applyFont="1" applyBorder="1" applyAlignment="1">
      <alignment horizontal="justify" vertical="center" wrapText="1"/>
    </xf>
    <xf numFmtId="0" fontId="0" fillId="16" borderId="6" xfId="0" applyFill="1" applyBorder="1" applyAlignment="1">
      <alignment horizontal="center" vertical="center" wrapText="1"/>
    </xf>
    <xf numFmtId="0" fontId="7" fillId="0" borderId="30" xfId="0" applyFont="1" applyBorder="1" applyAlignment="1">
      <alignment horizontal="center" vertical="center" wrapText="1"/>
    </xf>
    <xf numFmtId="42" fontId="0" fillId="0" borderId="6" xfId="0" applyNumberFormat="1" applyBorder="1" applyAlignment="1">
      <alignment horizontal="right" vertical="center" wrapText="1"/>
    </xf>
    <xf numFmtId="42" fontId="0" fillId="0" borderId="6" xfId="0" applyNumberFormat="1" applyBorder="1" applyAlignment="1">
      <alignment horizontal="center" vertical="center" wrapText="1"/>
    </xf>
    <xf numFmtId="42" fontId="0" fillId="0" borderId="6" xfId="5" applyNumberFormat="1" applyFont="1" applyBorder="1" applyAlignment="1">
      <alignment horizontal="right" vertical="center" wrapText="1"/>
    </xf>
    <xf numFmtId="42" fontId="0" fillId="15" borderId="6" xfId="0" applyNumberFormat="1" applyFill="1" applyBorder="1" applyAlignment="1">
      <alignment horizontal="right" vertical="center" wrapText="1"/>
    </xf>
    <xf numFmtId="42" fontId="0" fillId="15" borderId="6" xfId="5" applyNumberFormat="1" applyFont="1" applyFill="1" applyBorder="1" applyAlignment="1">
      <alignment horizontal="right" vertical="center" wrapText="1"/>
    </xf>
    <xf numFmtId="164" fontId="0" fillId="0" borderId="6" xfId="0" applyNumberFormat="1" applyBorder="1" applyAlignment="1">
      <alignment horizontal="center" vertical="center" wrapText="1"/>
    </xf>
    <xf numFmtId="44" fontId="24" fillId="14" borderId="12" xfId="0" applyNumberFormat="1"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wrapText="1"/>
    </xf>
    <xf numFmtId="165" fontId="0" fillId="0" borderId="0" xfId="0" applyNumberFormat="1" applyAlignment="1">
      <alignment horizontal="center" wrapText="1"/>
    </xf>
    <xf numFmtId="0" fontId="31" fillId="17" borderId="6" xfId="0" applyFont="1" applyFill="1" applyBorder="1" applyAlignment="1">
      <alignment horizontal="center" wrapText="1"/>
    </xf>
    <xf numFmtId="164" fontId="31" fillId="17" borderId="6" xfId="0" applyNumberFormat="1" applyFont="1" applyFill="1" applyBorder="1" applyAlignment="1">
      <alignment horizontal="center" wrapText="1"/>
    </xf>
    <xf numFmtId="0" fontId="32" fillId="17" borderId="6" xfId="0" applyFont="1" applyFill="1" applyBorder="1" applyAlignment="1">
      <alignment horizontal="center" vertical="center" wrapText="1"/>
    </xf>
    <xf numFmtId="164" fontId="32" fillId="17" borderId="6" xfId="0" applyNumberFormat="1" applyFont="1" applyFill="1" applyBorder="1" applyAlignment="1">
      <alignment horizontal="center" vertical="center" wrapText="1"/>
    </xf>
    <xf numFmtId="164" fontId="0" fillId="0" borderId="6" xfId="5" applyNumberFormat="1" applyFont="1" applyFill="1" applyBorder="1" applyAlignment="1">
      <alignment horizontal="right" vertical="center" wrapText="1"/>
    </xf>
    <xf numFmtId="44" fontId="4" fillId="0" borderId="11" xfId="0" applyNumberFormat="1" applyFont="1" applyBorder="1" applyAlignment="1">
      <alignment vertical="center" wrapText="1"/>
    </xf>
    <xf numFmtId="0" fontId="33" fillId="0" borderId="0" xfId="8" applyAlignment="1">
      <alignment horizontal="left" vertical="top"/>
    </xf>
    <xf numFmtId="0" fontId="38" fillId="0" borderId="19" xfId="8" applyFont="1" applyBorder="1" applyAlignment="1">
      <alignment horizontal="left" vertical="center" wrapText="1" indent="1"/>
    </xf>
    <xf numFmtId="0" fontId="38" fillId="0" borderId="19" xfId="8" applyFont="1" applyBorder="1" applyAlignment="1">
      <alignment horizontal="center" vertical="center" wrapText="1"/>
    </xf>
    <xf numFmtId="0" fontId="38" fillId="0" borderId="19" xfId="8" applyFont="1" applyBorder="1" applyAlignment="1">
      <alignment horizontal="left" vertical="center" wrapText="1"/>
    </xf>
    <xf numFmtId="0" fontId="38" fillId="0" borderId="19" xfId="8" applyFont="1" applyBorder="1" applyAlignment="1">
      <alignment horizontal="left" vertical="top" wrapText="1" indent="8"/>
    </xf>
    <xf numFmtId="0" fontId="38" fillId="0" borderId="19" xfId="8" applyFont="1" applyBorder="1" applyAlignment="1">
      <alignment horizontal="center" wrapText="1"/>
    </xf>
    <xf numFmtId="0" fontId="39" fillId="0" borderId="19" xfId="8" applyFont="1" applyBorder="1" applyAlignment="1">
      <alignment horizontal="right" wrapText="1"/>
    </xf>
    <xf numFmtId="0" fontId="39" fillId="0" borderId="19" xfId="8" applyFont="1" applyBorder="1" applyAlignment="1">
      <alignment horizontal="center" wrapText="1"/>
    </xf>
    <xf numFmtId="0" fontId="39" fillId="0" borderId="19" xfId="8" applyFont="1" applyBorder="1" applyAlignment="1">
      <alignment horizontal="left" vertical="center" wrapText="1"/>
    </xf>
    <xf numFmtId="0" fontId="33" fillId="0" borderId="19" xfId="8" applyBorder="1" applyAlignment="1">
      <alignment horizontal="left" vertical="top" wrapText="1"/>
    </xf>
    <xf numFmtId="0" fontId="41" fillId="0" borderId="19" xfId="8" applyFont="1" applyBorder="1" applyAlignment="1">
      <alignment horizontal="left" vertical="center" wrapText="1" indent="1"/>
    </xf>
    <xf numFmtId="1" fontId="43" fillId="0" borderId="19" xfId="8" applyNumberFormat="1" applyFont="1" applyBorder="1" applyAlignment="1">
      <alignment horizontal="center" vertical="center" shrinkToFit="1"/>
    </xf>
    <xf numFmtId="166" fontId="43" fillId="0" borderId="19" xfId="8" applyNumberFormat="1" applyFont="1" applyBorder="1" applyAlignment="1">
      <alignment horizontal="right" vertical="center" shrinkToFit="1"/>
    </xf>
    <xf numFmtId="166" fontId="43" fillId="0" borderId="19" xfId="8" applyNumberFormat="1" applyFont="1" applyBorder="1" applyAlignment="1">
      <alignment horizontal="center" vertical="center" shrinkToFit="1"/>
    </xf>
    <xf numFmtId="167" fontId="43" fillId="0" borderId="19" xfId="8" applyNumberFormat="1" applyFont="1" applyBorder="1" applyAlignment="1">
      <alignment horizontal="right" vertical="center" shrinkToFit="1"/>
    </xf>
    <xf numFmtId="167" fontId="43" fillId="0" borderId="19" xfId="8" applyNumberFormat="1" applyFont="1" applyBorder="1" applyAlignment="1">
      <alignment horizontal="center" vertical="center" shrinkToFit="1"/>
    </xf>
    <xf numFmtId="0" fontId="41" fillId="0" borderId="19" xfId="8" applyFont="1" applyBorder="1" applyAlignment="1">
      <alignment horizontal="left" vertical="top" wrapText="1" indent="1"/>
    </xf>
    <xf numFmtId="1" fontId="43" fillId="0" borderId="19" xfId="8" applyNumberFormat="1" applyFont="1" applyBorder="1" applyAlignment="1">
      <alignment horizontal="center" vertical="top" shrinkToFit="1"/>
    </xf>
    <xf numFmtId="166" fontId="43" fillId="0" borderId="19" xfId="8" applyNumberFormat="1" applyFont="1" applyBorder="1" applyAlignment="1">
      <alignment horizontal="right" vertical="top" shrinkToFit="1"/>
    </xf>
    <xf numFmtId="167" fontId="43" fillId="0" borderId="19" xfId="8" applyNumberFormat="1" applyFont="1" applyBorder="1" applyAlignment="1">
      <alignment horizontal="center" vertical="top" shrinkToFit="1"/>
    </xf>
    <xf numFmtId="166" fontId="43" fillId="0" borderId="19" xfId="8" applyNumberFormat="1" applyFont="1" applyBorder="1" applyAlignment="1">
      <alignment horizontal="center" vertical="top" shrinkToFit="1"/>
    </xf>
    <xf numFmtId="0" fontId="41" fillId="0" borderId="19" xfId="8" applyFont="1" applyBorder="1" applyAlignment="1">
      <alignment horizontal="left" vertical="top" wrapText="1"/>
    </xf>
    <xf numFmtId="0" fontId="33" fillId="0" borderId="19" xfId="8" applyBorder="1" applyAlignment="1">
      <alignment horizontal="center" vertical="top" wrapText="1"/>
    </xf>
    <xf numFmtId="0" fontId="33" fillId="0" borderId="19" xfId="8" applyBorder="1" applyAlignment="1">
      <alignment horizontal="left" vertical="center" wrapText="1"/>
    </xf>
    <xf numFmtId="1" fontId="43" fillId="0" borderId="19" xfId="8" applyNumberFormat="1" applyFont="1" applyBorder="1" applyAlignment="1">
      <alignment horizontal="right" vertical="top" shrinkToFit="1"/>
    </xf>
    <xf numFmtId="0" fontId="33" fillId="0" borderId="20" xfId="8" applyBorder="1" applyAlignment="1">
      <alignment horizontal="left" vertical="top" wrapText="1"/>
    </xf>
    <xf numFmtId="0" fontId="33" fillId="0" borderId="39" xfId="8" applyBorder="1" applyAlignment="1">
      <alignment horizontal="left" vertical="top" wrapText="1"/>
    </xf>
    <xf numFmtId="0" fontId="35" fillId="0" borderId="5" xfId="8" applyFont="1" applyBorder="1" applyAlignment="1">
      <alignment horizontal="left" vertical="center" wrapText="1"/>
    </xf>
    <xf numFmtId="0" fontId="41" fillId="0" borderId="19" xfId="8" applyFont="1" applyBorder="1" applyAlignment="1">
      <alignment horizontal="left" vertical="center" wrapText="1"/>
    </xf>
    <xf numFmtId="0" fontId="41" fillId="0" borderId="19" xfId="8" applyFont="1" applyBorder="1" applyAlignment="1">
      <alignment horizontal="center" vertical="center" wrapText="1"/>
    </xf>
    <xf numFmtId="166" fontId="43" fillId="0" borderId="19" xfId="8" applyNumberFormat="1" applyFont="1" applyBorder="1" applyAlignment="1">
      <alignment horizontal="left" vertical="center" shrinkToFit="1"/>
    </xf>
    <xf numFmtId="0" fontId="41" fillId="0" borderId="19" xfId="8" applyFont="1" applyBorder="1" applyAlignment="1">
      <alignment horizontal="center" vertical="top" wrapText="1"/>
    </xf>
    <xf numFmtId="167" fontId="43" fillId="0" borderId="19" xfId="8" applyNumberFormat="1" applyFont="1" applyBorder="1" applyAlignment="1">
      <alignment horizontal="left" vertical="top" shrinkToFit="1"/>
    </xf>
    <xf numFmtId="166" fontId="43" fillId="0" borderId="19" xfId="8" applyNumberFormat="1" applyFont="1" applyBorder="1" applyAlignment="1">
      <alignment horizontal="left" vertical="top" shrinkToFit="1"/>
    </xf>
    <xf numFmtId="166" fontId="44" fillId="0" borderId="19" xfId="8" applyNumberFormat="1" applyFont="1" applyBorder="1" applyAlignment="1">
      <alignment horizontal="center" vertical="top" shrinkToFit="1"/>
    </xf>
    <xf numFmtId="0" fontId="33" fillId="0" borderId="18" xfId="8" applyBorder="1" applyAlignment="1">
      <alignment horizontal="left" vertical="top" wrapText="1"/>
    </xf>
    <xf numFmtId="0" fontId="33" fillId="18" borderId="19" xfId="8" applyFill="1" applyBorder="1" applyAlignment="1">
      <alignment horizontal="left" vertical="top" wrapText="1"/>
    </xf>
    <xf numFmtId="0" fontId="45" fillId="18" borderId="19" xfId="8" applyFont="1" applyFill="1" applyBorder="1" applyAlignment="1">
      <alignment horizontal="left" vertical="center" wrapText="1" indent="1"/>
    </xf>
    <xf numFmtId="0" fontId="45" fillId="18" borderId="19" xfId="8" applyFont="1" applyFill="1" applyBorder="1" applyAlignment="1">
      <alignment horizontal="center" vertical="center" wrapText="1"/>
    </xf>
    <xf numFmtId="0" fontId="45" fillId="18" borderId="19" xfId="8" applyFont="1" applyFill="1" applyBorder="1" applyAlignment="1">
      <alignment horizontal="left" vertical="top" wrapText="1"/>
    </xf>
    <xf numFmtId="0" fontId="45" fillId="18" borderId="19" xfId="8" applyFont="1" applyFill="1" applyBorder="1" applyAlignment="1">
      <alignment horizontal="left" vertical="center" wrapText="1"/>
    </xf>
    <xf numFmtId="0" fontId="34" fillId="0" borderId="19" xfId="8" applyFont="1" applyBorder="1" applyAlignment="1">
      <alignment horizontal="left" vertical="top" wrapText="1"/>
    </xf>
    <xf numFmtId="0" fontId="35" fillId="0" borderId="19" xfId="8" applyFont="1" applyBorder="1" applyAlignment="1">
      <alignment horizontal="left" vertical="top" wrapText="1"/>
    </xf>
    <xf numFmtId="0" fontId="33" fillId="0" borderId="19" xfId="8" applyBorder="1" applyAlignment="1">
      <alignment horizontal="left" wrapText="1"/>
    </xf>
    <xf numFmtId="0" fontId="33" fillId="0" borderId="14" xfId="8" applyBorder="1" applyAlignment="1">
      <alignment vertical="top" wrapText="1"/>
    </xf>
    <xf numFmtId="0" fontId="33" fillId="0" borderId="40" xfId="8" applyBorder="1" applyAlignment="1">
      <alignment vertical="top" wrapText="1"/>
    </xf>
    <xf numFmtId="0" fontId="50" fillId="0" borderId="19" xfId="8" applyFont="1" applyBorder="1" applyAlignment="1">
      <alignment horizontal="left" vertical="top" wrapText="1"/>
    </xf>
    <xf numFmtId="42" fontId="51" fillId="15" borderId="6" xfId="6" applyFont="1" applyFill="1" applyBorder="1" applyAlignment="1">
      <alignment horizontal="center" vertical="center" wrapText="1"/>
    </xf>
    <xf numFmtId="9" fontId="22" fillId="15" borderId="6" xfId="4" applyFont="1" applyFill="1" applyBorder="1" applyAlignment="1">
      <alignment vertical="center" wrapText="1"/>
    </xf>
    <xf numFmtId="0" fontId="0" fillId="0" borderId="0" xfId="0" applyAlignment="1">
      <alignment horizontal="right" wrapText="1"/>
    </xf>
    <xf numFmtId="0" fontId="52" fillId="0" borderId="0" xfId="0" applyFont="1" applyAlignment="1">
      <alignment horizontal="center" wrapText="1"/>
    </xf>
    <xf numFmtId="42" fontId="0" fillId="0" borderId="0" xfId="0" applyNumberFormat="1" applyAlignment="1">
      <alignment horizontal="center" wrapText="1"/>
    </xf>
    <xf numFmtId="42" fontId="0" fillId="0" borderId="0" xfId="0" applyNumberFormat="1" applyAlignment="1">
      <alignment horizontal="right" wrapText="1"/>
    </xf>
    <xf numFmtId="0" fontId="7" fillId="0" borderId="41" xfId="0" applyFont="1" applyBorder="1" applyAlignment="1">
      <alignment vertical="center" wrapText="1"/>
    </xf>
    <xf numFmtId="42" fontId="53" fillId="0" borderId="22" xfId="0" applyNumberFormat="1" applyFont="1" applyBorder="1" applyAlignment="1">
      <alignment horizontal="center" wrapText="1"/>
    </xf>
    <xf numFmtId="164" fontId="53" fillId="0" borderId="22" xfId="0" applyNumberFormat="1" applyFont="1" applyBorder="1" applyAlignment="1">
      <alignment horizontal="center" wrapText="1"/>
    </xf>
    <xf numFmtId="0" fontId="18" fillId="0" borderId="26" xfId="0" applyFont="1" applyBorder="1" applyAlignment="1">
      <alignment vertical="center" wrapText="1"/>
    </xf>
    <xf numFmtId="0" fontId="22" fillId="15" borderId="0" xfId="0" applyFont="1" applyFill="1" applyAlignment="1">
      <alignment vertical="center" wrapText="1"/>
    </xf>
    <xf numFmtId="164" fontId="0" fillId="0" borderId="0" xfId="0" applyNumberFormat="1" applyAlignment="1">
      <alignment horizontal="center" wrapText="1"/>
    </xf>
    <xf numFmtId="164" fontId="22" fillId="15" borderId="0" xfId="0" applyNumberFormat="1" applyFont="1" applyFill="1" applyAlignment="1">
      <alignment vertical="center" wrapText="1"/>
    </xf>
    <xf numFmtId="0" fontId="22" fillId="15" borderId="6" xfId="0" applyFont="1" applyFill="1" applyBorder="1" applyAlignment="1">
      <alignment horizontal="center" vertical="center" wrapText="1"/>
    </xf>
    <xf numFmtId="0" fontId="54" fillId="19" borderId="1" xfId="0" applyFont="1" applyFill="1" applyBorder="1" applyAlignment="1">
      <alignment horizontal="center" wrapText="1"/>
    </xf>
    <xf numFmtId="0" fontId="0" fillId="0" borderId="0" xfId="0" applyAlignment="1">
      <alignment wrapText="1"/>
    </xf>
    <xf numFmtId="0" fontId="54" fillId="19" borderId="1" xfId="0" applyFont="1" applyFill="1" applyBorder="1" applyAlignment="1">
      <alignment wrapText="1"/>
    </xf>
    <xf numFmtId="164" fontId="0" fillId="0" borderId="0" xfId="0" applyNumberFormat="1" applyAlignment="1">
      <alignment horizontal="right" wrapText="1"/>
    </xf>
    <xf numFmtId="164" fontId="5" fillId="0" borderId="0" xfId="1" applyNumberFormat="1"/>
    <xf numFmtId="42" fontId="5" fillId="0" borderId="0" xfId="1" applyNumberFormat="1"/>
    <xf numFmtId="44" fontId="5" fillId="0" borderId="0" xfId="1" applyNumberFormat="1"/>
    <xf numFmtId="0" fontId="32" fillId="20" borderId="0" xfId="1" applyFont="1" applyFill="1"/>
    <xf numFmtId="44" fontId="32" fillId="20" borderId="0" xfId="1" applyNumberFormat="1" applyFont="1" applyFill="1"/>
    <xf numFmtId="1" fontId="5" fillId="0" borderId="0" xfId="1" applyNumberFormat="1"/>
    <xf numFmtId="0" fontId="0" fillId="0" borderId="6" xfId="0" applyBorder="1" applyAlignment="1">
      <alignment horizontal="left" vertical="center" wrapText="1"/>
    </xf>
    <xf numFmtId="0" fontId="56" fillId="0" borderId="6" xfId="0" applyFont="1" applyBorder="1" applyAlignment="1">
      <alignment horizontal="center" vertical="center" wrapText="1"/>
    </xf>
    <xf numFmtId="44" fontId="57" fillId="0" borderId="11" xfId="0" applyNumberFormat="1" applyFont="1" applyBorder="1" applyAlignment="1">
      <alignment vertical="center" wrapText="1"/>
    </xf>
    <xf numFmtId="164" fontId="57" fillId="0" borderId="11" xfId="4" applyNumberFormat="1" applyFont="1" applyBorder="1" applyAlignment="1">
      <alignment vertical="center" wrapText="1"/>
    </xf>
    <xf numFmtId="0" fontId="4" fillId="0" borderId="6" xfId="0" applyFont="1" applyBorder="1"/>
    <xf numFmtId="0" fontId="0" fillId="0" borderId="6" xfId="0" applyBorder="1" applyAlignment="1">
      <alignment horizontal="justify" wrapText="1"/>
    </xf>
    <xf numFmtId="0" fontId="0" fillId="21" borderId="6" xfId="0" applyFill="1" applyBorder="1"/>
    <xf numFmtId="0" fontId="0" fillId="0" borderId="6" xfId="0" applyBorder="1"/>
    <xf numFmtId="0" fontId="0" fillId="15" borderId="6" xfId="0" applyFill="1" applyBorder="1"/>
    <xf numFmtId="0" fontId="58" fillId="0" borderId="6" xfId="0" applyFont="1" applyBorder="1" applyAlignment="1">
      <alignment vertical="center" textRotation="90" wrapText="1"/>
    </xf>
    <xf numFmtId="0" fontId="0" fillId="0" borderId="0" xfId="0" applyAlignment="1">
      <alignment horizontal="justify" wrapText="1"/>
    </xf>
    <xf numFmtId="0" fontId="7" fillId="0" borderId="31" xfId="0" applyFont="1" applyBorder="1" applyAlignment="1">
      <alignment horizontal="center" vertical="center" wrapText="1"/>
    </xf>
    <xf numFmtId="164" fontId="32" fillId="0" borderId="6" xfId="0" applyNumberFormat="1" applyFont="1" applyBorder="1" applyAlignment="1">
      <alignment horizontal="center" vertical="center" wrapText="1"/>
    </xf>
    <xf numFmtId="0" fontId="32" fillId="0" borderId="6" xfId="1" applyFont="1" applyBorder="1" applyAlignment="1">
      <alignment horizontal="center"/>
    </xf>
    <xf numFmtId="0" fontId="32" fillId="22" borderId="6" xfId="1" applyFont="1" applyFill="1" applyBorder="1"/>
    <xf numFmtId="164" fontId="32" fillId="22" borderId="6" xfId="1" applyNumberFormat="1" applyFont="1" applyFill="1" applyBorder="1"/>
    <xf numFmtId="0" fontId="32" fillId="22" borderId="6" xfId="0" applyFont="1" applyFill="1" applyBorder="1" applyAlignment="1">
      <alignment horizontal="center"/>
    </xf>
    <xf numFmtId="0" fontId="32" fillId="22" borderId="6" xfId="0" applyFont="1" applyFill="1" applyBorder="1" applyAlignment="1">
      <alignment horizontal="center" vertical="center"/>
    </xf>
    <xf numFmtId="164" fontId="0" fillId="0" borderId="0" xfId="0" applyNumberFormat="1"/>
    <xf numFmtId="9" fontId="0" fillId="0" borderId="6" xfId="4" applyFont="1" applyBorder="1" applyAlignment="1">
      <alignment horizontal="center"/>
    </xf>
    <xf numFmtId="9" fontId="32" fillId="22" borderId="6" xfId="4" applyFont="1" applyFill="1" applyBorder="1" applyAlignment="1">
      <alignment horizontal="center"/>
    </xf>
    <xf numFmtId="0" fontId="5" fillId="0" borderId="6" xfId="1" applyBorder="1" applyAlignment="1">
      <alignment horizontal="center" vertical="center"/>
    </xf>
    <xf numFmtId="168" fontId="5" fillId="0" borderId="6" xfId="1" applyNumberFormat="1" applyBorder="1" applyAlignment="1">
      <alignment vertical="center"/>
    </xf>
    <xf numFmtId="0" fontId="0" fillId="0" borderId="6" xfId="0" applyBorder="1" applyAlignment="1">
      <alignment horizontal="center" vertical="center"/>
    </xf>
    <xf numFmtId="164" fontId="5" fillId="0" borderId="6" xfId="1" applyNumberFormat="1" applyBorder="1" applyAlignment="1">
      <alignment horizontal="center" vertical="center"/>
    </xf>
    <xf numFmtId="0" fontId="59" fillId="0" borderId="6" xfId="0" applyFont="1" applyBorder="1" applyAlignment="1">
      <alignment horizontal="justify" vertical="center" wrapText="1"/>
    </xf>
    <xf numFmtId="0" fontId="0" fillId="0" borderId="6" xfId="0" applyBorder="1" applyAlignment="1">
      <alignment horizontal="justify" vertical="center" wrapText="1"/>
    </xf>
    <xf numFmtId="0" fontId="4" fillId="0" borderId="6" xfId="0" applyFont="1" applyBorder="1" applyAlignment="1">
      <alignment horizontal="justify" vertical="center" wrapText="1"/>
    </xf>
    <xf numFmtId="0" fontId="22" fillId="0" borderId="6"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29" xfId="0" applyFont="1" applyBorder="1" applyAlignment="1">
      <alignment horizontal="justify" vertical="center" wrapText="1"/>
    </xf>
    <xf numFmtId="44" fontId="0" fillId="0" borderId="0" xfId="0" applyNumberFormat="1" applyAlignment="1">
      <alignment horizontal="center" wrapText="1"/>
    </xf>
    <xf numFmtId="168" fontId="5" fillId="0" borderId="29" xfId="1" applyNumberFormat="1" applyBorder="1" applyAlignment="1">
      <alignment vertical="center"/>
    </xf>
    <xf numFmtId="164" fontId="5" fillId="0" borderId="29" xfId="1" applyNumberFormat="1" applyBorder="1" applyAlignment="1">
      <alignment horizontal="center" vertical="center"/>
    </xf>
    <xf numFmtId="0" fontId="51" fillId="15" borderId="6" xfId="0" applyFont="1" applyFill="1" applyBorder="1" applyAlignment="1">
      <alignment horizontal="justify" vertical="center"/>
    </xf>
    <xf numFmtId="0" fontId="5" fillId="0" borderId="42" xfId="1" applyBorder="1" applyAlignment="1">
      <alignment horizontal="center" vertical="center"/>
    </xf>
    <xf numFmtId="168" fontId="5" fillId="0" borderId="42" xfId="1" applyNumberFormat="1" applyBorder="1" applyAlignment="1">
      <alignment vertical="center"/>
    </xf>
    <xf numFmtId="164" fontId="5" fillId="0" borderId="42" xfId="1" applyNumberFormat="1" applyBorder="1" applyAlignment="1">
      <alignment horizontal="center" vertical="center"/>
    </xf>
    <xf numFmtId="0" fontId="30" fillId="0" borderId="0" xfId="1" applyFont="1"/>
    <xf numFmtId="0" fontId="30" fillId="0" borderId="0" xfId="1" applyFont="1" applyAlignment="1">
      <alignment horizontal="center" vertical="center"/>
    </xf>
    <xf numFmtId="0" fontId="65" fillId="0" borderId="0" xfId="0" applyFont="1" applyAlignment="1">
      <alignment horizontal="center" vertical="center" wrapText="1"/>
    </xf>
    <xf numFmtId="44" fontId="68" fillId="0" borderId="0" xfId="0" applyNumberFormat="1" applyFont="1" applyAlignment="1">
      <alignment vertical="center"/>
    </xf>
    <xf numFmtId="0" fontId="60" fillId="0" borderId="0" xfId="1" applyFont="1" applyAlignment="1">
      <alignment horizontal="center" vertical="center" wrapText="1"/>
    </xf>
    <xf numFmtId="0" fontId="30" fillId="0" borderId="0" xfId="1" applyFont="1" applyAlignment="1">
      <alignment vertical="center"/>
    </xf>
    <xf numFmtId="0" fontId="70" fillId="27" borderId="44" xfId="0" applyFont="1" applyFill="1" applyBorder="1" applyAlignment="1">
      <alignment horizontal="center" vertical="center" wrapText="1"/>
    </xf>
    <xf numFmtId="0" fontId="70" fillId="27" borderId="45" xfId="0" applyFont="1" applyFill="1" applyBorder="1" applyAlignment="1">
      <alignment horizontal="center" vertical="center" wrapText="1"/>
    </xf>
    <xf numFmtId="0" fontId="70" fillId="27" borderId="48" xfId="0" applyFont="1" applyFill="1" applyBorder="1" applyAlignment="1">
      <alignment horizontal="center" vertical="center" wrapText="1"/>
    </xf>
    <xf numFmtId="0" fontId="60" fillId="15" borderId="6" xfId="1" applyFont="1" applyFill="1" applyBorder="1" applyAlignment="1">
      <alignment horizontal="center" vertical="center" wrapText="1"/>
    </xf>
    <xf numFmtId="0" fontId="30" fillId="15" borderId="0" xfId="1" applyFont="1" applyFill="1"/>
    <xf numFmtId="0" fontId="60" fillId="15" borderId="7" xfId="1" applyFont="1" applyFill="1" applyBorder="1" applyAlignment="1">
      <alignment horizontal="center" vertical="center" wrapText="1"/>
    </xf>
    <xf numFmtId="0" fontId="60" fillId="15" borderId="0" xfId="1" applyFont="1" applyFill="1" applyAlignment="1">
      <alignment vertical="center"/>
    </xf>
    <xf numFmtId="0" fontId="60" fillId="15" borderId="0" xfId="1" applyFont="1" applyFill="1" applyAlignment="1">
      <alignment vertical="center" wrapText="1"/>
    </xf>
    <xf numFmtId="0" fontId="60" fillId="15" borderId="0" xfId="1" applyFont="1" applyFill="1" applyAlignment="1">
      <alignment horizontal="center" vertical="center" wrapText="1"/>
    </xf>
    <xf numFmtId="0" fontId="65" fillId="15" borderId="0" xfId="0" applyFont="1" applyFill="1" applyAlignment="1">
      <alignment horizontal="center" vertical="center" wrapText="1"/>
    </xf>
    <xf numFmtId="44" fontId="72" fillId="15" borderId="0" xfId="0" applyNumberFormat="1" applyFont="1" applyFill="1" applyAlignment="1">
      <alignment vertical="center" wrapText="1"/>
    </xf>
    <xf numFmtId="0" fontId="65" fillId="15" borderId="0" xfId="0" applyFont="1" applyFill="1" applyAlignment="1">
      <alignment vertical="center" wrapText="1"/>
    </xf>
    <xf numFmtId="44" fontId="68" fillId="15" borderId="0" xfId="0" applyNumberFormat="1" applyFont="1" applyFill="1" applyAlignment="1">
      <alignment vertical="center"/>
    </xf>
    <xf numFmtId="0" fontId="66" fillId="28" borderId="44" xfId="0" applyFont="1" applyFill="1" applyBorder="1" applyAlignment="1">
      <alignment horizontal="center" vertical="center" wrapText="1"/>
    </xf>
    <xf numFmtId="0" fontId="66" fillId="28" borderId="8" xfId="0" applyFont="1" applyFill="1" applyBorder="1" applyAlignment="1">
      <alignment horizontal="center" vertical="center" wrapText="1"/>
    </xf>
    <xf numFmtId="42" fontId="62" fillId="15" borderId="0" xfId="6" applyFont="1" applyFill="1" applyBorder="1" applyAlignment="1">
      <alignment horizontal="center" vertical="center"/>
    </xf>
    <xf numFmtId="44" fontId="24" fillId="15" borderId="0" xfId="0" applyNumberFormat="1" applyFont="1" applyFill="1" applyAlignment="1">
      <alignment horizontal="center" vertical="center" wrapText="1"/>
    </xf>
    <xf numFmtId="0" fontId="63" fillId="15" borderId="0" xfId="0" applyFont="1" applyFill="1" applyAlignment="1">
      <alignment vertical="center" wrapText="1"/>
    </xf>
    <xf numFmtId="44" fontId="63" fillId="0" borderId="0" xfId="5" applyFont="1" applyBorder="1" applyAlignment="1">
      <alignment vertical="center" wrapText="1"/>
    </xf>
    <xf numFmtId="0" fontId="63" fillId="0" borderId="0" xfId="0" applyFont="1" applyAlignment="1">
      <alignment vertical="center" wrapText="1"/>
    </xf>
    <xf numFmtId="0" fontId="64" fillId="0" borderId="0" xfId="0" applyFont="1" applyAlignment="1">
      <alignment horizontal="justify" vertical="center" wrapText="1"/>
    </xf>
    <xf numFmtId="0" fontId="62" fillId="15" borderId="0" xfId="7" applyFont="1" applyFill="1" applyAlignment="1" applyProtection="1">
      <alignment vertical="center" wrapText="1"/>
      <protection locked="0"/>
    </xf>
    <xf numFmtId="0" fontId="62" fillId="0" borderId="0" xfId="0" applyFont="1" applyAlignment="1">
      <alignment horizontal="left" vertical="center" wrapText="1"/>
    </xf>
    <xf numFmtId="0" fontId="70" fillId="15" borderId="8" xfId="0" applyFont="1" applyFill="1" applyBorder="1" applyAlignment="1">
      <alignment horizontal="center" vertical="center" wrapText="1"/>
    </xf>
    <xf numFmtId="0" fontId="0" fillId="0" borderId="22" xfId="0" applyBorder="1" applyAlignment="1">
      <alignment vertical="center" wrapText="1"/>
    </xf>
    <xf numFmtId="0" fontId="70" fillId="15" borderId="22" xfId="0" applyFont="1" applyFill="1" applyBorder="1" applyAlignment="1">
      <alignment horizontal="center" vertical="center" wrapText="1"/>
    </xf>
    <xf numFmtId="9" fontId="70" fillId="15" borderId="22" xfId="0" applyNumberFormat="1" applyFont="1" applyFill="1" applyBorder="1" applyAlignment="1">
      <alignment horizontal="center" vertical="center" wrapText="1"/>
    </xf>
    <xf numFmtId="44" fontId="66" fillId="26" borderId="22" xfId="5" applyFont="1" applyFill="1" applyBorder="1" applyAlignment="1">
      <alignment horizontal="center" vertical="center" wrapText="1"/>
    </xf>
    <xf numFmtId="6" fontId="0" fillId="10" borderId="22" xfId="0" applyNumberFormat="1" applyFill="1" applyBorder="1" applyAlignment="1">
      <alignment vertical="center"/>
    </xf>
    <xf numFmtId="6" fontId="67" fillId="26" borderId="22" xfId="5" applyNumberFormat="1" applyFont="1" applyFill="1" applyBorder="1" applyAlignment="1">
      <alignment horizontal="center" vertical="center" wrapText="1"/>
    </xf>
    <xf numFmtId="0" fontId="69" fillId="24" borderId="45" xfId="0" applyFont="1" applyFill="1" applyBorder="1" applyAlignment="1">
      <alignment horizontal="center" vertical="center" wrapText="1"/>
    </xf>
    <xf numFmtId="0" fontId="69" fillId="24" borderId="46" xfId="0" applyFont="1" applyFill="1" applyBorder="1" applyAlignment="1">
      <alignment horizontal="center" vertical="center" wrapText="1"/>
    </xf>
    <xf numFmtId="0" fontId="71" fillId="0" borderId="22" xfId="0" applyFont="1" applyBorder="1" applyAlignment="1">
      <alignment horizontal="center" vertical="center" wrapText="1"/>
    </xf>
    <xf numFmtId="9" fontId="67" fillId="25" borderId="43" xfId="4" applyFont="1" applyFill="1" applyBorder="1" applyAlignment="1">
      <alignment horizontal="center" vertical="center" wrapText="1"/>
    </xf>
    <xf numFmtId="0" fontId="0" fillId="0" borderId="22" xfId="0" applyBorder="1" applyAlignment="1">
      <alignment horizontal="center" vertical="center"/>
    </xf>
    <xf numFmtId="44" fontId="74" fillId="0" borderId="0" xfId="1" applyNumberFormat="1" applyFont="1" applyAlignment="1">
      <alignment horizontal="center" vertical="center" wrapText="1"/>
    </xf>
    <xf numFmtId="3" fontId="74" fillId="0" borderId="0" xfId="1" applyNumberFormat="1" applyFont="1" applyAlignment="1">
      <alignment horizontal="center" vertical="center" wrapText="1"/>
    </xf>
    <xf numFmtId="8" fontId="0" fillId="0" borderId="22" xfId="0" applyNumberFormat="1" applyBorder="1" applyAlignment="1">
      <alignment horizontal="center" vertical="center"/>
    </xf>
    <xf numFmtId="164" fontId="1" fillId="21" borderId="0" xfId="5" applyNumberFormat="1" applyFont="1" applyFill="1"/>
    <xf numFmtId="9" fontId="1" fillId="0" borderId="0" xfId="4" applyFont="1"/>
    <xf numFmtId="0" fontId="1" fillId="0" borderId="0" xfId="1" applyFont="1"/>
    <xf numFmtId="0" fontId="1" fillId="0" borderId="6" xfId="1" applyFont="1" applyBorder="1" applyAlignment="1">
      <alignment horizontal="center" vertical="center"/>
    </xf>
    <xf numFmtId="168" fontId="1" fillId="0" borderId="6" xfId="10" applyNumberFormat="1" applyFont="1" applyBorder="1" applyAlignment="1">
      <alignment horizontal="center" vertical="center"/>
    </xf>
    <xf numFmtId="168" fontId="1" fillId="0" borderId="29" xfId="10" applyNumberFormat="1" applyFont="1" applyBorder="1" applyAlignment="1">
      <alignment horizontal="center" vertical="center"/>
    </xf>
    <xf numFmtId="0" fontId="1" fillId="0" borderId="42" xfId="1" applyFont="1" applyBorder="1" applyAlignment="1">
      <alignment horizontal="center" vertical="center"/>
    </xf>
    <xf numFmtId="168" fontId="1" fillId="0" borderId="7" xfId="10" applyNumberFormat="1" applyFont="1" applyBorder="1" applyAlignment="1">
      <alignment horizontal="center" vertical="center"/>
    </xf>
    <xf numFmtId="0" fontId="1" fillId="0" borderId="6" xfId="1" applyFont="1" applyBorder="1" applyAlignment="1">
      <alignment horizontal="center"/>
    </xf>
    <xf numFmtId="164" fontId="1" fillId="0" borderId="6" xfId="1" applyNumberFormat="1" applyFont="1" applyBorder="1"/>
    <xf numFmtId="164" fontId="1" fillId="0" borderId="6" xfId="0" applyNumberFormat="1" applyFont="1" applyBorder="1"/>
    <xf numFmtId="44" fontId="1" fillId="0" borderId="6" xfId="0" applyNumberFormat="1" applyFont="1" applyBorder="1"/>
    <xf numFmtId="42" fontId="1" fillId="0" borderId="6" xfId="1" applyNumberFormat="1" applyFont="1" applyBorder="1"/>
    <xf numFmtId="0" fontId="0" fillId="0" borderId="28" xfId="0" applyBorder="1" applyAlignment="1">
      <alignment vertical="center" wrapText="1"/>
    </xf>
    <xf numFmtId="0" fontId="69" fillId="24" borderId="53" xfId="0" applyFont="1" applyFill="1" applyBorder="1" applyAlignment="1">
      <alignment horizontal="center" vertical="center" wrapText="1"/>
    </xf>
    <xf numFmtId="0" fontId="69" fillId="24" borderId="22" xfId="0" applyFont="1" applyFill="1" applyBorder="1" applyAlignment="1">
      <alignment horizontal="center" vertical="center" wrapText="1"/>
    </xf>
    <xf numFmtId="0" fontId="75" fillId="29" borderId="28" xfId="0" applyFont="1" applyFill="1" applyBorder="1" applyAlignment="1">
      <alignment horizontal="center" vertical="center" wrapText="1"/>
    </xf>
    <xf numFmtId="0" fontId="76" fillId="15" borderId="0" xfId="1" applyFont="1" applyFill="1" applyAlignment="1">
      <alignment vertical="center"/>
    </xf>
    <xf numFmtId="0" fontId="76" fillId="15" borderId="0" xfId="1" applyFont="1" applyFill="1" applyAlignment="1">
      <alignment vertical="center" wrapText="1"/>
    </xf>
    <xf numFmtId="0" fontId="76" fillId="15" borderId="0" xfId="1" applyFont="1" applyFill="1" applyAlignment="1">
      <alignment horizontal="center" vertical="center" wrapText="1"/>
    </xf>
    <xf numFmtId="0" fontId="76" fillId="0" borderId="0" xfId="1" applyFont="1" applyAlignment="1">
      <alignment horizontal="center" vertical="center" wrapText="1"/>
    </xf>
    <xf numFmtId="8" fontId="76" fillId="0" borderId="0" xfId="1" applyNumberFormat="1" applyFont="1" applyAlignment="1">
      <alignment horizontal="center" vertical="center" wrapText="1"/>
    </xf>
    <xf numFmtId="0" fontId="77" fillId="0" borderId="0" xfId="0" applyFont="1" applyAlignment="1">
      <alignment horizontal="left" vertical="center" wrapText="1"/>
    </xf>
    <xf numFmtId="0" fontId="78" fillId="0" borderId="0" xfId="1" applyFont="1"/>
    <xf numFmtId="44" fontId="77" fillId="15" borderId="0" xfId="0" applyNumberFormat="1" applyFont="1" applyFill="1" applyAlignment="1">
      <alignment vertical="center" wrapText="1"/>
    </xf>
    <xf numFmtId="44" fontId="79" fillId="0" borderId="0" xfId="5" applyFont="1" applyBorder="1" applyAlignment="1">
      <alignment vertical="center" wrapText="1"/>
    </xf>
    <xf numFmtId="0" fontId="77" fillId="15" borderId="0" xfId="7" applyFont="1" applyFill="1" applyAlignment="1" applyProtection="1">
      <alignment vertical="center" wrapText="1"/>
      <protection locked="0"/>
    </xf>
    <xf numFmtId="164" fontId="80" fillId="17" borderId="6" xfId="0" applyNumberFormat="1" applyFont="1" applyFill="1" applyBorder="1" applyAlignment="1">
      <alignment horizontal="center" vertical="center" wrapText="1"/>
    </xf>
    <xf numFmtId="44" fontId="76" fillId="0" borderId="0" xfId="1" applyNumberFormat="1" applyFont="1" applyAlignment="1">
      <alignment horizontal="center" vertical="center" wrapText="1"/>
    </xf>
    <xf numFmtId="44" fontId="30" fillId="0" borderId="0" xfId="1" applyNumberFormat="1" applyFont="1"/>
    <xf numFmtId="164" fontId="71" fillId="0" borderId="22" xfId="5" applyNumberFormat="1" applyFont="1" applyBorder="1" applyAlignment="1">
      <alignment horizontal="center" vertical="center"/>
    </xf>
    <xf numFmtId="164" fontId="60" fillId="0" borderId="0" xfId="1" applyNumberFormat="1" applyFont="1" applyAlignment="1">
      <alignment horizontal="center" vertical="center" wrapText="1"/>
    </xf>
    <xf numFmtId="164" fontId="68" fillId="27" borderId="47" xfId="0" applyNumberFormat="1" applyFont="1" applyFill="1" applyBorder="1" applyAlignment="1">
      <alignment vertical="center"/>
    </xf>
    <xf numFmtId="164" fontId="63" fillId="15" borderId="0" xfId="0" applyNumberFormat="1" applyFont="1" applyFill="1" applyAlignment="1">
      <alignment vertical="center" wrapText="1"/>
    </xf>
    <xf numFmtId="0" fontId="69" fillId="24" borderId="28" xfId="0" applyFont="1" applyFill="1" applyBorder="1" applyAlignment="1">
      <alignment horizontal="center" vertical="center" wrapText="1"/>
    </xf>
    <xf numFmtId="0" fontId="75" fillId="29" borderId="27" xfId="0" applyFont="1" applyFill="1" applyBorder="1" applyAlignment="1">
      <alignment horizontal="center" vertical="center" wrapText="1"/>
    </xf>
    <xf numFmtId="6" fontId="71" fillId="11" borderId="22" xfId="6" applyNumberFormat="1" applyFont="1" applyFill="1" applyBorder="1" applyAlignment="1">
      <alignment vertical="center"/>
    </xf>
    <xf numFmtId="6" fontId="72" fillId="25" borderId="47" xfId="0" applyNumberFormat="1" applyFont="1" applyFill="1" applyBorder="1" applyAlignment="1">
      <alignment horizontal="center" vertical="center" wrapText="1"/>
    </xf>
    <xf numFmtId="0" fontId="26" fillId="15" borderId="6" xfId="0" applyFont="1" applyFill="1" applyBorder="1" applyAlignment="1" applyProtection="1">
      <alignment horizontal="center" vertical="center" wrapText="1"/>
      <protection locked="0"/>
    </xf>
    <xf numFmtId="0" fontId="26" fillId="15" borderId="6" xfId="0" applyFont="1" applyFill="1" applyBorder="1" applyAlignment="1" applyProtection="1">
      <alignment horizontal="left" vertical="center" wrapText="1"/>
      <protection locked="0"/>
    </xf>
    <xf numFmtId="0" fontId="0" fillId="0" borderId="6" xfId="0" applyBorder="1" applyAlignment="1" applyProtection="1">
      <alignment vertical="center" wrapText="1"/>
      <protection locked="0"/>
    </xf>
    <xf numFmtId="0" fontId="7" fillId="0" borderId="6" xfId="0" applyFont="1" applyBorder="1" applyAlignment="1" applyProtection="1">
      <alignment horizontal="center" vertical="center" wrapText="1"/>
      <protection locked="0"/>
    </xf>
    <xf numFmtId="44" fontId="3" fillId="30" borderId="6" xfId="5" applyFont="1" applyFill="1" applyBorder="1" applyAlignment="1">
      <alignment vertical="center" wrapText="1"/>
    </xf>
    <xf numFmtId="0" fontId="7" fillId="0" borderId="32" xfId="0" applyFont="1" applyBorder="1" applyAlignment="1">
      <alignment horizontal="center" vertical="center" wrapText="1"/>
    </xf>
    <xf numFmtId="0" fontId="7" fillId="0" borderId="0" xfId="0" applyFont="1" applyAlignment="1">
      <alignment horizontal="center" vertical="center" wrapText="1"/>
    </xf>
    <xf numFmtId="0" fontId="7" fillId="0" borderId="34" xfId="0" applyFont="1" applyBorder="1" applyAlignment="1">
      <alignment horizontal="center" vertical="center" wrapText="1"/>
    </xf>
    <xf numFmtId="0" fontId="0" fillId="0" borderId="6" xfId="0" applyBorder="1" applyAlignment="1">
      <alignment horizontal="center" vertical="center" wrapText="1"/>
    </xf>
    <xf numFmtId="0" fontId="17" fillId="2" borderId="23" xfId="1" applyFont="1" applyFill="1" applyBorder="1" applyAlignment="1">
      <alignment horizontal="center" vertical="center"/>
    </xf>
    <xf numFmtId="0" fontId="17" fillId="2" borderId="33" xfId="1" applyFont="1" applyFill="1" applyBorder="1" applyAlignment="1">
      <alignment horizontal="center" vertical="center"/>
    </xf>
    <xf numFmtId="0" fontId="17" fillId="2" borderId="24" xfId="1" applyFont="1" applyFill="1" applyBorder="1" applyAlignment="1">
      <alignment horizontal="center" vertical="center"/>
    </xf>
    <xf numFmtId="0" fontId="17" fillId="2" borderId="25" xfId="1" applyFont="1" applyFill="1" applyBorder="1" applyAlignment="1">
      <alignment horizontal="center" vertical="center"/>
    </xf>
    <xf numFmtId="0" fontId="18" fillId="6" borderId="26" xfId="1" applyFont="1" applyFill="1" applyBorder="1" applyAlignment="1">
      <alignment horizontal="center" vertical="center"/>
    </xf>
    <xf numFmtId="0" fontId="18" fillId="6" borderId="27" xfId="1" applyFont="1" applyFill="1" applyBorder="1" applyAlignment="1">
      <alignment horizontal="center" vertical="center"/>
    </xf>
    <xf numFmtId="0" fontId="18" fillId="6" borderId="28" xfId="1" applyFont="1" applyFill="1" applyBorder="1" applyAlignment="1">
      <alignment horizontal="center" vertical="center"/>
    </xf>
    <xf numFmtId="0" fontId="18" fillId="8" borderId="26" xfId="1" applyFont="1" applyFill="1" applyBorder="1" applyAlignment="1">
      <alignment horizontal="center" vertical="center"/>
    </xf>
    <xf numFmtId="0" fontId="18" fillId="8" borderId="27" xfId="1" applyFont="1" applyFill="1" applyBorder="1" applyAlignment="1">
      <alignment horizontal="center" vertical="center"/>
    </xf>
    <xf numFmtId="0" fontId="18" fillId="8" borderId="28" xfId="1" applyFont="1" applyFill="1" applyBorder="1" applyAlignment="1">
      <alignment horizontal="center" vertical="center"/>
    </xf>
    <xf numFmtId="0" fontId="18" fillId="10" borderId="26" xfId="1" applyFont="1" applyFill="1" applyBorder="1" applyAlignment="1">
      <alignment horizontal="center" vertical="center"/>
    </xf>
    <xf numFmtId="0" fontId="18" fillId="10" borderId="27" xfId="1" applyFont="1" applyFill="1" applyBorder="1" applyAlignment="1">
      <alignment horizontal="center" vertical="center"/>
    </xf>
    <xf numFmtId="0" fontId="18" fillId="10" borderId="28" xfId="1" applyFont="1" applyFill="1" applyBorder="1" applyAlignment="1">
      <alignment horizontal="center" vertical="center"/>
    </xf>
    <xf numFmtId="0" fontId="18" fillId="12" borderId="1" xfId="1" applyFont="1" applyFill="1" applyBorder="1" applyAlignment="1">
      <alignment horizontal="center" vertical="center"/>
    </xf>
    <xf numFmtId="0" fontId="18" fillId="12" borderId="0" xfId="1" applyFont="1" applyFill="1" applyAlignment="1">
      <alignment horizontal="center" vertical="center"/>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0" fillId="0" borderId="13" xfId="0" applyBorder="1" applyAlignment="1">
      <alignment horizontal="center" vertical="center" wrapText="1"/>
    </xf>
    <xf numFmtId="44" fontId="0" fillId="0" borderId="29" xfId="5" applyFont="1" applyBorder="1" applyAlignment="1">
      <alignment horizontal="center" vertical="center" wrapText="1"/>
    </xf>
    <xf numFmtId="44" fontId="0" fillId="0" borderId="37" xfId="5" applyFont="1" applyBorder="1" applyAlignment="1">
      <alignment horizontal="center" vertical="center" wrapText="1"/>
    </xf>
    <xf numFmtId="44" fontId="0" fillId="0" borderId="13" xfId="5" applyFont="1" applyBorder="1" applyAlignment="1">
      <alignment horizontal="center" vertical="center" wrapText="1"/>
    </xf>
    <xf numFmtId="0" fontId="0" fillId="0" borderId="29" xfId="0" applyBorder="1" applyAlignment="1">
      <alignment horizontal="left" vertical="center" wrapText="1"/>
    </xf>
    <xf numFmtId="0" fontId="0" fillId="0" borderId="37" xfId="0" applyBorder="1" applyAlignment="1">
      <alignment horizontal="left" vertical="center" wrapText="1"/>
    </xf>
    <xf numFmtId="0" fontId="0" fillId="0" borderId="13" xfId="0" applyBorder="1" applyAlignment="1">
      <alignment horizontal="left" vertical="center" wrapText="1"/>
    </xf>
    <xf numFmtId="0" fontId="0" fillId="21" borderId="29" xfId="0" applyFill="1" applyBorder="1" applyAlignment="1">
      <alignment horizontal="center" vertical="center" wrapText="1"/>
    </xf>
    <xf numFmtId="0" fontId="0" fillId="21" borderId="37" xfId="0" applyFill="1" applyBorder="1" applyAlignment="1">
      <alignment horizontal="center" vertical="center" wrapText="1"/>
    </xf>
    <xf numFmtId="0" fontId="0" fillId="21" borderId="13" xfId="0" applyFill="1" applyBorder="1" applyAlignment="1">
      <alignment horizontal="center" vertical="center" wrapText="1"/>
    </xf>
    <xf numFmtId="0" fontId="56" fillId="21" borderId="29" xfId="0" applyFont="1" applyFill="1" applyBorder="1" applyAlignment="1">
      <alignment horizontal="center" vertical="center" wrapText="1"/>
    </xf>
    <xf numFmtId="0" fontId="56" fillId="21" borderId="37" xfId="0" applyFont="1" applyFill="1" applyBorder="1" applyAlignment="1">
      <alignment horizontal="center" vertical="center" wrapText="1"/>
    </xf>
    <xf numFmtId="0" fontId="56" fillId="21" borderId="13" xfId="0" applyFont="1" applyFill="1" applyBorder="1" applyAlignment="1">
      <alignment horizontal="center" vertical="center" wrapText="1"/>
    </xf>
    <xf numFmtId="0" fontId="56" fillId="0" borderId="29" xfId="0" applyFont="1" applyBorder="1" applyAlignment="1">
      <alignment horizontal="center" vertical="center" wrapText="1"/>
    </xf>
    <xf numFmtId="0" fontId="56" fillId="0" borderId="37" xfId="0" applyFont="1" applyBorder="1" applyAlignment="1">
      <alignment horizontal="center" vertical="center" wrapText="1"/>
    </xf>
    <xf numFmtId="0" fontId="56" fillId="0" borderId="13" xfId="0" applyFont="1" applyBorder="1" applyAlignment="1">
      <alignment horizontal="center" vertical="center" wrapText="1"/>
    </xf>
    <xf numFmtId="44" fontId="0" fillId="0" borderId="29" xfId="5" applyFont="1" applyFill="1" applyBorder="1" applyAlignment="1">
      <alignment horizontal="center" vertical="center" wrapText="1"/>
    </xf>
    <xf numFmtId="44" fontId="0" fillId="0" borderId="37" xfId="5" applyFont="1" applyFill="1" applyBorder="1" applyAlignment="1">
      <alignment horizontal="center" vertical="center" wrapText="1"/>
    </xf>
    <xf numFmtId="44" fontId="0" fillId="0" borderId="13" xfId="5" applyFont="1" applyFill="1" applyBorder="1" applyAlignment="1">
      <alignment horizontal="center" vertical="center" wrapText="1"/>
    </xf>
    <xf numFmtId="0" fontId="4" fillId="15" borderId="31" xfId="7" applyFont="1" applyFill="1" applyBorder="1" applyAlignment="1" applyProtection="1">
      <alignment horizontal="center" vertical="center" wrapText="1"/>
      <protection locked="0"/>
    </xf>
    <xf numFmtId="0" fontId="4" fillId="15" borderId="32" xfId="7" applyFont="1" applyFill="1" applyBorder="1" applyAlignment="1" applyProtection="1">
      <alignment horizontal="center" vertical="center" wrapText="1"/>
      <protection locked="0"/>
    </xf>
    <xf numFmtId="0" fontId="4" fillId="0" borderId="7" xfId="1" applyFont="1" applyBorder="1" applyAlignment="1">
      <alignment horizontal="center" vertical="center"/>
    </xf>
    <xf numFmtId="0" fontId="4" fillId="0" borderId="2" xfId="1" applyFont="1" applyBorder="1" applyAlignment="1">
      <alignment horizontal="center" vertical="center"/>
    </xf>
    <xf numFmtId="0" fontId="4" fillId="0" borderId="12" xfId="1" applyFont="1" applyBorder="1" applyAlignment="1">
      <alignment horizontal="center" vertical="center"/>
    </xf>
    <xf numFmtId="0" fontId="32" fillId="0" borderId="6" xfId="1" applyFont="1" applyBorder="1" applyAlignment="1">
      <alignment horizontal="center" vertical="center"/>
    </xf>
    <xf numFmtId="0" fontId="32" fillId="0" borderId="7" xfId="1" applyFont="1" applyBorder="1" applyAlignment="1">
      <alignment horizontal="center" vertical="center"/>
    </xf>
    <xf numFmtId="0" fontId="14" fillId="5" borderId="20" xfId="0" applyFont="1" applyFill="1" applyBorder="1" applyAlignment="1">
      <alignment horizontal="center" vertical="center"/>
    </xf>
    <xf numFmtId="0" fontId="11" fillId="0" borderId="21" xfId="0" applyFont="1" applyBorder="1"/>
    <xf numFmtId="0" fontId="13" fillId="0" borderId="3" xfId="0" applyFont="1" applyBorder="1" applyAlignment="1">
      <alignment horizontal="center"/>
    </xf>
    <xf numFmtId="0" fontId="11" fillId="0" borderId="4" xfId="0" applyFont="1" applyBorder="1"/>
    <xf numFmtId="0" fontId="11" fillId="0" borderId="5" xfId="0" applyFont="1" applyBorder="1"/>
    <xf numFmtId="0" fontId="14" fillId="5" borderId="15" xfId="0" applyFont="1" applyFill="1" applyBorder="1" applyAlignment="1">
      <alignment horizontal="center" vertical="center"/>
    </xf>
    <xf numFmtId="0" fontId="14" fillId="5" borderId="0" xfId="0" applyFont="1" applyFill="1" applyAlignment="1">
      <alignment horizontal="center" vertical="center"/>
    </xf>
    <xf numFmtId="0" fontId="15" fillId="0" borderId="3" xfId="0" applyFont="1" applyBorder="1" applyAlignment="1">
      <alignment horizontal="left" vertical="center"/>
    </xf>
    <xf numFmtId="0" fontId="14" fillId="5" borderId="3" xfId="0" applyFont="1" applyFill="1" applyBorder="1" applyAlignment="1">
      <alignment horizontal="center" vertical="center"/>
    </xf>
    <xf numFmtId="0" fontId="13" fillId="0" borderId="3" xfId="0" applyFont="1" applyBorder="1" applyAlignment="1">
      <alignment horizontal="center" vertical="center"/>
    </xf>
    <xf numFmtId="0" fontId="11" fillId="0" borderId="18" xfId="0" applyFont="1" applyBorder="1"/>
    <xf numFmtId="0" fontId="13" fillId="0" borderId="3" xfId="0" applyFont="1" applyBorder="1" applyAlignment="1">
      <alignment horizontal="left" vertical="center"/>
    </xf>
    <xf numFmtId="0" fontId="10" fillId="0" borderId="3" xfId="0" applyFont="1" applyBorder="1" applyAlignment="1">
      <alignment horizontal="center"/>
    </xf>
    <xf numFmtId="0" fontId="12" fillId="0" borderId="3" xfId="0" applyFont="1" applyBorder="1" applyAlignment="1">
      <alignment horizontal="center"/>
    </xf>
    <xf numFmtId="0" fontId="13" fillId="0" borderId="14" xfId="0" applyFont="1" applyBorder="1" applyAlignment="1">
      <alignment horizontal="center" vertical="center"/>
    </xf>
    <xf numFmtId="0" fontId="11" fillId="0" borderId="15" xfId="0" applyFont="1" applyBorder="1"/>
    <xf numFmtId="0" fontId="11" fillId="0" borderId="16" xfId="0" applyFont="1" applyBorder="1"/>
    <xf numFmtId="0" fontId="11" fillId="0" borderId="17" xfId="0" applyFont="1" applyBorder="1"/>
    <xf numFmtId="0" fontId="11" fillId="0" borderId="11" xfId="0" applyFont="1" applyBorder="1"/>
    <xf numFmtId="0" fontId="20" fillId="0" borderId="3" xfId="0" applyFont="1" applyBorder="1" applyAlignment="1">
      <alignment horizontal="left" vertical="center" wrapText="1"/>
    </xf>
    <xf numFmtId="0" fontId="21" fillId="0" borderId="4" xfId="0" applyFont="1" applyBorder="1"/>
    <xf numFmtId="0" fontId="21" fillId="0" borderId="5" xfId="0" applyFont="1" applyBorder="1"/>
    <xf numFmtId="0" fontId="13" fillId="0" borderId="3" xfId="0" applyFont="1" applyBorder="1" applyAlignment="1">
      <alignment horizontal="left" vertical="center" wrapText="1"/>
    </xf>
    <xf numFmtId="0" fontId="7" fillId="0" borderId="0" xfId="0" applyFont="1" applyAlignment="1">
      <alignment horizontal="center"/>
    </xf>
    <xf numFmtId="0" fontId="0" fillId="0" borderId="0" xfId="0" applyAlignment="1">
      <alignment horizontal="center" vertical="center" wrapText="1"/>
    </xf>
    <xf numFmtId="0" fontId="4" fillId="0" borderId="7"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2" xfId="0" applyFont="1" applyBorder="1" applyAlignment="1">
      <alignment horizontal="center" vertical="center" wrapText="1"/>
    </xf>
    <xf numFmtId="0" fontId="55" fillId="19" borderId="8" xfId="0" applyFont="1" applyFill="1" applyBorder="1" applyAlignment="1">
      <alignment horizontal="center" vertical="center" wrapText="1"/>
    </xf>
    <xf numFmtId="0" fontId="55" fillId="19" borderId="1" xfId="0" applyFont="1" applyFill="1" applyBorder="1" applyAlignment="1">
      <alignment horizontal="center" vertical="center" wrapText="1"/>
    </xf>
    <xf numFmtId="0" fontId="55" fillId="19" borderId="9" xfId="0" applyFont="1" applyFill="1" applyBorder="1" applyAlignment="1">
      <alignment horizontal="center" vertical="center" wrapText="1"/>
    </xf>
    <xf numFmtId="0" fontId="55" fillId="19" borderId="0" xfId="0" applyFont="1" applyFill="1" applyAlignment="1">
      <alignment horizontal="center" vertical="center" wrapText="1"/>
    </xf>
    <xf numFmtId="0" fontId="55" fillId="19" borderId="0" xfId="0" applyFont="1" applyFill="1" applyAlignment="1">
      <alignment horizontal="center" wrapText="1"/>
    </xf>
    <xf numFmtId="0" fontId="55" fillId="19" borderId="10" xfId="0" applyFont="1" applyFill="1" applyBorder="1" applyAlignment="1">
      <alignment horizontal="center"/>
    </xf>
    <xf numFmtId="0" fontId="54" fillId="19" borderId="1" xfId="0" applyFont="1" applyFill="1" applyBorder="1" applyAlignment="1">
      <alignment horizontal="center" wrapText="1"/>
    </xf>
    <xf numFmtId="0" fontId="7" fillId="0" borderId="31"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6" xfId="0" applyFont="1" applyBorder="1" applyAlignment="1">
      <alignment horizontal="center" vertical="center" wrapText="1"/>
    </xf>
    <xf numFmtId="0" fontId="19" fillId="0" borderId="31" xfId="9" applyFont="1" applyBorder="1" applyAlignment="1">
      <alignment horizontal="left" vertical="top" wrapText="1"/>
    </xf>
    <xf numFmtId="0" fontId="19" fillId="0" borderId="32" xfId="9" applyFont="1" applyBorder="1" applyAlignment="1">
      <alignment horizontal="left" vertical="top" wrapText="1"/>
    </xf>
    <xf numFmtId="0" fontId="19" fillId="0" borderId="30" xfId="9" applyFont="1" applyBorder="1" applyAlignment="1">
      <alignment horizontal="left" vertical="top" wrapText="1"/>
    </xf>
    <xf numFmtId="0" fontId="18"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28" xfId="0" applyFont="1" applyBorder="1" applyAlignment="1">
      <alignment horizontal="center" vertical="center" wrapText="1"/>
    </xf>
    <xf numFmtId="0" fontId="18" fillId="9" borderId="26" xfId="0" applyFont="1" applyFill="1" applyBorder="1" applyAlignment="1">
      <alignment horizontal="center" wrapText="1"/>
    </xf>
    <xf numFmtId="0" fontId="18" fillId="9" borderId="27" xfId="0" applyFont="1" applyFill="1" applyBorder="1" applyAlignment="1">
      <alignment horizontal="center" wrapText="1"/>
    </xf>
    <xf numFmtId="0" fontId="18" fillId="9" borderId="28" xfId="0" applyFont="1" applyFill="1" applyBorder="1" applyAlignment="1">
      <alignment horizontal="center" wrapText="1"/>
    </xf>
    <xf numFmtId="0" fontId="0" fillId="0" borderId="6" xfId="0" applyBorder="1" applyAlignment="1">
      <alignment horizontal="left" vertical="center" wrapText="1"/>
    </xf>
    <xf numFmtId="0" fontId="7" fillId="0" borderId="6" xfId="0" applyFont="1" applyBorder="1" applyAlignment="1">
      <alignment horizontal="center" vertical="center" wrapText="1"/>
    </xf>
    <xf numFmtId="44" fontId="0" fillId="0" borderId="6" xfId="5" applyFont="1" applyBorder="1" applyAlignment="1">
      <alignment vertical="center" wrapText="1"/>
    </xf>
    <xf numFmtId="0" fontId="7" fillId="0" borderId="6" xfId="0" applyFont="1" applyBorder="1" applyAlignment="1">
      <alignment horizontal="left" vertical="center" wrapText="1"/>
    </xf>
    <xf numFmtId="0" fontId="7" fillId="0" borderId="6" xfId="0" applyFont="1" applyBorder="1" applyAlignment="1">
      <alignment horizontal="justify" vertical="center" wrapText="1"/>
    </xf>
    <xf numFmtId="44" fontId="7" fillId="0" borderId="6" xfId="5" applyFont="1" applyBorder="1" applyAlignment="1">
      <alignment horizontal="center" vertical="center" wrapText="1"/>
    </xf>
    <xf numFmtId="0" fontId="7" fillId="0" borderId="29" xfId="0" applyFont="1" applyBorder="1" applyAlignment="1">
      <alignment horizontal="justify" vertical="center" wrapText="1"/>
    </xf>
    <xf numFmtId="0" fontId="7" fillId="0" borderId="37" xfId="0" applyFont="1" applyBorder="1" applyAlignment="1">
      <alignment horizontal="justify" vertical="center" wrapText="1"/>
    </xf>
    <xf numFmtId="0" fontId="7" fillId="0" borderId="13" xfId="0" applyFont="1" applyBorder="1" applyAlignment="1">
      <alignment horizontal="justify" vertical="center" wrapText="1"/>
    </xf>
    <xf numFmtId="44" fontId="7" fillId="0" borderId="29" xfId="5" applyFont="1" applyBorder="1" applyAlignment="1">
      <alignment horizontal="center" vertical="center" wrapText="1"/>
    </xf>
    <xf numFmtId="0" fontId="29" fillId="15" borderId="6" xfId="7" applyFont="1" applyFill="1" applyBorder="1" applyAlignment="1" applyProtection="1">
      <alignment horizontal="justify" vertical="center" wrapText="1"/>
      <protection locked="0"/>
    </xf>
    <xf numFmtId="0" fontId="7" fillId="0" borderId="29" xfId="0" applyFont="1" applyBorder="1" applyAlignment="1">
      <alignment horizontal="center" vertical="center" wrapText="1"/>
    </xf>
    <xf numFmtId="44" fontId="0" fillId="0" borderId="6" xfId="5" applyFont="1" applyBorder="1" applyAlignment="1">
      <alignment horizontal="center" vertical="center" wrapText="1"/>
    </xf>
    <xf numFmtId="166" fontId="48" fillId="0" borderId="20" xfId="8" applyNumberFormat="1" applyFont="1" applyBorder="1" applyAlignment="1">
      <alignment horizontal="left" vertical="center" shrinkToFit="1"/>
    </xf>
    <xf numFmtId="166" fontId="48" fillId="0" borderId="39" xfId="8" applyNumberFormat="1" applyFont="1" applyBorder="1" applyAlignment="1">
      <alignment horizontal="left" vertical="center" shrinkToFit="1"/>
    </xf>
    <xf numFmtId="166" fontId="48" fillId="0" borderId="21" xfId="8" applyNumberFormat="1" applyFont="1" applyBorder="1" applyAlignment="1">
      <alignment horizontal="left" vertical="center" shrinkToFit="1"/>
    </xf>
    <xf numFmtId="0" fontId="41" fillId="0" borderId="20" xfId="8" applyFont="1" applyBorder="1" applyAlignment="1">
      <alignment horizontal="left" vertical="center" wrapText="1" indent="1"/>
    </xf>
    <xf numFmtId="0" fontId="41" fillId="0" borderId="39" xfId="8" applyFont="1" applyBorder="1" applyAlignment="1">
      <alignment horizontal="left" vertical="center" wrapText="1" indent="1"/>
    </xf>
    <xf numFmtId="1" fontId="43" fillId="0" borderId="20" xfId="8" applyNumberFormat="1" applyFont="1" applyBorder="1" applyAlignment="1">
      <alignment horizontal="center" vertical="center" shrinkToFit="1"/>
    </xf>
    <xf numFmtId="1" fontId="43" fillId="0" borderId="39" xfId="8" applyNumberFormat="1" applyFont="1" applyBorder="1" applyAlignment="1">
      <alignment horizontal="center" vertical="center" shrinkToFit="1"/>
    </xf>
    <xf numFmtId="1" fontId="43" fillId="0" borderId="21" xfId="8" applyNumberFormat="1" applyFont="1" applyBorder="1" applyAlignment="1">
      <alignment horizontal="center" vertical="center" shrinkToFit="1"/>
    </xf>
    <xf numFmtId="0" fontId="35" fillId="0" borderId="20" xfId="8" applyFont="1" applyBorder="1" applyAlignment="1">
      <alignment horizontal="left" vertical="center" wrapText="1"/>
    </xf>
    <xf numFmtId="0" fontId="35" fillId="0" borderId="39" xfId="8" applyFont="1" applyBorder="1" applyAlignment="1">
      <alignment horizontal="left" vertical="center" wrapText="1"/>
    </xf>
    <xf numFmtId="0" fontId="35" fillId="0" borderId="21" xfId="8" applyFont="1" applyBorder="1" applyAlignment="1">
      <alignment horizontal="left" vertical="center" wrapText="1"/>
    </xf>
    <xf numFmtId="1" fontId="48" fillId="0" borderId="20" xfId="8" applyNumberFormat="1" applyFont="1" applyBorder="1" applyAlignment="1">
      <alignment horizontal="center" vertical="center" shrinkToFit="1"/>
    </xf>
    <xf numFmtId="1" fontId="48" fillId="0" borderId="39" xfId="8" applyNumberFormat="1" applyFont="1" applyBorder="1" applyAlignment="1">
      <alignment horizontal="center" vertical="center" shrinkToFit="1"/>
    </xf>
    <xf numFmtId="1" fontId="48" fillId="0" borderId="21" xfId="8" applyNumberFormat="1" applyFont="1" applyBorder="1" applyAlignment="1">
      <alignment horizontal="center" vertical="center" shrinkToFit="1"/>
    </xf>
    <xf numFmtId="1" fontId="43" fillId="0" borderId="39" xfId="8" applyNumberFormat="1" applyFont="1" applyBorder="1" applyAlignment="1">
      <alignment horizontal="center" vertical="top" shrinkToFit="1"/>
    </xf>
    <xf numFmtId="1" fontId="43" fillId="0" borderId="21" xfId="8" applyNumberFormat="1" applyFont="1" applyBorder="1" applyAlignment="1">
      <alignment horizontal="center" vertical="top" shrinkToFit="1"/>
    </xf>
    <xf numFmtId="0" fontId="35" fillId="0" borderId="39" xfId="8" applyFont="1" applyBorder="1" applyAlignment="1">
      <alignment horizontal="left" vertical="top" wrapText="1"/>
    </xf>
    <xf numFmtId="0" fontId="35" fillId="0" borderId="21" xfId="8" applyFont="1" applyBorder="1" applyAlignment="1">
      <alignment horizontal="left" vertical="top" wrapText="1"/>
    </xf>
    <xf numFmtId="1" fontId="48" fillId="0" borderId="39" xfId="8" applyNumberFormat="1" applyFont="1" applyBorder="1" applyAlignment="1">
      <alignment horizontal="center" vertical="top" shrinkToFit="1"/>
    </xf>
    <xf numFmtId="1" fontId="48" fillId="0" borderId="21" xfId="8" applyNumberFormat="1" applyFont="1" applyBorder="1" applyAlignment="1">
      <alignment horizontal="center" vertical="top" shrinkToFit="1"/>
    </xf>
    <xf numFmtId="166" fontId="48" fillId="0" borderId="39" xfId="8" applyNumberFormat="1" applyFont="1" applyBorder="1" applyAlignment="1">
      <alignment horizontal="left" vertical="top" shrinkToFit="1"/>
    </xf>
    <xf numFmtId="166" fontId="48" fillId="0" borderId="21" xfId="8" applyNumberFormat="1" applyFont="1" applyBorder="1" applyAlignment="1">
      <alignment horizontal="left" vertical="top" shrinkToFit="1"/>
    </xf>
    <xf numFmtId="0" fontId="41" fillId="0" borderId="21" xfId="8" applyFont="1" applyBorder="1" applyAlignment="1">
      <alignment horizontal="left" vertical="center" wrapText="1" indent="1"/>
    </xf>
    <xf numFmtId="0" fontId="35" fillId="0" borderId="20" xfId="8" applyFont="1" applyBorder="1" applyAlignment="1">
      <alignment horizontal="center" vertical="center" wrapText="1"/>
    </xf>
    <xf numFmtId="0" fontId="35" fillId="0" borderId="39" xfId="8" applyFont="1" applyBorder="1" applyAlignment="1">
      <alignment horizontal="center" vertical="center" wrapText="1"/>
    </xf>
    <xf numFmtId="0" fontId="35" fillId="0" borderId="21" xfId="8" applyFont="1" applyBorder="1" applyAlignment="1">
      <alignment horizontal="center" vertical="center" wrapText="1"/>
    </xf>
    <xf numFmtId="166" fontId="48" fillId="0" borderId="20" xfId="8" applyNumberFormat="1" applyFont="1" applyBorder="1" applyAlignment="1">
      <alignment horizontal="center" vertical="center" shrinkToFit="1"/>
    </xf>
    <xf numFmtId="166" fontId="48" fillId="0" borderId="39" xfId="8" applyNumberFormat="1" applyFont="1" applyBorder="1" applyAlignment="1">
      <alignment horizontal="center" vertical="center" shrinkToFit="1"/>
    </xf>
    <xf numFmtId="166" fontId="48" fillId="0" borderId="21" xfId="8" applyNumberFormat="1" applyFont="1" applyBorder="1" applyAlignment="1">
      <alignment horizontal="center" vertical="center" shrinkToFit="1"/>
    </xf>
    <xf numFmtId="0" fontId="33" fillId="0" borderId="20" xfId="8" applyBorder="1" applyAlignment="1">
      <alignment horizontal="left" vertical="top" wrapText="1"/>
    </xf>
    <xf numFmtId="0" fontId="33" fillId="0" borderId="39" xfId="8" applyBorder="1" applyAlignment="1">
      <alignment horizontal="left" vertical="top" wrapText="1"/>
    </xf>
    <xf numFmtId="0" fontId="34" fillId="0" borderId="3" xfId="8" applyFont="1" applyBorder="1" applyAlignment="1">
      <alignment horizontal="right" vertical="top" wrapText="1"/>
    </xf>
    <xf numFmtId="0" fontId="34" fillId="0" borderId="4" xfId="8" applyFont="1" applyBorder="1" applyAlignment="1">
      <alignment horizontal="right" vertical="top" wrapText="1"/>
    </xf>
    <xf numFmtId="0" fontId="34" fillId="0" borderId="5" xfId="8" applyFont="1" applyBorder="1" applyAlignment="1">
      <alignment horizontal="right" vertical="top" wrapText="1"/>
    </xf>
    <xf numFmtId="0" fontId="33" fillId="0" borderId="16" xfId="8" applyBorder="1" applyAlignment="1">
      <alignment horizontal="center" vertical="top" wrapText="1"/>
    </xf>
    <xf numFmtId="0" fontId="33" fillId="0" borderId="38" xfId="8" applyBorder="1" applyAlignment="1">
      <alignment horizontal="center" vertical="top" wrapText="1"/>
    </xf>
    <xf numFmtId="0" fontId="33" fillId="0" borderId="18" xfId="8" applyBorder="1" applyAlignment="1">
      <alignment horizontal="center" vertical="top" wrapText="1"/>
    </xf>
    <xf numFmtId="166" fontId="43" fillId="0" borderId="20" xfId="8" applyNumberFormat="1" applyFont="1" applyBorder="1" applyAlignment="1">
      <alignment horizontal="left" vertical="center" shrinkToFit="1"/>
    </xf>
    <xf numFmtId="166" fontId="43" fillId="0" borderId="39" xfId="8" applyNumberFormat="1" applyFont="1" applyBorder="1" applyAlignment="1">
      <alignment horizontal="left" vertical="center" shrinkToFit="1"/>
    </xf>
    <xf numFmtId="166" fontId="43" fillId="0" borderId="21" xfId="8" applyNumberFormat="1" applyFont="1" applyBorder="1" applyAlignment="1">
      <alignment horizontal="left" vertical="center" shrinkToFit="1"/>
    </xf>
    <xf numFmtId="0" fontId="35" fillId="0" borderId="20" xfId="8" applyFont="1" applyBorder="1" applyAlignment="1">
      <alignment horizontal="center" wrapText="1"/>
    </xf>
    <xf numFmtId="0" fontId="35" fillId="0" borderId="39" xfId="8" applyFont="1" applyBorder="1" applyAlignment="1">
      <alignment horizontal="center" wrapText="1"/>
    </xf>
    <xf numFmtId="0" fontId="41" fillId="0" borderId="20" xfId="8" applyFont="1" applyBorder="1" applyAlignment="1">
      <alignment horizontal="center" wrapText="1"/>
    </xf>
    <xf numFmtId="0" fontId="41" fillId="0" borderId="39" xfId="8" applyFont="1" applyBorder="1" applyAlignment="1">
      <alignment horizontal="center" wrapText="1"/>
    </xf>
    <xf numFmtId="0" fontId="41" fillId="0" borderId="20" xfId="8" applyFont="1" applyBorder="1" applyAlignment="1">
      <alignment horizontal="left" wrapText="1"/>
    </xf>
    <xf numFmtId="0" fontId="41" fillId="0" borderId="39" xfId="8" applyFont="1" applyBorder="1" applyAlignment="1">
      <alignment horizontal="left" wrapText="1"/>
    </xf>
    <xf numFmtId="0" fontId="33" fillId="0" borderId="21" xfId="8" applyBorder="1" applyAlignment="1">
      <alignment horizontal="left" vertical="top" wrapText="1"/>
    </xf>
    <xf numFmtId="0" fontId="41" fillId="0" borderId="20" xfId="8" applyFont="1" applyBorder="1" applyAlignment="1">
      <alignment horizontal="center" vertical="top" wrapText="1"/>
    </xf>
    <xf numFmtId="0" fontId="41" fillId="0" borderId="21" xfId="8" applyFont="1" applyBorder="1" applyAlignment="1">
      <alignment horizontal="center" vertical="top" wrapText="1"/>
    </xf>
    <xf numFmtId="0" fontId="33" fillId="0" borderId="20" xfId="8" applyBorder="1" applyAlignment="1">
      <alignment horizontal="center" vertical="top" wrapText="1"/>
    </xf>
    <xf numFmtId="0" fontId="33" fillId="0" borderId="21" xfId="8" applyBorder="1" applyAlignment="1">
      <alignment horizontal="center" vertical="top" wrapText="1"/>
    </xf>
    <xf numFmtId="0" fontId="41" fillId="0" borderId="20" xfId="8" applyFont="1" applyBorder="1" applyAlignment="1">
      <alignment horizontal="left" vertical="top" wrapText="1"/>
    </xf>
    <xf numFmtId="0" fontId="41" fillId="0" borderId="21" xfId="8" applyFont="1" applyBorder="1" applyAlignment="1">
      <alignment horizontal="left" vertical="top" wrapText="1"/>
    </xf>
    <xf numFmtId="0" fontId="34" fillId="0" borderId="0" xfId="8" applyFont="1" applyAlignment="1">
      <alignment horizontal="center" vertical="top" wrapText="1"/>
    </xf>
    <xf numFmtId="0" fontId="35" fillId="0" borderId="0" xfId="8" applyFont="1" applyAlignment="1">
      <alignment horizontal="center" vertical="top" wrapText="1"/>
    </xf>
    <xf numFmtId="0" fontId="33" fillId="0" borderId="11" xfId="8" applyBorder="1" applyAlignment="1">
      <alignment horizontal="left" vertical="center" wrapText="1"/>
    </xf>
    <xf numFmtId="0" fontId="33" fillId="0" borderId="18" xfId="8" applyBorder="1" applyAlignment="1">
      <alignment horizontal="left" vertical="center" wrapText="1"/>
    </xf>
    <xf numFmtId="0" fontId="36" fillId="0" borderId="3" xfId="8" applyFont="1" applyBorder="1" applyAlignment="1">
      <alignment horizontal="center" vertical="center" wrapText="1"/>
    </xf>
    <xf numFmtId="0" fontId="36" fillId="0" borderId="4" xfId="8" applyFont="1" applyBorder="1" applyAlignment="1">
      <alignment horizontal="center" vertical="center" wrapText="1"/>
    </xf>
    <xf numFmtId="0" fontId="36" fillId="0" borderId="5" xfId="8" applyFont="1" applyBorder="1" applyAlignment="1">
      <alignment horizontal="center" vertical="center" wrapText="1"/>
    </xf>
    <xf numFmtId="0" fontId="35" fillId="0" borderId="16" xfId="8" applyFont="1" applyBorder="1" applyAlignment="1">
      <alignment horizontal="center" vertical="center" wrapText="1"/>
    </xf>
    <xf numFmtId="0" fontId="35" fillId="0" borderId="38" xfId="8" applyFont="1" applyBorder="1" applyAlignment="1">
      <alignment horizontal="center" vertical="center" wrapText="1"/>
    </xf>
    <xf numFmtId="0" fontId="35" fillId="0" borderId="18" xfId="8" applyFont="1" applyBorder="1" applyAlignment="1">
      <alignment horizontal="center" vertical="center" wrapText="1"/>
    </xf>
    <xf numFmtId="0" fontId="41" fillId="0" borderId="20" xfId="8" applyFont="1" applyBorder="1" applyAlignment="1">
      <alignment horizontal="left" vertical="center" wrapText="1"/>
    </xf>
    <xf numFmtId="0" fontId="41" fillId="0" borderId="39" xfId="8" applyFont="1" applyBorder="1" applyAlignment="1">
      <alignment horizontal="left" vertical="center" wrapText="1"/>
    </xf>
    <xf numFmtId="0" fontId="41" fillId="0" borderId="21" xfId="8" applyFont="1" applyBorder="1" applyAlignment="1">
      <alignment horizontal="left" vertical="center" wrapText="1"/>
    </xf>
    <xf numFmtId="0" fontId="41" fillId="0" borderId="20" xfId="8" applyFont="1" applyBorder="1" applyAlignment="1">
      <alignment horizontal="center" vertical="center" wrapText="1"/>
    </xf>
    <xf numFmtId="0" fontId="41" fillId="0" borderId="39" xfId="8" applyFont="1" applyBorder="1" applyAlignment="1">
      <alignment horizontal="center" vertical="center" wrapText="1"/>
    </xf>
    <xf numFmtId="0" fontId="41" fillId="0" borderId="21" xfId="8" applyFont="1" applyBorder="1" applyAlignment="1">
      <alignment horizontal="center" vertical="center" wrapText="1"/>
    </xf>
    <xf numFmtId="0" fontId="41" fillId="0" borderId="20" xfId="8" applyFont="1" applyBorder="1" applyAlignment="1">
      <alignment horizontal="left" vertical="center" wrapText="1" indent="2"/>
    </xf>
    <xf numFmtId="0" fontId="41" fillId="0" borderId="39" xfId="8" applyFont="1" applyBorder="1" applyAlignment="1">
      <alignment horizontal="left" vertical="center" wrapText="1" indent="2"/>
    </xf>
    <xf numFmtId="0" fontId="41" fillId="0" borderId="21" xfId="8" applyFont="1" applyBorder="1" applyAlignment="1">
      <alignment horizontal="left" vertical="center" wrapText="1" indent="2"/>
    </xf>
    <xf numFmtId="0" fontId="62" fillId="0" borderId="32" xfId="0" applyFont="1" applyBorder="1" applyAlignment="1">
      <alignment horizontal="left" vertical="center" wrapText="1"/>
    </xf>
    <xf numFmtId="0" fontId="63" fillId="0" borderId="32" xfId="0" applyFont="1" applyBorder="1" applyAlignment="1">
      <alignment horizontal="left" vertical="center" wrapText="1"/>
    </xf>
    <xf numFmtId="0" fontId="60" fillId="2" borderId="7" xfId="1" applyFont="1" applyFill="1" applyBorder="1" applyAlignment="1">
      <alignment horizontal="center" vertical="center" wrapText="1"/>
    </xf>
    <xf numFmtId="0" fontId="60" fillId="2" borderId="32" xfId="1" applyFont="1" applyFill="1" applyBorder="1" applyAlignment="1">
      <alignment horizontal="center" vertical="center" wrapText="1"/>
    </xf>
    <xf numFmtId="0" fontId="60" fillId="2" borderId="2" xfId="1" applyFont="1" applyFill="1" applyBorder="1" applyAlignment="1">
      <alignment horizontal="center" vertical="center" wrapText="1"/>
    </xf>
    <xf numFmtId="0" fontId="60" fillId="2" borderId="7" xfId="1" applyFont="1" applyFill="1" applyBorder="1" applyAlignment="1">
      <alignment horizontal="center" vertical="center"/>
    </xf>
    <xf numFmtId="0" fontId="60" fillId="2" borderId="2" xfId="1" applyFont="1" applyFill="1" applyBorder="1" applyAlignment="1">
      <alignment horizontal="center" vertical="center"/>
    </xf>
    <xf numFmtId="0" fontId="73" fillId="23" borderId="8" xfId="0" applyFont="1" applyFill="1" applyBorder="1" applyAlignment="1">
      <alignment horizontal="center" vertical="center" wrapText="1"/>
    </xf>
    <xf numFmtId="0" fontId="73" fillId="23" borderId="9" xfId="0" applyFont="1" applyFill="1" applyBorder="1" applyAlignment="1">
      <alignment horizontal="center" vertical="center" wrapText="1"/>
    </xf>
    <xf numFmtId="0" fontId="73" fillId="23" borderId="49" xfId="0" applyFont="1" applyFill="1" applyBorder="1" applyAlignment="1">
      <alignment horizontal="center" vertical="center" wrapText="1"/>
    </xf>
    <xf numFmtId="0" fontId="62" fillId="15" borderId="26" xfId="7" applyFont="1" applyFill="1" applyBorder="1" applyAlignment="1" applyProtection="1">
      <alignment horizontal="center" vertical="center" wrapText="1"/>
      <protection locked="0"/>
    </xf>
    <xf numFmtId="0" fontId="62" fillId="15" borderId="27" xfId="7" applyFont="1" applyFill="1" applyBorder="1" applyAlignment="1" applyProtection="1">
      <alignment horizontal="center" vertical="center" wrapText="1"/>
      <protection locked="0"/>
    </xf>
    <xf numFmtId="0" fontId="62" fillId="15" borderId="28" xfId="7" applyFont="1" applyFill="1" applyBorder="1" applyAlignment="1" applyProtection="1">
      <alignment horizontal="center" vertical="center" wrapText="1"/>
      <protection locked="0"/>
    </xf>
    <xf numFmtId="0" fontId="65" fillId="0" borderId="9" xfId="0" applyFont="1" applyBorder="1" applyAlignment="1">
      <alignment horizontal="center" vertical="center" wrapText="1"/>
    </xf>
    <xf numFmtId="0" fontId="65" fillId="11" borderId="50" xfId="0" applyFont="1" applyFill="1" applyBorder="1" applyAlignment="1">
      <alignment horizontal="center" vertical="center" wrapText="1"/>
    </xf>
    <xf numFmtId="0" fontId="65" fillId="11" borderId="51" xfId="0" applyFont="1" applyFill="1" applyBorder="1" applyAlignment="1">
      <alignment horizontal="center" vertical="center" wrapText="1"/>
    </xf>
    <xf numFmtId="0" fontId="65" fillId="11" borderId="52" xfId="0" applyFont="1" applyFill="1" applyBorder="1" applyAlignment="1">
      <alignment horizontal="center" vertical="center" wrapText="1"/>
    </xf>
    <xf numFmtId="0" fontId="58" fillId="0" borderId="6" xfId="0" applyFont="1" applyBorder="1" applyAlignment="1">
      <alignment horizontal="center" vertical="center" textRotation="90" wrapText="1"/>
    </xf>
    <xf numFmtId="0" fontId="4" fillId="0" borderId="6" xfId="0" applyFont="1" applyBorder="1" applyAlignment="1">
      <alignment horizontal="center" wrapText="1"/>
    </xf>
    <xf numFmtId="0" fontId="4" fillId="0" borderId="29"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6" xfId="0" applyFont="1" applyBorder="1" applyAlignment="1">
      <alignment horizontal="center"/>
    </xf>
    <xf numFmtId="44" fontId="7" fillId="20" borderId="6" xfId="5" applyFont="1" applyFill="1" applyBorder="1" applyAlignment="1">
      <alignment horizontal="center" vertical="center" wrapText="1"/>
    </xf>
  </cellXfs>
  <cellStyles count="11">
    <cellStyle name="Millares" xfId="10" builtinId="3"/>
    <cellStyle name="Moneda" xfId="5" builtinId="4"/>
    <cellStyle name="Moneda [0]" xfId="6" builtinId="7"/>
    <cellStyle name="Moneda [0] 2" xfId="2" xr:uid="{00000000-0005-0000-0000-000001000000}"/>
    <cellStyle name="Normal" xfId="0" builtinId="0"/>
    <cellStyle name="Normal 2" xfId="8" xr:uid="{44B0078B-6C00-41D7-9553-2E122D0B2DEF}"/>
    <cellStyle name="Normal 2 3" xfId="3" xr:uid="{00000000-0005-0000-0000-000003000000}"/>
    <cellStyle name="Normal 3" xfId="1" xr:uid="{00000000-0005-0000-0000-000004000000}"/>
    <cellStyle name="Normal 3 2" xfId="9" xr:uid="{17780FB1-F3C3-48DE-A62D-7131246F585F}"/>
    <cellStyle name="Normal 3 4" xfId="7" xr:uid="{5F8464BE-4B65-4D9C-987E-38479A329EB3}"/>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4</xdr:col>
      <xdr:colOff>717550</xdr:colOff>
      <xdr:row>2</xdr:row>
      <xdr:rowOff>60324</xdr:rowOff>
    </xdr:from>
    <xdr:ext cx="920750" cy="809625"/>
    <xdr:pic>
      <xdr:nvPicPr>
        <xdr:cNvPr id="2" name="image1.png">
          <a:extLst>
            <a:ext uri="{FF2B5EF4-FFF2-40B4-BE49-F238E27FC236}">
              <a16:creationId xmlns:a16="http://schemas.microsoft.com/office/drawing/2014/main" id="{EB30E866-B5A0-408D-96D0-15A8745EA02F}"/>
            </a:ext>
          </a:extLst>
        </xdr:cNvPr>
        <xdr:cNvPicPr preferRelativeResize="0"/>
      </xdr:nvPicPr>
      <xdr:blipFill>
        <a:blip xmlns:r="http://schemas.openxmlformats.org/officeDocument/2006/relationships" r:embed="rId1" cstate="print"/>
        <a:stretch>
          <a:fillRect/>
        </a:stretch>
      </xdr:blipFill>
      <xdr:spPr>
        <a:xfrm>
          <a:off x="5378450" y="733424"/>
          <a:ext cx="920750" cy="8096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241300</xdr:colOff>
      <xdr:row>0</xdr:row>
      <xdr:rowOff>0</xdr:rowOff>
    </xdr:from>
    <xdr:ext cx="1007518" cy="1005453"/>
    <xdr:pic>
      <xdr:nvPicPr>
        <xdr:cNvPr id="2" name="Imagen 1">
          <a:extLst>
            <a:ext uri="{FF2B5EF4-FFF2-40B4-BE49-F238E27FC236}">
              <a16:creationId xmlns:a16="http://schemas.microsoft.com/office/drawing/2014/main" id="{AEB281CD-0590-4ABE-ABC3-1DACF673527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41300" y="0"/>
          <a:ext cx="1007518" cy="10054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1727200</xdr:colOff>
      <xdr:row>27</xdr:row>
      <xdr:rowOff>188376</xdr:rowOff>
    </xdr:from>
    <xdr:ext cx="3768725" cy="1132424"/>
    <xdr:pic>
      <xdr:nvPicPr>
        <xdr:cNvPr id="3" name="Imagen 2">
          <a:extLst>
            <a:ext uri="{FF2B5EF4-FFF2-40B4-BE49-F238E27FC236}">
              <a16:creationId xmlns:a16="http://schemas.microsoft.com/office/drawing/2014/main" id="{E167D2FC-94BE-4F67-8956-89DF24D41A95}"/>
            </a:ext>
          </a:extLst>
        </xdr:cNvPr>
        <xdr:cNvPicPr>
          <a:picLocks noChangeAspect="1"/>
        </xdr:cNvPicPr>
      </xdr:nvPicPr>
      <xdr:blipFill>
        <a:blip xmlns:r="http://schemas.openxmlformats.org/officeDocument/2006/relationships" r:embed="rId2"/>
        <a:stretch>
          <a:fillRect/>
        </a:stretch>
      </xdr:blipFill>
      <xdr:spPr>
        <a:xfrm>
          <a:off x="1746250" y="5331876"/>
          <a:ext cx="3768725" cy="1132424"/>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241300</xdr:colOff>
      <xdr:row>0</xdr:row>
      <xdr:rowOff>0</xdr:rowOff>
    </xdr:from>
    <xdr:ext cx="1007518" cy="1005453"/>
    <xdr:pic>
      <xdr:nvPicPr>
        <xdr:cNvPr id="2" name="Imagen 1">
          <a:extLst>
            <a:ext uri="{FF2B5EF4-FFF2-40B4-BE49-F238E27FC236}">
              <a16:creationId xmlns:a16="http://schemas.microsoft.com/office/drawing/2014/main" id="{DB1C3956-768F-4D94-A93A-8A34F98F9C8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41300" y="0"/>
          <a:ext cx="1007518" cy="10054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6</xdr:col>
      <xdr:colOff>155903</xdr:colOff>
      <xdr:row>1</xdr:row>
      <xdr:rowOff>88380</xdr:rowOff>
    </xdr:from>
    <xdr:ext cx="872493" cy="164043"/>
    <xdr:pic>
      <xdr:nvPicPr>
        <xdr:cNvPr id="2" name="image1.jpeg">
          <a:extLst>
            <a:ext uri="{FF2B5EF4-FFF2-40B4-BE49-F238E27FC236}">
              <a16:creationId xmlns:a16="http://schemas.microsoft.com/office/drawing/2014/main" id="{E45FB4A3-7186-4378-91B4-8EFCC45B7E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61453" y="193155"/>
          <a:ext cx="872493" cy="164043"/>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Users/usuario/Desktop/ALPA/Formulaci&#243;n/Presupuestos%20Participativos/MATRIZ%20AVANCES%20CUALITATIVOS%20PP%20DIC%2031%20PUENTE%20ARAND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sers/GIO/Downloads/Sin%20t&#237;tuloC/Users/shernandez/Desktop/VISOR%20MUSI%2031%20DE%20MARZO%202019%2007%20DESBLOQUEADA.xlsm"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gobiernobogota-my.sharepoint.com/Users/Usuario/OneDrive/Escritorio/Docs%20Sergio/Alcald&#237;a%20Local%20de%20Suba/Formulaciones/Operador%20Log&#237;stico/1978%20Operador%20Log&#237;stico%20-%20Menor%20cuant&#237;a/4.1%20Estudio%20de%20precios%20de%20Mercado%20-%20Operador%20Logistico.xlsx?A939D09D" TargetMode="External"/><Relationship Id="rId1" Type="http://schemas.openxmlformats.org/officeDocument/2006/relationships/externalLinkPath" Target="file:///\\A939D09D\4.1%20Estudio%20de%20precios%20de%20Mercado%20-%20Operador%20Logisti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S GANADORAS"/>
      <sheetName val="LISTAS"/>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Promedio Sector"/>
      <sheetName val="Base de Datos MUSI 2017-2020"/>
      <sheetName val="Inf Ejec"/>
      <sheetName val="NomLocIE"/>
      <sheetName val="PMR"/>
      <sheetName val="NomLocPMR"/>
      <sheetName val="Dashboard"/>
      <sheetName val="INFORME INDICADOR SECTORIAL"/>
      <sheetName val="LINEA DE TIEMPO"/>
      <sheetName val="DBO1"/>
      <sheetName val="DB02"/>
      <sheetName val="DB03"/>
      <sheetName val="DB04"/>
      <sheetName val="DB05"/>
      <sheetName val="DB06"/>
      <sheetName val="DB07"/>
      <sheetName val="DB08"/>
      <sheetName val="DB09"/>
      <sheetName val="DB10"/>
      <sheetName val="DB11"/>
      <sheetName val="DB12"/>
      <sheetName val="AGREGACION"/>
      <sheetName val="AI1"/>
      <sheetName val="AI2"/>
      <sheetName val="ATotal"/>
      <sheetName val="AP1"/>
      <sheetName val="AP2"/>
      <sheetName val="AP3"/>
      <sheetName val="AE5"/>
      <sheetName val="AE6"/>
      <sheetName val="AE7"/>
      <sheetName val="IA03"/>
      <sheetName val="Entregables (2)"/>
      <sheetName val="Indicadores agregados"/>
      <sheetName val="listas"/>
      <sheetName val="Protocolo MU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UDIO DE MERCADO"/>
    </sheetNames>
    <sheetDataSet>
      <sheetData sheetId="0">
        <row r="25">
          <cell r="D25">
            <v>8200</v>
          </cell>
          <cell r="G25">
            <v>8848</v>
          </cell>
          <cell r="J25">
            <v>8913.6720000000005</v>
          </cell>
        </row>
        <row r="31">
          <cell r="D31">
            <v>3700</v>
          </cell>
          <cell r="G31">
            <v>3920</v>
          </cell>
          <cell r="J31">
            <v>4456.8360000000002</v>
          </cell>
        </row>
        <row r="39">
          <cell r="D39">
            <v>897500</v>
          </cell>
          <cell r="G39">
            <v>1064000</v>
          </cell>
          <cell r="J39">
            <v>1089448.8</v>
          </cell>
        </row>
        <row r="48">
          <cell r="D48">
            <v>2011800</v>
          </cell>
          <cell r="G48">
            <v>2240000</v>
          </cell>
          <cell r="J48">
            <v>2376979.2000000002</v>
          </cell>
        </row>
        <row r="70">
          <cell r="D70">
            <v>7621700</v>
          </cell>
          <cell r="G70">
            <v>8960000</v>
          </cell>
          <cell r="J70">
            <v>9111753.5999999996</v>
          </cell>
        </row>
        <row r="75">
          <cell r="D75">
            <v>1261900</v>
          </cell>
          <cell r="G75">
            <v>1344000</v>
          </cell>
          <cell r="J75">
            <v>1535132.4</v>
          </cell>
        </row>
      </sheetData>
    </sheetDataSet>
  </externalBook>
</externalLink>
</file>

<file path=xl/persons/person.xml><?xml version="1.0" encoding="utf-8"?>
<personList xmlns="http://schemas.microsoft.com/office/spreadsheetml/2018/threadedcomments" xmlns:x="http://schemas.openxmlformats.org/spreadsheetml/2006/main">
  <person displayName="Sergio Mejia Dussan" id="{6750931D-BB0F-4DB8-B8A9-08BB7584EDBD}" userId="S::sergio.mejia@gobiernobogota.gov.co::bb46379c-96b7-439b-af73-d968eda19780"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A1" dT="2024-09-04T12:00:10.52" personId="{6750931D-BB0F-4DB8-B8A9-08BB7584EDBD}" id="{B4E793C9-87B9-4174-9C90-E9E40997B86E}">
    <text>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ext>
  </threadedComment>
  <threadedComment ref="A15" dT="2024-09-04T11:51:33.75" personId="{6750931D-BB0F-4DB8-B8A9-08BB7584EDBD}" id="{E998290A-4318-4A2A-8AFE-B1BFE1EA207B}">
    <text>Sugiero que aquí se coloque la palabra total para entender de que tratan los valores de esta fila</text>
  </threadedComment>
</ThreadedComments>
</file>

<file path=xl/threadedComments/threadedComment2.xml><?xml version="1.0" encoding="utf-8"?>
<ThreadedComments xmlns="http://schemas.microsoft.com/office/spreadsheetml/2018/threadedcomments" xmlns:x="http://schemas.openxmlformats.org/spreadsheetml/2006/main">
  <threadedComment ref="AA1" dT="2024-09-04T12:00:10.52" personId="{6750931D-BB0F-4DB8-B8A9-08BB7584EDBD}" id="{B4E793C9-87B9-4172-9C90-E9E40997B86E}">
    <text>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ext>
  </threadedComment>
  <threadedComment ref="A22" dT="2024-09-04T11:51:33.75" personId="{6750931D-BB0F-4DB8-B8A9-08BB7584EDBD}" id="{E998290A-4318-4A28-8AFE-B1BFE1EA207B}">
    <text>Sugiero que aquí se coloque la palabra total para entender de que tratan los valores de esta fila</text>
  </threadedComment>
</ThreadedComments>
</file>

<file path=xl/threadedComments/threadedComment3.xml><?xml version="1.0" encoding="utf-8"?>
<ThreadedComments xmlns="http://schemas.microsoft.com/office/spreadsheetml/2018/threadedcomments" xmlns:x="http://schemas.openxmlformats.org/spreadsheetml/2006/main">
  <threadedComment ref="AA1" dT="2024-09-04T12:00:10.52" personId="{6750931D-BB0F-4DB8-B8A9-08BB7584EDBD}" id="{B4E793C9-87B9-4173-9C90-E9E40997B86E}">
    <text>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ext>
  </threadedComment>
  <threadedComment ref="A30" dT="2024-09-04T11:51:33.75" personId="{6750931D-BB0F-4DB8-B8A9-08BB7584EDBD}" id="{E998290A-4318-4A29-8AFE-B1BFE1EA207B}">
    <text>Sugiero que aquí se coloque la palabra total para entender de que tratan los valores de esta fila</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 Id="rId4" Type="http://schemas.microsoft.com/office/2017/10/relationships/threadedComment" Target="../threadedComments/threadedComment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F6DF1-9E85-479F-9CCA-174194090BF8}">
  <dimension ref="A1:AJ101"/>
  <sheetViews>
    <sheetView topLeftCell="G99" zoomScale="80" zoomScaleNormal="80" workbookViewId="0">
      <selection activeCell="J94" sqref="J94:N99"/>
    </sheetView>
  </sheetViews>
  <sheetFormatPr baseColWidth="10" defaultColWidth="11.42578125" defaultRowHeight="15.75" customHeight="1" x14ac:dyDescent="0.25"/>
  <cols>
    <col min="1" max="1" width="7.140625" style="1" customWidth="1"/>
    <col min="2" max="5" width="20.7109375" style="1" customWidth="1"/>
    <col min="6" max="6" width="40.42578125" style="1" customWidth="1"/>
    <col min="7" max="7" width="77.28515625" style="1" customWidth="1"/>
    <col min="8" max="8" width="9.7109375" style="2" bestFit="1" customWidth="1"/>
    <col min="9" max="9" width="25.28515625" style="1" bestFit="1" customWidth="1"/>
    <col min="10" max="10" width="25" style="1" bestFit="1" customWidth="1"/>
    <col min="11" max="11" width="17.42578125" style="1" bestFit="1" customWidth="1"/>
    <col min="12" max="12" width="18.42578125" style="1" bestFit="1" customWidth="1"/>
    <col min="13" max="13" width="18" style="1" bestFit="1" customWidth="1"/>
    <col min="14" max="14" width="18.42578125" style="1" bestFit="1" customWidth="1"/>
    <col min="15" max="15" width="22.42578125" style="1" customWidth="1"/>
    <col min="16" max="16" width="25.42578125" style="1" bestFit="1" customWidth="1"/>
    <col min="17" max="17" width="18.42578125" style="1" bestFit="1" customWidth="1"/>
    <col min="18" max="18" width="15.42578125" style="1" bestFit="1" customWidth="1"/>
    <col min="19" max="19" width="15.42578125" style="1" customWidth="1"/>
    <col min="20" max="20" width="22.42578125" style="1" customWidth="1"/>
    <col min="21" max="21" width="27.140625" style="1" bestFit="1" customWidth="1"/>
    <col min="22" max="22" width="18.42578125" style="1" bestFit="1" customWidth="1"/>
    <col min="23" max="23" width="15.42578125" style="1" bestFit="1" customWidth="1"/>
    <col min="24" max="24" width="15.42578125" style="1" customWidth="1"/>
    <col min="25" max="25" width="22.42578125" style="1" customWidth="1"/>
    <col min="26" max="26" width="27.7109375" style="1" bestFit="1" customWidth="1"/>
    <col min="27" max="27" width="18.42578125" style="1" bestFit="1" customWidth="1"/>
    <col min="28" max="28" width="15.42578125" style="1" bestFit="1" customWidth="1"/>
    <col min="29" max="29" width="15.42578125" style="1" customWidth="1"/>
    <col min="30" max="30" width="22.42578125" style="1" customWidth="1"/>
    <col min="31" max="31" width="27.7109375" style="1" bestFit="1" customWidth="1"/>
    <col min="32" max="32" width="29.28515625" style="1" bestFit="1" customWidth="1"/>
    <col min="33" max="33" width="27.140625" style="31" bestFit="1" customWidth="1"/>
    <col min="34" max="34" width="21.7109375" style="1" hidden="1" customWidth="1"/>
    <col min="35" max="16384" width="11.42578125" style="1"/>
  </cols>
  <sheetData>
    <row r="1" spans="1:36" ht="49.35" customHeight="1" thickBot="1" x14ac:dyDescent="0.3">
      <c r="A1" s="280" t="s">
        <v>0</v>
      </c>
      <c r="B1" s="281"/>
      <c r="C1" s="281"/>
      <c r="D1" s="281"/>
      <c r="E1" s="281"/>
      <c r="F1" s="282"/>
      <c r="G1" s="282"/>
      <c r="H1" s="282"/>
      <c r="I1" s="282"/>
      <c r="J1" s="282"/>
      <c r="K1" s="283"/>
      <c r="L1" s="284" t="s">
        <v>1</v>
      </c>
      <c r="M1" s="285"/>
      <c r="N1" s="285"/>
      <c r="O1" s="285"/>
      <c r="P1" s="286"/>
      <c r="Q1" s="287" t="s">
        <v>2</v>
      </c>
      <c r="R1" s="288"/>
      <c r="S1" s="288"/>
      <c r="T1" s="288"/>
      <c r="U1" s="289"/>
      <c r="V1" s="290" t="s">
        <v>3</v>
      </c>
      <c r="W1" s="291"/>
      <c r="X1" s="291"/>
      <c r="Y1" s="291"/>
      <c r="Z1" s="292"/>
      <c r="AA1" s="293" t="s">
        <v>4</v>
      </c>
      <c r="AB1" s="294"/>
      <c r="AC1" s="294"/>
      <c r="AD1" s="294"/>
      <c r="AE1" s="294"/>
      <c r="AF1" s="294"/>
      <c r="AG1" s="294"/>
    </row>
    <row r="2" spans="1:36" ht="49.35" customHeight="1" x14ac:dyDescent="0.25">
      <c r="A2" s="20" t="s">
        <v>5</v>
      </c>
      <c r="B2" s="20" t="s">
        <v>6</v>
      </c>
      <c r="C2" s="20" t="s">
        <v>7</v>
      </c>
      <c r="D2" s="20" t="s">
        <v>8</v>
      </c>
      <c r="E2" s="20" t="s">
        <v>9</v>
      </c>
      <c r="F2" s="20" t="s">
        <v>10</v>
      </c>
      <c r="G2" s="20" t="s">
        <v>11</v>
      </c>
      <c r="H2" s="20" t="s">
        <v>12</v>
      </c>
      <c r="I2" s="20" t="s">
        <v>13</v>
      </c>
      <c r="J2" s="20" t="s">
        <v>14</v>
      </c>
      <c r="K2" s="20" t="s">
        <v>13</v>
      </c>
      <c r="L2" s="21" t="s">
        <v>15</v>
      </c>
      <c r="M2" s="22" t="s">
        <v>16</v>
      </c>
      <c r="N2" s="21" t="s">
        <v>17</v>
      </c>
      <c r="O2" s="21" t="s">
        <v>18</v>
      </c>
      <c r="P2" s="21" t="s">
        <v>19</v>
      </c>
      <c r="Q2" s="23" t="s">
        <v>15</v>
      </c>
      <c r="R2" s="24" t="s">
        <v>16</v>
      </c>
      <c r="S2" s="23" t="s">
        <v>17</v>
      </c>
      <c r="T2" s="23" t="s">
        <v>18</v>
      </c>
      <c r="U2" s="23" t="s">
        <v>19</v>
      </c>
      <c r="V2" s="25" t="s">
        <v>15</v>
      </c>
      <c r="W2" s="26" t="s">
        <v>16</v>
      </c>
      <c r="X2" s="25" t="s">
        <v>17</v>
      </c>
      <c r="Y2" s="25" t="s">
        <v>18</v>
      </c>
      <c r="Z2" s="25" t="s">
        <v>19</v>
      </c>
      <c r="AA2" s="27" t="s">
        <v>20</v>
      </c>
      <c r="AB2" s="27" t="s">
        <v>21</v>
      </c>
      <c r="AC2" s="27" t="s">
        <v>22</v>
      </c>
      <c r="AD2" s="27" t="s">
        <v>23</v>
      </c>
      <c r="AE2" s="27" t="s">
        <v>24</v>
      </c>
      <c r="AF2" s="27" t="s">
        <v>25</v>
      </c>
      <c r="AG2" s="27" t="s">
        <v>26</v>
      </c>
    </row>
    <row r="3" spans="1:36" ht="105" x14ac:dyDescent="0.25">
      <c r="A3" s="14">
        <v>1</v>
      </c>
      <c r="B3" s="276" t="s">
        <v>27</v>
      </c>
      <c r="C3" s="279" t="s">
        <v>28</v>
      </c>
      <c r="D3" s="279" t="s">
        <v>29</v>
      </c>
      <c r="E3" s="279" t="s">
        <v>30</v>
      </c>
      <c r="F3" s="279" t="s">
        <v>31</v>
      </c>
      <c r="G3" s="38" t="s">
        <v>32</v>
      </c>
      <c r="H3" s="35">
        <v>500</v>
      </c>
      <c r="I3" s="35" t="s">
        <v>33</v>
      </c>
      <c r="J3" s="279">
        <v>30</v>
      </c>
      <c r="K3" s="279" t="s">
        <v>34</v>
      </c>
      <c r="L3" s="64">
        <v>83475</v>
      </c>
      <c r="M3" s="65">
        <f>+L3*19%</f>
        <v>15860.25</v>
      </c>
      <c r="N3" s="69">
        <f>+M3+L3</f>
        <v>99335.25</v>
      </c>
      <c r="O3" s="7">
        <f>H3*L3</f>
        <v>41737500</v>
      </c>
      <c r="P3" s="7">
        <f>N3*H3</f>
        <v>49667625</v>
      </c>
      <c r="Q3" s="64">
        <v>80000</v>
      </c>
      <c r="R3" s="65">
        <f t="shared" ref="R3:R14" si="0">+Q3*0.19</f>
        <v>15200</v>
      </c>
      <c r="S3" s="69">
        <f t="shared" ref="S3:S14" si="1">+Q3+R3</f>
        <v>95200</v>
      </c>
      <c r="T3" s="7">
        <f>Q3*H3</f>
        <v>40000000</v>
      </c>
      <c r="U3" s="7">
        <f>S3*H3</f>
        <v>47600000</v>
      </c>
      <c r="V3" s="7">
        <v>75000</v>
      </c>
      <c r="W3" s="7">
        <v>14250</v>
      </c>
      <c r="X3" s="7">
        <v>89250</v>
      </c>
      <c r="Y3" s="7">
        <f>V3*H3</f>
        <v>37500000</v>
      </c>
      <c r="Z3" s="7">
        <f>X3*H3</f>
        <v>44625000</v>
      </c>
      <c r="AA3" s="7">
        <f t="shared" ref="AA3:AE14" si="2">AVERAGE(L3,Q3,V3)</f>
        <v>79491.666666666672</v>
      </c>
      <c r="AB3" s="7">
        <f t="shared" si="2"/>
        <v>15103.416666666666</v>
      </c>
      <c r="AC3" s="7">
        <f t="shared" si="2"/>
        <v>94595.083333333328</v>
      </c>
      <c r="AD3" s="7">
        <f t="shared" si="2"/>
        <v>39745833.333333336</v>
      </c>
      <c r="AE3" s="7">
        <f t="shared" si="2"/>
        <v>47297541.666666664</v>
      </c>
      <c r="AF3" s="127">
        <f>_xlfn.STDEV.P(P3,U3,Z3)</f>
        <v>2069722.6070512177</v>
      </c>
      <c r="AG3" s="128">
        <f t="shared" ref="AG3:AG14" si="3">AF3/AE3</f>
        <v>4.3759623314838618E-2</v>
      </c>
    </row>
    <row r="4" spans="1:36" ht="120" x14ac:dyDescent="0.25">
      <c r="A4" s="14">
        <v>2</v>
      </c>
      <c r="B4" s="277"/>
      <c r="C4" s="279"/>
      <c r="D4" s="279"/>
      <c r="E4" s="279"/>
      <c r="F4" s="279"/>
      <c r="G4" s="39" t="s">
        <v>35</v>
      </c>
      <c r="H4" s="35">
        <v>500</v>
      </c>
      <c r="I4" s="35" t="s">
        <v>36</v>
      </c>
      <c r="J4" s="279"/>
      <c r="K4" s="279"/>
      <c r="L4" s="66">
        <v>890.4</v>
      </c>
      <c r="M4" s="65">
        <f t="shared" ref="M4:M14" si="4">+L4*19%</f>
        <v>169.17599999999999</v>
      </c>
      <c r="N4" s="69">
        <f t="shared" ref="N4:N14" si="5">+M4+L4</f>
        <v>1059.576</v>
      </c>
      <c r="O4" s="7">
        <f t="shared" ref="O4:O14" si="6">H4*L4</f>
        <v>445200</v>
      </c>
      <c r="P4" s="7">
        <f t="shared" ref="P4:P14" si="7">N4*H4</f>
        <v>529788</v>
      </c>
      <c r="Q4" s="78">
        <v>800</v>
      </c>
      <c r="R4" s="65">
        <f t="shared" si="0"/>
        <v>152</v>
      </c>
      <c r="S4" s="69">
        <f t="shared" si="1"/>
        <v>952</v>
      </c>
      <c r="T4" s="7">
        <f t="shared" ref="T4:T14" si="8">Q4*H4</f>
        <v>400000</v>
      </c>
      <c r="U4" s="7">
        <f t="shared" ref="U4:U14" si="9">S4*H4</f>
        <v>476000</v>
      </c>
      <c r="V4" s="7">
        <v>800</v>
      </c>
      <c r="W4" s="7">
        <v>152</v>
      </c>
      <c r="X4" s="7">
        <v>952</v>
      </c>
      <c r="Y4" s="7">
        <f t="shared" ref="Y4:Y14" si="10">V4*H4</f>
        <v>400000</v>
      </c>
      <c r="Z4" s="7">
        <f t="shared" ref="Z4:Z14" si="11">X4*H4</f>
        <v>476000</v>
      </c>
      <c r="AA4" s="7">
        <f t="shared" si="2"/>
        <v>830.13333333333333</v>
      </c>
      <c r="AB4" s="7">
        <f t="shared" si="2"/>
        <v>157.72533333333334</v>
      </c>
      <c r="AC4" s="7">
        <f t="shared" si="2"/>
        <v>987.85866666666664</v>
      </c>
      <c r="AD4" s="7">
        <f t="shared" si="2"/>
        <v>415066.66666666669</v>
      </c>
      <c r="AE4" s="7">
        <f t="shared" si="2"/>
        <v>493929.33333333331</v>
      </c>
      <c r="AF4" s="127">
        <f t="shared" ref="AF4:AF14" si="12">_xlfn.STDEV.P(P4,U4,Z4)</f>
        <v>25355.906364308015</v>
      </c>
      <c r="AG4" s="128">
        <f t="shared" si="3"/>
        <v>5.1335089157776986E-2</v>
      </c>
    </row>
    <row r="5" spans="1:36" ht="30" x14ac:dyDescent="0.25">
      <c r="A5" s="14">
        <v>3</v>
      </c>
      <c r="B5" s="277"/>
      <c r="C5" s="279"/>
      <c r="D5" s="279"/>
      <c r="E5" s="279"/>
      <c r="F5" s="279"/>
      <c r="G5" s="40" t="s">
        <v>37</v>
      </c>
      <c r="H5" s="152">
        <v>200</v>
      </c>
      <c r="I5" s="35" t="s">
        <v>36</v>
      </c>
      <c r="J5" s="279"/>
      <c r="K5" s="279"/>
      <c r="L5" s="66">
        <v>1669.5</v>
      </c>
      <c r="M5" s="65">
        <f t="shared" si="4"/>
        <v>317.20499999999998</v>
      </c>
      <c r="N5" s="69">
        <f t="shared" si="5"/>
        <v>1986.7049999999999</v>
      </c>
      <c r="O5" s="7">
        <f t="shared" si="6"/>
        <v>333900</v>
      </c>
      <c r="P5" s="7">
        <f t="shared" si="7"/>
        <v>397341</v>
      </c>
      <c r="Q5" s="78">
        <v>1500</v>
      </c>
      <c r="R5" s="65">
        <f t="shared" si="0"/>
        <v>285</v>
      </c>
      <c r="S5" s="69">
        <f t="shared" si="1"/>
        <v>1785</v>
      </c>
      <c r="T5" s="7">
        <f t="shared" si="8"/>
        <v>300000</v>
      </c>
      <c r="U5" s="7">
        <f t="shared" si="9"/>
        <v>357000</v>
      </c>
      <c r="V5" s="7">
        <v>1500</v>
      </c>
      <c r="W5" s="7">
        <v>285</v>
      </c>
      <c r="X5" s="7">
        <v>1785</v>
      </c>
      <c r="Y5" s="7">
        <f t="shared" si="10"/>
        <v>300000</v>
      </c>
      <c r="Z5" s="7">
        <f t="shared" si="11"/>
        <v>357000</v>
      </c>
      <c r="AA5" s="7">
        <f t="shared" si="2"/>
        <v>1556.5</v>
      </c>
      <c r="AB5" s="7">
        <f t="shared" si="2"/>
        <v>295.73499999999996</v>
      </c>
      <c r="AC5" s="7">
        <f t="shared" si="2"/>
        <v>1852.2349999999999</v>
      </c>
      <c r="AD5" s="7">
        <f t="shared" si="2"/>
        <v>311300</v>
      </c>
      <c r="AE5" s="7">
        <f t="shared" si="2"/>
        <v>370447</v>
      </c>
      <c r="AF5" s="127">
        <f t="shared" si="12"/>
        <v>19016.929773231008</v>
      </c>
      <c r="AG5" s="128">
        <f t="shared" si="3"/>
        <v>5.1335089157776979E-2</v>
      </c>
    </row>
    <row r="6" spans="1:36" ht="30" x14ac:dyDescent="0.25">
      <c r="A6" s="14">
        <v>4</v>
      </c>
      <c r="B6" s="277"/>
      <c r="C6" s="279"/>
      <c r="D6" s="279"/>
      <c r="E6" s="279"/>
      <c r="F6" s="279"/>
      <c r="G6" s="41" t="s">
        <v>38</v>
      </c>
      <c r="H6" s="35">
        <v>200</v>
      </c>
      <c r="I6" s="35" t="s">
        <v>36</v>
      </c>
      <c r="J6" s="279"/>
      <c r="K6" s="279"/>
      <c r="L6" s="66">
        <v>2226</v>
      </c>
      <c r="M6" s="65">
        <f t="shared" si="4"/>
        <v>422.94</v>
      </c>
      <c r="N6" s="69">
        <f t="shared" si="5"/>
        <v>2648.94</v>
      </c>
      <c r="O6" s="7">
        <f t="shared" si="6"/>
        <v>445200</v>
      </c>
      <c r="P6" s="7">
        <f t="shared" si="7"/>
        <v>529788</v>
      </c>
      <c r="Q6" s="78">
        <v>2200</v>
      </c>
      <c r="R6" s="65">
        <f t="shared" si="0"/>
        <v>418</v>
      </c>
      <c r="S6" s="69">
        <f t="shared" si="1"/>
        <v>2618</v>
      </c>
      <c r="T6" s="7">
        <f t="shared" si="8"/>
        <v>440000</v>
      </c>
      <c r="U6" s="7">
        <f t="shared" si="9"/>
        <v>523600</v>
      </c>
      <c r="V6" s="7">
        <v>2000</v>
      </c>
      <c r="W6" s="7">
        <v>380</v>
      </c>
      <c r="X6" s="7">
        <v>2380</v>
      </c>
      <c r="Y6" s="7">
        <f t="shared" si="10"/>
        <v>400000</v>
      </c>
      <c r="Z6" s="7">
        <f t="shared" si="11"/>
        <v>476000</v>
      </c>
      <c r="AA6" s="7">
        <f t="shared" si="2"/>
        <v>2142</v>
      </c>
      <c r="AB6" s="7">
        <f t="shared" si="2"/>
        <v>406.98</v>
      </c>
      <c r="AC6" s="7">
        <f t="shared" si="2"/>
        <v>2548.98</v>
      </c>
      <c r="AD6" s="7">
        <f t="shared" si="2"/>
        <v>428400</v>
      </c>
      <c r="AE6" s="7">
        <f t="shared" si="2"/>
        <v>509796</v>
      </c>
      <c r="AF6" s="127">
        <f t="shared" si="12"/>
        <v>24030.536795225082</v>
      </c>
      <c r="AG6" s="128">
        <f t="shared" si="3"/>
        <v>4.7137554620328682E-2</v>
      </c>
    </row>
    <row r="7" spans="1:36" ht="375" x14ac:dyDescent="0.25">
      <c r="A7" s="14">
        <v>5</v>
      </c>
      <c r="B7" s="277"/>
      <c r="C7" s="35" t="s">
        <v>39</v>
      </c>
      <c r="D7" s="35" t="s">
        <v>40</v>
      </c>
      <c r="E7" s="35" t="s">
        <v>41</v>
      </c>
      <c r="F7" s="35" t="s">
        <v>42</v>
      </c>
      <c r="G7" s="42" t="s">
        <v>43</v>
      </c>
      <c r="H7" s="35">
        <v>450</v>
      </c>
      <c r="I7" s="35" t="s">
        <v>44</v>
      </c>
      <c r="J7" s="35">
        <v>12</v>
      </c>
      <c r="K7" s="6" t="s">
        <v>45</v>
      </c>
      <c r="L7" s="66">
        <v>556.5</v>
      </c>
      <c r="M7" s="65">
        <f t="shared" si="4"/>
        <v>105.735</v>
      </c>
      <c r="N7" s="69">
        <f t="shared" si="5"/>
        <v>662.23500000000001</v>
      </c>
      <c r="O7" s="7">
        <f t="shared" si="6"/>
        <v>250425</v>
      </c>
      <c r="P7" s="7">
        <f t="shared" si="7"/>
        <v>298005.75</v>
      </c>
      <c r="Q7" s="78">
        <v>474</v>
      </c>
      <c r="R7" s="65">
        <f t="shared" si="0"/>
        <v>90.06</v>
      </c>
      <c r="S7" s="69">
        <f t="shared" si="1"/>
        <v>564.05999999999995</v>
      </c>
      <c r="T7" s="7">
        <f t="shared" si="8"/>
        <v>213300</v>
      </c>
      <c r="U7" s="7">
        <f t="shared" si="9"/>
        <v>253826.99999999997</v>
      </c>
      <c r="V7" s="7">
        <v>500</v>
      </c>
      <c r="W7" s="7">
        <v>95</v>
      </c>
      <c r="X7" s="7">
        <v>595</v>
      </c>
      <c r="Y7" s="7">
        <f t="shared" si="10"/>
        <v>225000</v>
      </c>
      <c r="Z7" s="7">
        <f t="shared" si="11"/>
        <v>267750</v>
      </c>
      <c r="AA7" s="7">
        <f t="shared" si="2"/>
        <v>510.16666666666669</v>
      </c>
      <c r="AB7" s="7">
        <f t="shared" si="2"/>
        <v>96.931666666666672</v>
      </c>
      <c r="AC7" s="7">
        <f t="shared" si="2"/>
        <v>607.09833333333336</v>
      </c>
      <c r="AD7" s="7">
        <f t="shared" si="2"/>
        <v>229575</v>
      </c>
      <c r="AE7" s="7">
        <f t="shared" si="2"/>
        <v>273194.25</v>
      </c>
      <c r="AF7" s="127">
        <f t="shared" si="12"/>
        <v>18442.168734316481</v>
      </c>
      <c r="AG7" s="128">
        <f t="shared" si="3"/>
        <v>6.7505698726515947E-2</v>
      </c>
    </row>
    <row r="8" spans="1:36" ht="75" x14ac:dyDescent="0.25">
      <c r="A8" s="14">
        <v>6</v>
      </c>
      <c r="B8" s="277"/>
      <c r="C8" s="279" t="s">
        <v>46</v>
      </c>
      <c r="D8" s="279" t="s">
        <v>47</v>
      </c>
      <c r="E8" s="279" t="s">
        <v>48</v>
      </c>
      <c r="F8" s="279" t="s">
        <v>49</v>
      </c>
      <c r="G8" s="42" t="s">
        <v>50</v>
      </c>
      <c r="H8" s="35">
        <v>15</v>
      </c>
      <c r="I8" s="35" t="s">
        <v>44</v>
      </c>
      <c r="J8" s="279" t="s">
        <v>48</v>
      </c>
      <c r="K8" s="6"/>
      <c r="L8" s="66">
        <v>3116400</v>
      </c>
      <c r="M8" s="65">
        <f t="shared" si="4"/>
        <v>592116</v>
      </c>
      <c r="N8" s="69">
        <f t="shared" si="5"/>
        <v>3708516</v>
      </c>
      <c r="O8" s="7">
        <f t="shared" si="6"/>
        <v>46746000</v>
      </c>
      <c r="P8" s="7">
        <f t="shared" si="7"/>
        <v>55627740</v>
      </c>
      <c r="Q8" s="78">
        <v>2830489</v>
      </c>
      <c r="R8" s="65">
        <f t="shared" si="0"/>
        <v>537792.91</v>
      </c>
      <c r="S8" s="69">
        <f t="shared" si="1"/>
        <v>3368281.91</v>
      </c>
      <c r="T8" s="7">
        <f t="shared" si="8"/>
        <v>42457335</v>
      </c>
      <c r="U8" s="7">
        <f t="shared" si="9"/>
        <v>50524228.650000006</v>
      </c>
      <c r="V8" s="7">
        <v>2800000</v>
      </c>
      <c r="W8" s="7">
        <v>532000</v>
      </c>
      <c r="X8" s="7">
        <v>3332000</v>
      </c>
      <c r="Y8" s="7">
        <f t="shared" si="10"/>
        <v>42000000</v>
      </c>
      <c r="Z8" s="7">
        <f t="shared" si="11"/>
        <v>49980000</v>
      </c>
      <c r="AA8" s="7">
        <f t="shared" si="2"/>
        <v>2915629.6666666665</v>
      </c>
      <c r="AB8" s="7">
        <f t="shared" si="2"/>
        <v>553969.63666666672</v>
      </c>
      <c r="AC8" s="7">
        <f t="shared" si="2"/>
        <v>3469599.3033333332</v>
      </c>
      <c r="AD8" s="7">
        <f t="shared" si="2"/>
        <v>43734445</v>
      </c>
      <c r="AE8" s="7">
        <f t="shared" si="2"/>
        <v>52043989.550000004</v>
      </c>
      <c r="AF8" s="127">
        <f t="shared" si="12"/>
        <v>2543815.5949644619</v>
      </c>
      <c r="AG8" s="128">
        <f t="shared" si="3"/>
        <v>4.8878182033307661E-2</v>
      </c>
      <c r="AI8" s="1">
        <f>350*6</f>
        <v>2100</v>
      </c>
      <c r="AJ8" s="1">
        <f>350*3</f>
        <v>1050</v>
      </c>
    </row>
    <row r="9" spans="1:36" ht="45" x14ac:dyDescent="0.25">
      <c r="A9" s="14">
        <v>7</v>
      </c>
      <c r="B9" s="277"/>
      <c r="C9" s="279"/>
      <c r="D9" s="279"/>
      <c r="E9" s="279"/>
      <c r="F9" s="279"/>
      <c r="G9" s="42" t="s">
        <v>51</v>
      </c>
      <c r="H9" s="152">
        <v>450</v>
      </c>
      <c r="I9" s="35" t="s">
        <v>44</v>
      </c>
      <c r="J9" s="279"/>
      <c r="K9" s="6"/>
      <c r="L9" s="67">
        <v>779.1</v>
      </c>
      <c r="M9" s="65">
        <f t="shared" si="4"/>
        <v>148.029</v>
      </c>
      <c r="N9" s="69">
        <f t="shared" si="5"/>
        <v>927.12900000000002</v>
      </c>
      <c r="O9" s="7">
        <f t="shared" si="6"/>
        <v>350595</v>
      </c>
      <c r="P9" s="7">
        <f t="shared" si="7"/>
        <v>417208.05</v>
      </c>
      <c r="Q9" s="78">
        <v>750</v>
      </c>
      <c r="R9" s="65">
        <f t="shared" si="0"/>
        <v>142.5</v>
      </c>
      <c r="S9" s="69">
        <f t="shared" si="1"/>
        <v>892.5</v>
      </c>
      <c r="T9" s="7">
        <f t="shared" si="8"/>
        <v>337500</v>
      </c>
      <c r="U9" s="7">
        <f t="shared" si="9"/>
        <v>401625</v>
      </c>
      <c r="V9" s="7">
        <v>700</v>
      </c>
      <c r="W9" s="7">
        <v>133</v>
      </c>
      <c r="X9" s="7">
        <v>833</v>
      </c>
      <c r="Y9" s="7">
        <f t="shared" si="10"/>
        <v>315000</v>
      </c>
      <c r="Z9" s="7">
        <f t="shared" si="11"/>
        <v>374850</v>
      </c>
      <c r="AA9" s="7">
        <f t="shared" si="2"/>
        <v>743.0333333333333</v>
      </c>
      <c r="AB9" s="7">
        <f t="shared" si="2"/>
        <v>141.17633333333333</v>
      </c>
      <c r="AC9" s="7">
        <f t="shared" si="2"/>
        <v>884.20966666666664</v>
      </c>
      <c r="AD9" s="7">
        <f t="shared" si="2"/>
        <v>334365</v>
      </c>
      <c r="AE9" s="7">
        <f t="shared" si="2"/>
        <v>397894.35000000003</v>
      </c>
      <c r="AF9" s="127">
        <f t="shared" si="12"/>
        <v>17492.653925148119</v>
      </c>
      <c r="AG9" s="128">
        <f t="shared" si="3"/>
        <v>4.3963061865915205E-2</v>
      </c>
      <c r="AH9" s="1">
        <f>450/15</f>
        <v>30</v>
      </c>
    </row>
    <row r="10" spans="1:36" ht="180" x14ac:dyDescent="0.25">
      <c r="A10" s="14">
        <v>8</v>
      </c>
      <c r="B10" s="277"/>
      <c r="C10" s="295" t="s">
        <v>52</v>
      </c>
      <c r="D10" s="295" t="s">
        <v>53</v>
      </c>
      <c r="E10" s="295" t="s">
        <v>54</v>
      </c>
      <c r="F10" s="295" t="s">
        <v>55</v>
      </c>
      <c r="G10" s="40" t="s">
        <v>56</v>
      </c>
      <c r="H10" s="35">
        <v>1200</v>
      </c>
      <c r="I10" s="35" t="s">
        <v>44</v>
      </c>
      <c r="J10" s="279" t="s">
        <v>54</v>
      </c>
      <c r="K10" s="6"/>
      <c r="L10" s="66">
        <v>111300</v>
      </c>
      <c r="M10" s="65">
        <f t="shared" si="4"/>
        <v>21147</v>
      </c>
      <c r="N10" s="69">
        <f t="shared" si="5"/>
        <v>132447</v>
      </c>
      <c r="O10" s="7">
        <f t="shared" si="6"/>
        <v>133560000</v>
      </c>
      <c r="P10" s="7">
        <f t="shared" si="7"/>
        <v>158936400</v>
      </c>
      <c r="Q10" s="78">
        <v>102349</v>
      </c>
      <c r="R10" s="65">
        <f t="shared" si="0"/>
        <v>19446.310000000001</v>
      </c>
      <c r="S10" s="69">
        <f t="shared" si="1"/>
        <v>121795.31</v>
      </c>
      <c r="T10" s="7">
        <f t="shared" si="8"/>
        <v>122818800</v>
      </c>
      <c r="U10" s="7">
        <f t="shared" si="9"/>
        <v>146154372</v>
      </c>
      <c r="V10" s="7">
        <v>100000</v>
      </c>
      <c r="W10" s="7">
        <v>19000</v>
      </c>
      <c r="X10" s="7">
        <v>119000</v>
      </c>
      <c r="Y10" s="7">
        <f t="shared" si="10"/>
        <v>120000000</v>
      </c>
      <c r="Z10" s="7">
        <f t="shared" si="11"/>
        <v>142800000</v>
      </c>
      <c r="AA10" s="7">
        <f t="shared" si="2"/>
        <v>104549.66666666667</v>
      </c>
      <c r="AB10" s="7">
        <f t="shared" si="2"/>
        <v>19864.436666666665</v>
      </c>
      <c r="AC10" s="7">
        <f t="shared" si="2"/>
        <v>124414.10333333333</v>
      </c>
      <c r="AD10" s="7">
        <f t="shared" si="2"/>
        <v>125459600</v>
      </c>
      <c r="AE10" s="7">
        <f t="shared" si="2"/>
        <v>149296924</v>
      </c>
      <c r="AF10" s="127">
        <f t="shared" si="12"/>
        <v>6952341.3823223608</v>
      </c>
      <c r="AG10" s="128">
        <f t="shared" si="3"/>
        <v>4.6567211139074513E-2</v>
      </c>
      <c r="AI10" s="1">
        <f>450*12</f>
        <v>5400</v>
      </c>
    </row>
    <row r="11" spans="1:36" ht="75" x14ac:dyDescent="0.25">
      <c r="A11" s="14">
        <v>9</v>
      </c>
      <c r="B11" s="277"/>
      <c r="C11" s="296"/>
      <c r="D11" s="296"/>
      <c r="E11" s="296"/>
      <c r="F11" s="296"/>
      <c r="G11" s="40" t="s">
        <v>57</v>
      </c>
      <c r="H11" s="35">
        <v>200</v>
      </c>
      <c r="I11" s="35" t="s">
        <v>44</v>
      </c>
      <c r="J11" s="279"/>
      <c r="K11" s="6"/>
      <c r="L11" s="68">
        <v>5565</v>
      </c>
      <c r="M11" s="65">
        <f t="shared" si="4"/>
        <v>1057.3499999999999</v>
      </c>
      <c r="N11" s="69">
        <f t="shared" si="5"/>
        <v>6622.35</v>
      </c>
      <c r="O11" s="7">
        <f t="shared" si="6"/>
        <v>1113000</v>
      </c>
      <c r="P11" s="7">
        <f t="shared" si="7"/>
        <v>1324470</v>
      </c>
      <c r="Q11" s="78">
        <v>5000</v>
      </c>
      <c r="R11" s="65">
        <f t="shared" si="0"/>
        <v>950</v>
      </c>
      <c r="S11" s="69">
        <f t="shared" si="1"/>
        <v>5950</v>
      </c>
      <c r="T11" s="7">
        <f t="shared" si="8"/>
        <v>1000000</v>
      </c>
      <c r="U11" s="7">
        <f t="shared" si="9"/>
        <v>1190000</v>
      </c>
      <c r="V11" s="7">
        <v>5000</v>
      </c>
      <c r="W11" s="7">
        <v>950</v>
      </c>
      <c r="X11" s="7">
        <v>5950</v>
      </c>
      <c r="Y11" s="7">
        <f t="shared" si="10"/>
        <v>1000000</v>
      </c>
      <c r="Z11" s="7">
        <f t="shared" si="11"/>
        <v>1190000</v>
      </c>
      <c r="AA11" s="7">
        <f t="shared" si="2"/>
        <v>5188.333333333333</v>
      </c>
      <c r="AB11" s="7">
        <f t="shared" si="2"/>
        <v>985.7833333333333</v>
      </c>
      <c r="AC11" s="7">
        <f t="shared" si="2"/>
        <v>6174.1166666666659</v>
      </c>
      <c r="AD11" s="7">
        <f t="shared" si="2"/>
        <v>1037666.6666666666</v>
      </c>
      <c r="AE11" s="7">
        <f t="shared" si="2"/>
        <v>1234823.3333333333</v>
      </c>
      <c r="AF11" s="127">
        <f t="shared" si="12"/>
        <v>63389.765910770038</v>
      </c>
      <c r="AG11" s="128">
        <f t="shared" si="3"/>
        <v>5.1335089157776993E-2</v>
      </c>
    </row>
    <row r="12" spans="1:36" x14ac:dyDescent="0.25">
      <c r="A12" s="5">
        <v>10</v>
      </c>
      <c r="B12" s="278"/>
      <c r="C12" s="296"/>
      <c r="D12" s="297"/>
      <c r="E12" s="297"/>
      <c r="F12" s="297"/>
      <c r="G12" s="40" t="s">
        <v>58</v>
      </c>
      <c r="H12" s="35">
        <v>2</v>
      </c>
      <c r="I12" s="35" t="s">
        <v>59</v>
      </c>
      <c r="J12" s="279"/>
      <c r="K12" s="6"/>
      <c r="L12" s="68">
        <v>3339000</v>
      </c>
      <c r="M12" s="65">
        <f t="shared" si="4"/>
        <v>634410</v>
      </c>
      <c r="N12" s="69">
        <f t="shared" si="5"/>
        <v>3973410</v>
      </c>
      <c r="O12" s="7">
        <f t="shared" si="6"/>
        <v>6678000</v>
      </c>
      <c r="P12" s="7">
        <f t="shared" si="7"/>
        <v>7946820</v>
      </c>
      <c r="Q12" s="78">
        <v>3500000</v>
      </c>
      <c r="R12" s="65">
        <f t="shared" si="0"/>
        <v>665000</v>
      </c>
      <c r="S12" s="69">
        <f t="shared" si="1"/>
        <v>4165000</v>
      </c>
      <c r="T12" s="7">
        <f t="shared" si="8"/>
        <v>7000000</v>
      </c>
      <c r="U12" s="7">
        <f t="shared" si="9"/>
        <v>8330000</v>
      </c>
      <c r="V12" s="7">
        <v>3000000</v>
      </c>
      <c r="W12" s="7">
        <v>570000</v>
      </c>
      <c r="X12" s="7">
        <v>3570000</v>
      </c>
      <c r="Y12" s="7">
        <f t="shared" si="10"/>
        <v>6000000</v>
      </c>
      <c r="Z12" s="7">
        <f t="shared" si="11"/>
        <v>7140000</v>
      </c>
      <c r="AA12" s="7">
        <f t="shared" si="2"/>
        <v>3279666.6666666665</v>
      </c>
      <c r="AB12" s="7">
        <f t="shared" si="2"/>
        <v>623136.66666666663</v>
      </c>
      <c r="AC12" s="7">
        <f t="shared" si="2"/>
        <v>3902803.3333333335</v>
      </c>
      <c r="AD12" s="7">
        <f t="shared" si="2"/>
        <v>6559333.333333333</v>
      </c>
      <c r="AE12" s="7">
        <f t="shared" si="2"/>
        <v>7805606.666666667</v>
      </c>
      <c r="AF12" s="127">
        <f t="shared" si="12"/>
        <v>495971.03687838686</v>
      </c>
      <c r="AG12" s="128">
        <f t="shared" si="3"/>
        <v>6.3540357342933868E-2</v>
      </c>
    </row>
    <row r="13" spans="1:36" ht="270" x14ac:dyDescent="0.25">
      <c r="A13" s="14">
        <v>11</v>
      </c>
      <c r="B13" s="63" t="s">
        <v>60</v>
      </c>
      <c r="C13" s="47" t="s">
        <v>61</v>
      </c>
      <c r="D13" s="47" t="s">
        <v>62</v>
      </c>
      <c r="E13" s="37" t="s">
        <v>63</v>
      </c>
      <c r="F13" s="37">
        <v>350</v>
      </c>
      <c r="G13" s="42" t="s">
        <v>64</v>
      </c>
      <c r="H13" s="35">
        <v>6</v>
      </c>
      <c r="I13" s="35" t="s">
        <v>65</v>
      </c>
      <c r="J13" s="35">
        <v>350</v>
      </c>
      <c r="K13" s="4" t="s">
        <v>66</v>
      </c>
      <c r="L13" s="66">
        <v>5008500</v>
      </c>
      <c r="M13" s="65">
        <f t="shared" si="4"/>
        <v>951615</v>
      </c>
      <c r="N13" s="69">
        <f t="shared" si="5"/>
        <v>5960115</v>
      </c>
      <c r="O13" s="7">
        <f t="shared" si="6"/>
        <v>30051000</v>
      </c>
      <c r="P13" s="7">
        <f t="shared" si="7"/>
        <v>35760690</v>
      </c>
      <c r="Q13" s="78">
        <v>4500000</v>
      </c>
      <c r="R13" s="65">
        <f t="shared" si="0"/>
        <v>855000</v>
      </c>
      <c r="S13" s="69">
        <f t="shared" si="1"/>
        <v>5355000</v>
      </c>
      <c r="T13" s="7">
        <f t="shared" si="8"/>
        <v>27000000</v>
      </c>
      <c r="U13" s="7">
        <f t="shared" si="9"/>
        <v>32130000</v>
      </c>
      <c r="V13" s="7">
        <v>4500000</v>
      </c>
      <c r="W13" s="7">
        <v>855000</v>
      </c>
      <c r="X13" s="7">
        <v>5355000</v>
      </c>
      <c r="Y13" s="7">
        <f t="shared" si="10"/>
        <v>27000000</v>
      </c>
      <c r="Z13" s="7">
        <f t="shared" si="11"/>
        <v>32130000</v>
      </c>
      <c r="AA13" s="7">
        <f t="shared" si="2"/>
        <v>4669500</v>
      </c>
      <c r="AB13" s="7">
        <f t="shared" si="2"/>
        <v>887205</v>
      </c>
      <c r="AC13" s="7">
        <f t="shared" si="2"/>
        <v>5556705</v>
      </c>
      <c r="AD13" s="7">
        <f t="shared" si="2"/>
        <v>28017000</v>
      </c>
      <c r="AE13" s="7">
        <f t="shared" si="2"/>
        <v>33340230</v>
      </c>
      <c r="AF13" s="127">
        <f t="shared" si="12"/>
        <v>1711523.6795907908</v>
      </c>
      <c r="AG13" s="128">
        <f t="shared" si="3"/>
        <v>5.1335089157776979E-2</v>
      </c>
    </row>
    <row r="14" spans="1:36" ht="165" x14ac:dyDescent="0.25">
      <c r="A14" s="5">
        <v>12</v>
      </c>
      <c r="B14" s="162" t="s">
        <v>67</v>
      </c>
      <c r="C14" s="35" t="s">
        <v>68</v>
      </c>
      <c r="D14" s="35" t="s">
        <v>69</v>
      </c>
      <c r="E14" s="35" t="s">
        <v>70</v>
      </c>
      <c r="F14" s="35" t="s">
        <v>71</v>
      </c>
      <c r="G14" s="43" t="s">
        <v>72</v>
      </c>
      <c r="H14" s="35">
        <v>10</v>
      </c>
      <c r="I14" s="35" t="s">
        <v>73</v>
      </c>
      <c r="J14" s="35" t="s">
        <v>70</v>
      </c>
      <c r="K14" s="4"/>
      <c r="L14" s="66">
        <v>10017000</v>
      </c>
      <c r="M14" s="65">
        <f t="shared" si="4"/>
        <v>1903230</v>
      </c>
      <c r="N14" s="69">
        <f t="shared" si="5"/>
        <v>11920230</v>
      </c>
      <c r="O14" s="7">
        <f t="shared" si="6"/>
        <v>100170000</v>
      </c>
      <c r="P14" s="7">
        <f t="shared" si="7"/>
        <v>119202300</v>
      </c>
      <c r="Q14" s="78">
        <v>9646509</v>
      </c>
      <c r="R14" s="65">
        <f t="shared" si="0"/>
        <v>1832836.71</v>
      </c>
      <c r="S14" s="69">
        <f t="shared" si="1"/>
        <v>11479345.710000001</v>
      </c>
      <c r="T14" s="7">
        <f t="shared" si="8"/>
        <v>96465090</v>
      </c>
      <c r="U14" s="7">
        <f t="shared" si="9"/>
        <v>114793457.10000001</v>
      </c>
      <c r="V14" s="7">
        <v>9000000</v>
      </c>
      <c r="W14" s="7">
        <v>1710000</v>
      </c>
      <c r="X14" s="7">
        <v>10710000</v>
      </c>
      <c r="Y14" s="7">
        <f t="shared" si="10"/>
        <v>90000000</v>
      </c>
      <c r="Z14" s="7">
        <f t="shared" si="11"/>
        <v>107100000</v>
      </c>
      <c r="AA14" s="7">
        <f t="shared" si="2"/>
        <v>9554503</v>
      </c>
      <c r="AB14" s="7">
        <f t="shared" si="2"/>
        <v>1815355.57</v>
      </c>
      <c r="AC14" s="7">
        <f t="shared" si="2"/>
        <v>11369858.57</v>
      </c>
      <c r="AD14" s="7">
        <f t="shared" si="2"/>
        <v>95545030</v>
      </c>
      <c r="AE14" s="7">
        <f t="shared" si="2"/>
        <v>113698585.7</v>
      </c>
      <c r="AF14" s="127">
        <f t="shared" si="12"/>
        <v>5001031.4842309272</v>
      </c>
      <c r="AG14" s="128">
        <f t="shared" si="3"/>
        <v>4.3984992895394717E-2</v>
      </c>
    </row>
    <row r="15" spans="1:36" ht="36.4" customHeight="1" x14ac:dyDescent="0.25">
      <c r="A15" s="33"/>
      <c r="B15" s="33"/>
      <c r="C15" s="33"/>
      <c r="D15" s="33"/>
      <c r="E15" s="33"/>
      <c r="F15" s="10"/>
      <c r="G15" s="9"/>
      <c r="H15" s="9"/>
      <c r="I15" s="9"/>
      <c r="J15" s="33"/>
      <c r="K15" s="9"/>
      <c r="L15" s="11"/>
      <c r="M15" s="11"/>
      <c r="N15" s="11"/>
      <c r="O15" s="12"/>
      <c r="P15" s="12">
        <f>SUM(P3:P14)</f>
        <v>430638175.80000001</v>
      </c>
      <c r="Q15" s="11"/>
      <c r="R15" s="11"/>
      <c r="S15" s="11"/>
      <c r="T15" s="12"/>
      <c r="U15" s="12">
        <f>SUM(U3:U14)</f>
        <v>402734109.75</v>
      </c>
      <c r="V15" s="11"/>
      <c r="W15" s="11"/>
      <c r="X15" s="11"/>
      <c r="Y15" s="12"/>
      <c r="Z15" s="12">
        <f>SUM(Z3:Z14)</f>
        <v>386916600</v>
      </c>
      <c r="AA15" s="11"/>
      <c r="AB15" s="11"/>
      <c r="AC15" s="11"/>
      <c r="AD15" s="12"/>
      <c r="AE15" s="12">
        <f>SUM(AE3:AE14)</f>
        <v>406762961.84999996</v>
      </c>
      <c r="AF15" s="12"/>
      <c r="AG15" s="29"/>
    </row>
    <row r="16" spans="1:36" x14ac:dyDescent="0.25">
      <c r="A16" s="3"/>
      <c r="B16" s="3"/>
      <c r="C16" s="3"/>
      <c r="D16" s="3"/>
      <c r="E16" s="3"/>
      <c r="F16" s="3"/>
      <c r="G16" s="3"/>
      <c r="H16" s="3"/>
      <c r="I16" s="3"/>
      <c r="J16" s="3"/>
      <c r="K16" s="3"/>
      <c r="L16" s="3"/>
      <c r="M16" s="3"/>
      <c r="N16" s="3"/>
      <c r="O16" s="3"/>
      <c r="P16" s="79">
        <f>P15+$J$89+$N$93+$N$100</f>
        <v>1354092289.6700001</v>
      </c>
      <c r="Q16" s="3"/>
      <c r="R16" s="3"/>
      <c r="S16" s="3"/>
      <c r="T16" s="3"/>
      <c r="U16" s="79">
        <f>U15+$J$89+$N$93+$N$100</f>
        <v>1326188223.6199999</v>
      </c>
      <c r="V16" s="3"/>
      <c r="W16" s="3"/>
      <c r="X16" s="3"/>
      <c r="Y16" s="3"/>
      <c r="Z16" s="79">
        <f>Z15+$J$89+$N$93+$N$100</f>
        <v>1310370713.8699999</v>
      </c>
      <c r="AA16" s="3"/>
      <c r="AB16" s="3"/>
      <c r="AC16" s="3"/>
      <c r="AD16" s="3"/>
      <c r="AE16" s="79">
        <f>AE15+$J$89+$N$93+$N$100</f>
        <v>1330217075.7199998</v>
      </c>
      <c r="AF16" s="153"/>
      <c r="AG16" s="154"/>
      <c r="AH16" s="233">
        <v>1305484000</v>
      </c>
    </row>
    <row r="17" spans="1:34" x14ac:dyDescent="0.25">
      <c r="AG17" s="234"/>
      <c r="AH17" s="147">
        <f>+AH16-AE16</f>
        <v>-24733075.71999979</v>
      </c>
    </row>
    <row r="18" spans="1:34" ht="165" customHeight="1" x14ac:dyDescent="0.25">
      <c r="A18" s="235"/>
      <c r="C18" s="48"/>
      <c r="D18" s="49"/>
      <c r="E18" s="49"/>
      <c r="F18" s="49" t="s">
        <v>74</v>
      </c>
      <c r="G18" s="49" t="s">
        <v>75</v>
      </c>
      <c r="H18" s="50" t="s">
        <v>76</v>
      </c>
      <c r="I18" s="51" t="s">
        <v>77</v>
      </c>
      <c r="J18" s="52" t="s">
        <v>78</v>
      </c>
      <c r="K18" s="70" t="s">
        <v>79</v>
      </c>
      <c r="L18" s="53"/>
      <c r="M18" s="53"/>
      <c r="AG18" s="234"/>
    </row>
    <row r="19" spans="1:34" ht="19.149999999999999" customHeight="1" x14ac:dyDescent="0.25">
      <c r="C19" s="301" t="s">
        <v>80</v>
      </c>
      <c r="D19" s="295" t="s">
        <v>81</v>
      </c>
      <c r="E19" s="295">
        <v>1</v>
      </c>
      <c r="F19" s="295" t="s">
        <v>82</v>
      </c>
      <c r="G19" s="176" t="s">
        <v>83</v>
      </c>
      <c r="H19" s="295">
        <v>1</v>
      </c>
      <c r="I19" s="304">
        <v>8</v>
      </c>
      <c r="J19" s="298">
        <v>8000000</v>
      </c>
      <c r="K19" s="298">
        <f>J19*I19*H19</f>
        <v>64000000</v>
      </c>
      <c r="L19" s="71"/>
      <c r="M19" s="71"/>
      <c r="AG19" s="234"/>
    </row>
    <row r="20" spans="1:34" ht="39.4" customHeight="1" x14ac:dyDescent="0.25">
      <c r="C20" s="302"/>
      <c r="D20" s="296"/>
      <c r="E20" s="296"/>
      <c r="F20" s="296"/>
      <c r="G20" s="177" t="s">
        <v>84</v>
      </c>
      <c r="H20" s="296"/>
      <c r="I20" s="305"/>
      <c r="J20" s="299"/>
      <c r="K20" s="299"/>
      <c r="L20" s="71"/>
      <c r="M20" s="71"/>
      <c r="AG20" s="234"/>
    </row>
    <row r="21" spans="1:34" ht="18" customHeight="1" x14ac:dyDescent="0.25">
      <c r="C21" s="302"/>
      <c r="D21" s="296"/>
      <c r="E21" s="296"/>
      <c r="F21" s="296"/>
      <c r="G21" s="176" t="s">
        <v>85</v>
      </c>
      <c r="H21" s="296"/>
      <c r="I21" s="305"/>
      <c r="J21" s="299"/>
      <c r="K21" s="299"/>
      <c r="L21" s="71"/>
      <c r="M21" s="71"/>
      <c r="AG21" s="234"/>
    </row>
    <row r="22" spans="1:34" ht="39.4" customHeight="1" x14ac:dyDescent="0.25">
      <c r="C22" s="302"/>
      <c r="D22" s="296"/>
      <c r="E22" s="296"/>
      <c r="F22" s="296"/>
      <c r="G22" s="177" t="s">
        <v>86</v>
      </c>
      <c r="H22" s="296"/>
      <c r="I22" s="305"/>
      <c r="J22" s="299"/>
      <c r="K22" s="299"/>
      <c r="L22" s="71"/>
      <c r="M22" s="71"/>
      <c r="AG22" s="234"/>
    </row>
    <row r="23" spans="1:34" ht="18" customHeight="1" x14ac:dyDescent="0.25">
      <c r="C23" s="302"/>
      <c r="D23" s="296"/>
      <c r="E23" s="296"/>
      <c r="F23" s="296"/>
      <c r="G23" s="176" t="s">
        <v>87</v>
      </c>
      <c r="H23" s="296"/>
      <c r="I23" s="305"/>
      <c r="J23" s="299"/>
      <c r="K23" s="299"/>
      <c r="L23" s="71"/>
      <c r="M23" s="71"/>
      <c r="AG23" s="234"/>
    </row>
    <row r="24" spans="1:34" ht="39.4" customHeight="1" x14ac:dyDescent="0.25">
      <c r="C24" s="302"/>
      <c r="D24" s="296"/>
      <c r="E24" s="296"/>
      <c r="F24" s="296"/>
      <c r="G24" s="177" t="s">
        <v>88</v>
      </c>
      <c r="H24" s="296"/>
      <c r="I24" s="305"/>
      <c r="J24" s="299"/>
      <c r="K24" s="299"/>
      <c r="L24" s="71"/>
      <c r="M24" s="71"/>
      <c r="AG24" s="1"/>
    </row>
    <row r="25" spans="1:34" ht="19.899999999999999" customHeight="1" x14ac:dyDescent="0.25">
      <c r="C25" s="303"/>
      <c r="D25" s="296"/>
      <c r="E25" s="297"/>
      <c r="F25" s="297"/>
      <c r="G25" s="178" t="s">
        <v>89</v>
      </c>
      <c r="H25" s="297"/>
      <c r="I25" s="306"/>
      <c r="J25" s="300"/>
      <c r="K25" s="300"/>
      <c r="L25" s="71"/>
      <c r="M25" s="71"/>
      <c r="AG25" s="1"/>
    </row>
    <row r="26" spans="1:34" ht="15.4" customHeight="1" x14ac:dyDescent="0.25">
      <c r="C26" s="301" t="s">
        <v>80</v>
      </c>
      <c r="D26" s="296"/>
      <c r="E26" s="295">
        <v>2</v>
      </c>
      <c r="F26" s="295" t="s">
        <v>90</v>
      </c>
      <c r="G26" s="176" t="s">
        <v>83</v>
      </c>
      <c r="H26" s="295">
        <v>1</v>
      </c>
      <c r="I26" s="304">
        <v>8</v>
      </c>
      <c r="J26" s="298">
        <v>3381000</v>
      </c>
      <c r="K26" s="298">
        <f>J26*I26*H26</f>
        <v>27048000</v>
      </c>
      <c r="L26" s="71"/>
      <c r="M26" s="71"/>
      <c r="AG26" s="1"/>
    </row>
    <row r="27" spans="1:34" ht="35.65" customHeight="1" x14ac:dyDescent="0.25">
      <c r="C27" s="302"/>
      <c r="D27" s="296"/>
      <c r="E27" s="296"/>
      <c r="F27" s="296"/>
      <c r="G27" s="177" t="s">
        <v>91</v>
      </c>
      <c r="H27" s="296"/>
      <c r="I27" s="305"/>
      <c r="J27" s="299"/>
      <c r="K27" s="299"/>
      <c r="L27" s="72"/>
      <c r="M27" s="72"/>
      <c r="AG27" s="1"/>
    </row>
    <row r="28" spans="1:34" ht="22.9" customHeight="1" x14ac:dyDescent="0.25">
      <c r="C28" s="302"/>
      <c r="D28" s="296"/>
      <c r="E28" s="296"/>
      <c r="F28" s="296"/>
      <c r="G28" s="176" t="s">
        <v>85</v>
      </c>
      <c r="H28" s="296"/>
      <c r="I28" s="305"/>
      <c r="J28" s="299"/>
      <c r="K28" s="299"/>
      <c r="L28" s="72"/>
      <c r="M28" s="72"/>
      <c r="AG28" s="1"/>
    </row>
    <row r="29" spans="1:34" ht="35.65" customHeight="1" x14ac:dyDescent="0.25">
      <c r="C29" s="302"/>
      <c r="D29" s="296"/>
      <c r="E29" s="296"/>
      <c r="F29" s="296"/>
      <c r="G29" s="177" t="s">
        <v>92</v>
      </c>
      <c r="H29" s="296"/>
      <c r="I29" s="305"/>
      <c r="J29" s="299"/>
      <c r="K29" s="299"/>
      <c r="L29" s="72"/>
      <c r="M29" s="72"/>
      <c r="AG29" s="1"/>
    </row>
    <row r="30" spans="1:34" ht="24.4" customHeight="1" x14ac:dyDescent="0.25">
      <c r="C30" s="302"/>
      <c r="D30" s="296"/>
      <c r="E30" s="296"/>
      <c r="F30" s="296"/>
      <c r="G30" s="176" t="s">
        <v>87</v>
      </c>
      <c r="H30" s="296"/>
      <c r="I30" s="305"/>
      <c r="J30" s="299"/>
      <c r="K30" s="299"/>
      <c r="L30" s="72"/>
      <c r="M30" s="72"/>
      <c r="AG30" s="1"/>
    </row>
    <row r="31" spans="1:34" ht="35.65" customHeight="1" x14ac:dyDescent="0.25">
      <c r="C31" s="302"/>
      <c r="D31" s="296"/>
      <c r="E31" s="296"/>
      <c r="F31" s="296"/>
      <c r="G31" s="179" t="s">
        <v>93</v>
      </c>
      <c r="H31" s="296"/>
      <c r="I31" s="305"/>
      <c r="J31" s="299"/>
      <c r="K31" s="299"/>
      <c r="L31" s="72"/>
      <c r="M31" s="72"/>
      <c r="AG31" s="234"/>
    </row>
    <row r="32" spans="1:34" ht="17.649999999999999" customHeight="1" x14ac:dyDescent="0.25">
      <c r="C32" s="303"/>
      <c r="D32" s="296"/>
      <c r="E32" s="297"/>
      <c r="F32" s="297"/>
      <c r="G32" s="178" t="s">
        <v>89</v>
      </c>
      <c r="H32" s="297"/>
      <c r="I32" s="306"/>
      <c r="J32" s="300"/>
      <c r="K32" s="300"/>
      <c r="L32" s="72"/>
      <c r="M32" s="72"/>
      <c r="AG32" s="234"/>
    </row>
    <row r="33" spans="3:33" ht="20.65" customHeight="1" x14ac:dyDescent="0.25">
      <c r="C33" s="301" t="s">
        <v>94</v>
      </c>
      <c r="D33" s="296"/>
      <c r="E33" s="295">
        <v>3</v>
      </c>
      <c r="F33" s="295" t="s">
        <v>95</v>
      </c>
      <c r="G33" s="176" t="s">
        <v>83</v>
      </c>
      <c r="H33" s="295">
        <v>2</v>
      </c>
      <c r="I33" s="307">
        <v>3</v>
      </c>
      <c r="J33" s="298">
        <v>5000000</v>
      </c>
      <c r="K33" s="298">
        <f>J33*I33*H33</f>
        <v>30000000</v>
      </c>
      <c r="L33" s="72"/>
      <c r="M33" s="72"/>
      <c r="AG33" s="234"/>
    </row>
    <row r="34" spans="3:33" ht="35.65" customHeight="1" x14ac:dyDescent="0.25">
      <c r="C34" s="302"/>
      <c r="D34" s="296"/>
      <c r="E34" s="296"/>
      <c r="F34" s="296"/>
      <c r="G34" s="177" t="s">
        <v>96</v>
      </c>
      <c r="H34" s="296"/>
      <c r="I34" s="308"/>
      <c r="J34" s="299"/>
      <c r="K34" s="299"/>
      <c r="L34" s="72"/>
      <c r="M34" s="72"/>
      <c r="AG34" s="234"/>
    </row>
    <row r="35" spans="3:33" ht="18.399999999999999" customHeight="1" x14ac:dyDescent="0.25">
      <c r="C35" s="302"/>
      <c r="D35" s="296"/>
      <c r="E35" s="296"/>
      <c r="F35" s="296"/>
      <c r="G35" s="176" t="s">
        <v>85</v>
      </c>
      <c r="H35" s="296"/>
      <c r="I35" s="308"/>
      <c r="J35" s="299"/>
      <c r="K35" s="299"/>
      <c r="L35" s="72"/>
      <c r="M35" s="72"/>
      <c r="AG35" s="234"/>
    </row>
    <row r="36" spans="3:33" ht="35.65" customHeight="1" x14ac:dyDescent="0.25">
      <c r="C36" s="302"/>
      <c r="D36" s="296"/>
      <c r="E36" s="296"/>
      <c r="F36" s="296"/>
      <c r="G36" s="177" t="s">
        <v>97</v>
      </c>
      <c r="H36" s="296"/>
      <c r="I36" s="308"/>
      <c r="J36" s="299"/>
      <c r="K36" s="299"/>
      <c r="L36" s="72"/>
      <c r="M36" s="72"/>
      <c r="AG36" s="234"/>
    </row>
    <row r="37" spans="3:33" ht="15.4" customHeight="1" x14ac:dyDescent="0.25">
      <c r="C37" s="302"/>
      <c r="D37" s="296"/>
      <c r="E37" s="296"/>
      <c r="F37" s="296"/>
      <c r="G37" s="176" t="s">
        <v>87</v>
      </c>
      <c r="H37" s="296"/>
      <c r="I37" s="308"/>
      <c r="J37" s="299"/>
      <c r="K37" s="299"/>
      <c r="L37" s="72"/>
      <c r="M37" s="72"/>
      <c r="AG37" s="234"/>
    </row>
    <row r="38" spans="3:33" ht="35.65" customHeight="1" x14ac:dyDescent="0.25">
      <c r="C38" s="302"/>
      <c r="D38" s="296"/>
      <c r="E38" s="297"/>
      <c r="F38" s="297"/>
      <c r="G38" s="180" t="s">
        <v>98</v>
      </c>
      <c r="H38" s="297"/>
      <c r="I38" s="309"/>
      <c r="J38" s="300"/>
      <c r="K38" s="300"/>
      <c r="L38" s="72"/>
      <c r="M38" s="72"/>
      <c r="AG38" s="234"/>
    </row>
    <row r="39" spans="3:33" ht="22.9" customHeight="1" x14ac:dyDescent="0.25">
      <c r="C39" s="302"/>
      <c r="D39" s="296"/>
      <c r="E39" s="295">
        <v>4</v>
      </c>
      <c r="F39" s="295" t="s">
        <v>99</v>
      </c>
      <c r="G39" s="176" t="s">
        <v>83</v>
      </c>
      <c r="H39" s="295">
        <v>2</v>
      </c>
      <c r="I39" s="307">
        <v>3</v>
      </c>
      <c r="J39" s="298">
        <v>5000000</v>
      </c>
      <c r="K39" s="298">
        <f>J39*I39*H39</f>
        <v>30000000</v>
      </c>
      <c r="L39" s="72"/>
      <c r="M39" s="72"/>
      <c r="AG39" s="234"/>
    </row>
    <row r="40" spans="3:33" ht="35.65" customHeight="1" x14ac:dyDescent="0.25">
      <c r="C40" s="302"/>
      <c r="D40" s="296"/>
      <c r="E40" s="296"/>
      <c r="F40" s="296"/>
      <c r="G40" s="177" t="s">
        <v>100</v>
      </c>
      <c r="H40" s="296"/>
      <c r="I40" s="308"/>
      <c r="J40" s="299"/>
      <c r="K40" s="299"/>
      <c r="L40" s="72"/>
      <c r="M40" s="72"/>
      <c r="AG40" s="234"/>
    </row>
    <row r="41" spans="3:33" ht="26.65" customHeight="1" x14ac:dyDescent="0.25">
      <c r="C41" s="302"/>
      <c r="D41" s="296"/>
      <c r="E41" s="296"/>
      <c r="F41" s="296"/>
      <c r="G41" s="176" t="s">
        <v>85</v>
      </c>
      <c r="H41" s="296"/>
      <c r="I41" s="308"/>
      <c r="J41" s="299"/>
      <c r="K41" s="299"/>
      <c r="L41" s="72"/>
      <c r="M41" s="72"/>
      <c r="AG41" s="234"/>
    </row>
    <row r="42" spans="3:33" ht="35.65" customHeight="1" x14ac:dyDescent="0.25">
      <c r="C42" s="302"/>
      <c r="D42" s="296"/>
      <c r="E42" s="296"/>
      <c r="F42" s="296"/>
      <c r="G42" s="177" t="s">
        <v>97</v>
      </c>
      <c r="H42" s="296"/>
      <c r="I42" s="308"/>
      <c r="J42" s="299"/>
      <c r="K42" s="299"/>
      <c r="L42" s="72"/>
      <c r="M42" s="72"/>
      <c r="AG42" s="234"/>
    </row>
    <row r="43" spans="3:33" ht="20.65" customHeight="1" x14ac:dyDescent="0.25">
      <c r="C43" s="302"/>
      <c r="D43" s="296"/>
      <c r="E43" s="296"/>
      <c r="F43" s="296"/>
      <c r="G43" s="176" t="s">
        <v>87</v>
      </c>
      <c r="H43" s="296"/>
      <c r="I43" s="308"/>
      <c r="J43" s="299"/>
      <c r="K43" s="299"/>
      <c r="L43" s="72"/>
      <c r="M43" s="72"/>
      <c r="AG43" s="234"/>
    </row>
    <row r="44" spans="3:33" ht="35.65" customHeight="1" x14ac:dyDescent="0.25">
      <c r="C44" s="303"/>
      <c r="D44" s="296"/>
      <c r="E44" s="297"/>
      <c r="F44" s="297"/>
      <c r="G44" s="180" t="s">
        <v>101</v>
      </c>
      <c r="H44" s="297"/>
      <c r="I44" s="309"/>
      <c r="J44" s="300"/>
      <c r="K44" s="300"/>
      <c r="L44" s="72"/>
      <c r="M44" s="72"/>
      <c r="AG44" s="234"/>
    </row>
    <row r="45" spans="3:33" ht="35.65" customHeight="1" x14ac:dyDescent="0.25">
      <c r="C45" s="301" t="s">
        <v>102</v>
      </c>
      <c r="D45" s="296"/>
      <c r="E45" s="295">
        <v>5</v>
      </c>
      <c r="F45" s="295" t="s">
        <v>95</v>
      </c>
      <c r="G45" s="176" t="s">
        <v>83</v>
      </c>
      <c r="H45" s="310">
        <v>3</v>
      </c>
      <c r="I45" s="307">
        <v>5</v>
      </c>
      <c r="J45" s="298">
        <v>5000000</v>
      </c>
      <c r="K45" s="298">
        <f>J45*I45*H45</f>
        <v>75000000</v>
      </c>
      <c r="L45" s="72"/>
      <c r="M45" s="72"/>
      <c r="AG45" s="234"/>
    </row>
    <row r="46" spans="3:33" ht="35.65" customHeight="1" x14ac:dyDescent="0.25">
      <c r="C46" s="302"/>
      <c r="D46" s="296"/>
      <c r="E46" s="296"/>
      <c r="F46" s="296"/>
      <c r="G46" s="177" t="s">
        <v>96</v>
      </c>
      <c r="H46" s="311"/>
      <c r="I46" s="308"/>
      <c r="J46" s="299"/>
      <c r="K46" s="299"/>
      <c r="L46" s="72"/>
      <c r="M46" s="72"/>
      <c r="AG46" s="234"/>
    </row>
    <row r="47" spans="3:33" ht="35.65" customHeight="1" x14ac:dyDescent="0.25">
      <c r="C47" s="302"/>
      <c r="D47" s="296"/>
      <c r="E47" s="296"/>
      <c r="F47" s="296"/>
      <c r="G47" s="176" t="s">
        <v>85</v>
      </c>
      <c r="H47" s="311"/>
      <c r="I47" s="308"/>
      <c r="J47" s="299"/>
      <c r="K47" s="299"/>
      <c r="L47" s="72"/>
      <c r="M47" s="72"/>
      <c r="AG47" s="234"/>
    </row>
    <row r="48" spans="3:33" ht="35.65" customHeight="1" x14ac:dyDescent="0.25">
      <c r="C48" s="302"/>
      <c r="D48" s="296"/>
      <c r="E48" s="296"/>
      <c r="F48" s="296"/>
      <c r="G48" s="177" t="s">
        <v>97</v>
      </c>
      <c r="H48" s="311"/>
      <c r="I48" s="308"/>
      <c r="J48" s="299"/>
      <c r="K48" s="299"/>
      <c r="L48" s="72"/>
      <c r="M48" s="72"/>
      <c r="AG48" s="234"/>
    </row>
    <row r="49" spans="3:13" ht="35.65" customHeight="1" x14ac:dyDescent="0.25">
      <c r="C49" s="302"/>
      <c r="D49" s="296"/>
      <c r="E49" s="296"/>
      <c r="F49" s="296"/>
      <c r="G49" s="176" t="s">
        <v>87</v>
      </c>
      <c r="H49" s="311"/>
      <c r="I49" s="308"/>
      <c r="J49" s="299"/>
      <c r="K49" s="299"/>
      <c r="L49" s="72"/>
      <c r="M49" s="72"/>
    </row>
    <row r="50" spans="3:13" ht="35.65" customHeight="1" x14ac:dyDescent="0.25">
      <c r="C50" s="302"/>
      <c r="D50" s="296"/>
      <c r="E50" s="297"/>
      <c r="F50" s="297"/>
      <c r="G50" s="180" t="s">
        <v>98</v>
      </c>
      <c r="H50" s="312"/>
      <c r="I50" s="309"/>
      <c r="J50" s="300"/>
      <c r="K50" s="300"/>
      <c r="L50" s="72"/>
      <c r="M50" s="72"/>
    </row>
    <row r="51" spans="3:13" ht="35.65" customHeight="1" x14ac:dyDescent="0.25">
      <c r="C51" s="302"/>
      <c r="D51" s="296"/>
      <c r="E51" s="295">
        <v>6</v>
      </c>
      <c r="F51" s="295" t="s">
        <v>99</v>
      </c>
      <c r="G51" s="176" t="s">
        <v>83</v>
      </c>
      <c r="H51" s="310">
        <v>3</v>
      </c>
      <c r="I51" s="307">
        <v>5</v>
      </c>
      <c r="J51" s="298">
        <v>5000000</v>
      </c>
      <c r="K51" s="298">
        <f>J51*I51*H51</f>
        <v>75000000</v>
      </c>
      <c r="L51" s="72"/>
      <c r="M51" s="72"/>
    </row>
    <row r="52" spans="3:13" ht="35.65" customHeight="1" x14ac:dyDescent="0.25">
      <c r="C52" s="302"/>
      <c r="D52" s="296"/>
      <c r="E52" s="296"/>
      <c r="F52" s="296"/>
      <c r="G52" s="177" t="s">
        <v>100</v>
      </c>
      <c r="H52" s="311"/>
      <c r="I52" s="308"/>
      <c r="J52" s="299"/>
      <c r="K52" s="299"/>
      <c r="L52" s="72"/>
      <c r="M52" s="72"/>
    </row>
    <row r="53" spans="3:13" ht="35.65" customHeight="1" x14ac:dyDescent="0.25">
      <c r="C53" s="302"/>
      <c r="D53" s="296"/>
      <c r="E53" s="296"/>
      <c r="F53" s="296"/>
      <c r="G53" s="176" t="s">
        <v>85</v>
      </c>
      <c r="H53" s="311"/>
      <c r="I53" s="308"/>
      <c r="J53" s="299"/>
      <c r="K53" s="299"/>
      <c r="L53" s="72"/>
      <c r="M53" s="72"/>
    </row>
    <row r="54" spans="3:13" ht="35.65" customHeight="1" x14ac:dyDescent="0.25">
      <c r="C54" s="302"/>
      <c r="D54" s="296"/>
      <c r="E54" s="296"/>
      <c r="F54" s="296"/>
      <c r="G54" s="177" t="s">
        <v>97</v>
      </c>
      <c r="H54" s="311"/>
      <c r="I54" s="308"/>
      <c r="J54" s="299"/>
      <c r="K54" s="299"/>
      <c r="L54" s="72"/>
      <c r="M54" s="72"/>
    </row>
    <row r="55" spans="3:13" ht="35.65" customHeight="1" x14ac:dyDescent="0.25">
      <c r="C55" s="302"/>
      <c r="D55" s="296"/>
      <c r="E55" s="296"/>
      <c r="F55" s="296"/>
      <c r="G55" s="176" t="s">
        <v>87</v>
      </c>
      <c r="H55" s="311"/>
      <c r="I55" s="308"/>
      <c r="J55" s="299"/>
      <c r="K55" s="299"/>
      <c r="L55" s="72"/>
      <c r="M55" s="72"/>
    </row>
    <row r="56" spans="3:13" ht="35.65" customHeight="1" x14ac:dyDescent="0.25">
      <c r="C56" s="303"/>
      <c r="D56" s="296"/>
      <c r="E56" s="297"/>
      <c r="F56" s="297"/>
      <c r="G56" s="180" t="s">
        <v>101</v>
      </c>
      <c r="H56" s="312"/>
      <c r="I56" s="309"/>
      <c r="J56" s="300"/>
      <c r="K56" s="300"/>
      <c r="L56" s="72"/>
      <c r="M56" s="72"/>
    </row>
    <row r="57" spans="3:13" ht="15.4" customHeight="1" x14ac:dyDescent="0.25">
      <c r="C57" s="301" t="s">
        <v>103</v>
      </c>
      <c r="D57" s="296"/>
      <c r="E57" s="295">
        <v>7</v>
      </c>
      <c r="F57" s="295" t="s">
        <v>95</v>
      </c>
      <c r="G57" s="176" t="s">
        <v>83</v>
      </c>
      <c r="H57" s="295">
        <v>4</v>
      </c>
      <c r="I57" s="304">
        <v>4</v>
      </c>
      <c r="J57" s="298">
        <v>5000000</v>
      </c>
      <c r="K57" s="298">
        <f>J57*I57*H57</f>
        <v>80000000</v>
      </c>
      <c r="L57" s="72"/>
      <c r="M57" s="72"/>
    </row>
    <row r="58" spans="3:13" ht="35.65" customHeight="1" x14ac:dyDescent="0.25">
      <c r="C58" s="302"/>
      <c r="D58" s="296"/>
      <c r="E58" s="296"/>
      <c r="F58" s="296"/>
      <c r="G58" s="177" t="s">
        <v>96</v>
      </c>
      <c r="H58" s="296"/>
      <c r="I58" s="305"/>
      <c r="J58" s="299"/>
      <c r="K58" s="299"/>
      <c r="L58" s="72"/>
      <c r="M58" s="72"/>
    </row>
    <row r="59" spans="3:13" x14ac:dyDescent="0.25">
      <c r="C59" s="302"/>
      <c r="D59" s="296"/>
      <c r="E59" s="296"/>
      <c r="F59" s="296"/>
      <c r="G59" s="176" t="s">
        <v>85</v>
      </c>
      <c r="H59" s="296"/>
      <c r="I59" s="305"/>
      <c r="J59" s="299"/>
      <c r="K59" s="299"/>
      <c r="L59" s="72"/>
      <c r="M59" s="72"/>
    </row>
    <row r="60" spans="3:13" ht="35.65" customHeight="1" x14ac:dyDescent="0.25">
      <c r="C60" s="302"/>
      <c r="D60" s="296"/>
      <c r="E60" s="296"/>
      <c r="F60" s="296"/>
      <c r="G60" s="177" t="s">
        <v>97</v>
      </c>
      <c r="H60" s="296"/>
      <c r="I60" s="305"/>
      <c r="J60" s="299"/>
      <c r="K60" s="299"/>
      <c r="L60" s="72"/>
      <c r="M60" s="72"/>
    </row>
    <row r="61" spans="3:13" x14ac:dyDescent="0.25">
      <c r="C61" s="302"/>
      <c r="D61" s="296"/>
      <c r="E61" s="296"/>
      <c r="F61" s="296"/>
      <c r="G61" s="176" t="s">
        <v>87</v>
      </c>
      <c r="H61" s="296"/>
      <c r="I61" s="305"/>
      <c r="J61" s="299"/>
      <c r="K61" s="299"/>
      <c r="L61" s="72"/>
      <c r="M61" s="72"/>
    </row>
    <row r="62" spans="3:13" ht="35.65" customHeight="1" x14ac:dyDescent="0.25">
      <c r="C62" s="302"/>
      <c r="D62" s="296"/>
      <c r="E62" s="297"/>
      <c r="F62" s="297"/>
      <c r="G62" s="180" t="s">
        <v>98</v>
      </c>
      <c r="H62" s="297"/>
      <c r="I62" s="306"/>
      <c r="J62" s="300"/>
      <c r="K62" s="300"/>
      <c r="L62" s="72"/>
      <c r="M62" s="72"/>
    </row>
    <row r="63" spans="3:13" ht="15.75" customHeight="1" x14ac:dyDescent="0.25">
      <c r="C63" s="302"/>
      <c r="D63" s="296"/>
      <c r="E63" s="295">
        <v>8</v>
      </c>
      <c r="F63" s="295" t="s">
        <v>99</v>
      </c>
      <c r="G63" s="176" t="s">
        <v>83</v>
      </c>
      <c r="H63" s="295">
        <v>4</v>
      </c>
      <c r="I63" s="304">
        <v>4</v>
      </c>
      <c r="J63" s="298">
        <v>5000000</v>
      </c>
      <c r="K63" s="298">
        <f>J63*I63*H63</f>
        <v>80000000</v>
      </c>
      <c r="L63" s="72"/>
      <c r="M63" s="72"/>
    </row>
    <row r="64" spans="3:13" ht="35.65" customHeight="1" x14ac:dyDescent="0.25">
      <c r="C64" s="302"/>
      <c r="D64" s="296"/>
      <c r="E64" s="296"/>
      <c r="F64" s="296"/>
      <c r="G64" s="177" t="s">
        <v>100</v>
      </c>
      <c r="H64" s="296"/>
      <c r="I64" s="305"/>
      <c r="J64" s="299"/>
      <c r="K64" s="299"/>
      <c r="L64" s="72"/>
      <c r="M64" s="72"/>
    </row>
    <row r="65" spans="3:13" x14ac:dyDescent="0.25">
      <c r="C65" s="302"/>
      <c r="D65" s="296"/>
      <c r="E65" s="296"/>
      <c r="F65" s="296"/>
      <c r="G65" s="176" t="s">
        <v>85</v>
      </c>
      <c r="H65" s="296"/>
      <c r="I65" s="305"/>
      <c r="J65" s="299"/>
      <c r="K65" s="299"/>
      <c r="L65" s="72"/>
      <c r="M65" s="72"/>
    </row>
    <row r="66" spans="3:13" ht="35.65" customHeight="1" x14ac:dyDescent="0.25">
      <c r="C66" s="302"/>
      <c r="D66" s="296"/>
      <c r="E66" s="296"/>
      <c r="F66" s="296"/>
      <c r="G66" s="177" t="s">
        <v>97</v>
      </c>
      <c r="H66" s="296"/>
      <c r="I66" s="305"/>
      <c r="J66" s="299"/>
      <c r="K66" s="299"/>
      <c r="L66" s="72"/>
      <c r="M66" s="72"/>
    </row>
    <row r="67" spans="3:13" x14ac:dyDescent="0.25">
      <c r="C67" s="302"/>
      <c r="D67" s="296"/>
      <c r="E67" s="296"/>
      <c r="F67" s="296"/>
      <c r="G67" s="176" t="s">
        <v>87</v>
      </c>
      <c r="H67" s="296"/>
      <c r="I67" s="305"/>
      <c r="J67" s="299"/>
      <c r="K67" s="299"/>
      <c r="L67" s="72"/>
      <c r="M67" s="72"/>
    </row>
    <row r="68" spans="3:13" ht="35.65" customHeight="1" x14ac:dyDescent="0.25">
      <c r="C68" s="303"/>
      <c r="D68" s="296"/>
      <c r="E68" s="297"/>
      <c r="F68" s="297"/>
      <c r="G68" s="180" t="s">
        <v>101</v>
      </c>
      <c r="H68" s="297"/>
      <c r="I68" s="306"/>
      <c r="J68" s="300"/>
      <c r="K68" s="300"/>
      <c r="L68" s="72"/>
      <c r="M68" s="72"/>
    </row>
    <row r="69" spans="3:13" ht="15.75" customHeight="1" x14ac:dyDescent="0.25">
      <c r="C69" s="301" t="s">
        <v>104</v>
      </c>
      <c r="D69" s="296"/>
      <c r="E69" s="295">
        <v>9</v>
      </c>
      <c r="F69" s="295" t="s">
        <v>105</v>
      </c>
      <c r="G69" s="176" t="s">
        <v>83</v>
      </c>
      <c r="H69" s="295">
        <v>2</v>
      </c>
      <c r="I69" s="307">
        <v>3</v>
      </c>
      <c r="J69" s="313">
        <v>5000000</v>
      </c>
      <c r="K69" s="298">
        <f>J69*I69*H69</f>
        <v>30000000</v>
      </c>
      <c r="L69" s="72"/>
      <c r="M69" s="72"/>
    </row>
    <row r="70" spans="3:13" ht="35.65" customHeight="1" x14ac:dyDescent="0.25">
      <c r="C70" s="302"/>
      <c r="D70" s="296"/>
      <c r="E70" s="296"/>
      <c r="F70" s="296"/>
      <c r="G70" s="177" t="s">
        <v>106</v>
      </c>
      <c r="H70" s="296"/>
      <c r="I70" s="308"/>
      <c r="J70" s="314"/>
      <c r="K70" s="299"/>
      <c r="L70" s="72"/>
      <c r="M70" s="72"/>
    </row>
    <row r="71" spans="3:13" x14ac:dyDescent="0.25">
      <c r="C71" s="302"/>
      <c r="D71" s="296"/>
      <c r="E71" s="296"/>
      <c r="F71" s="296"/>
      <c r="G71" s="176" t="s">
        <v>85</v>
      </c>
      <c r="H71" s="296"/>
      <c r="I71" s="308"/>
      <c r="J71" s="314"/>
      <c r="K71" s="299"/>
      <c r="L71" s="72"/>
      <c r="M71" s="72"/>
    </row>
    <row r="72" spans="3:13" ht="35.65" customHeight="1" x14ac:dyDescent="0.25">
      <c r="C72" s="302"/>
      <c r="D72" s="296"/>
      <c r="E72" s="296"/>
      <c r="F72" s="296"/>
      <c r="G72" s="177" t="s">
        <v>97</v>
      </c>
      <c r="H72" s="296"/>
      <c r="I72" s="308"/>
      <c r="J72" s="314"/>
      <c r="K72" s="299"/>
      <c r="L72" s="72"/>
      <c r="M72" s="72"/>
    </row>
    <row r="73" spans="3:13" x14ac:dyDescent="0.25">
      <c r="C73" s="302"/>
      <c r="D73" s="296"/>
      <c r="E73" s="296"/>
      <c r="F73" s="296"/>
      <c r="G73" s="176" t="s">
        <v>87</v>
      </c>
      <c r="H73" s="296"/>
      <c r="I73" s="308"/>
      <c r="J73" s="314"/>
      <c r="K73" s="299"/>
      <c r="L73" s="72"/>
      <c r="M73" s="72"/>
    </row>
    <row r="74" spans="3:13" ht="35.65" customHeight="1" x14ac:dyDescent="0.25">
      <c r="C74" s="303"/>
      <c r="D74" s="296"/>
      <c r="E74" s="297"/>
      <c r="F74" s="297"/>
      <c r="G74" s="180" t="s">
        <v>107</v>
      </c>
      <c r="H74" s="297"/>
      <c r="I74" s="309"/>
      <c r="J74" s="315"/>
      <c r="K74" s="300"/>
      <c r="L74" s="72"/>
      <c r="M74" s="72"/>
    </row>
    <row r="75" spans="3:13" ht="35.65" customHeight="1" x14ac:dyDescent="0.25">
      <c r="C75" s="301" t="s">
        <v>108</v>
      </c>
      <c r="D75" s="296"/>
      <c r="E75" s="295">
        <v>10</v>
      </c>
      <c r="F75" s="295" t="s">
        <v>109</v>
      </c>
      <c r="G75" s="176" t="s">
        <v>83</v>
      </c>
      <c r="H75" s="310">
        <v>4</v>
      </c>
      <c r="I75" s="307">
        <v>5.5</v>
      </c>
      <c r="J75" s="298">
        <v>5000000</v>
      </c>
      <c r="K75" s="298">
        <f>J75*I75*H75</f>
        <v>110000000</v>
      </c>
      <c r="L75" s="72"/>
      <c r="M75" s="72"/>
    </row>
    <row r="76" spans="3:13" ht="35.65" customHeight="1" x14ac:dyDescent="0.25">
      <c r="C76" s="302"/>
      <c r="D76" s="296"/>
      <c r="E76" s="296"/>
      <c r="F76" s="296"/>
      <c r="G76" s="177" t="s">
        <v>96</v>
      </c>
      <c r="H76" s="311"/>
      <c r="I76" s="308"/>
      <c r="J76" s="299"/>
      <c r="K76" s="299"/>
      <c r="L76" s="72"/>
      <c r="M76" s="72"/>
    </row>
    <row r="77" spans="3:13" ht="35.65" customHeight="1" x14ac:dyDescent="0.25">
      <c r="C77" s="302"/>
      <c r="D77" s="296"/>
      <c r="E77" s="296"/>
      <c r="F77" s="296"/>
      <c r="G77" s="176" t="s">
        <v>85</v>
      </c>
      <c r="H77" s="311"/>
      <c r="I77" s="308"/>
      <c r="J77" s="299"/>
      <c r="K77" s="299"/>
      <c r="L77" s="72"/>
      <c r="M77" s="182"/>
    </row>
    <row r="78" spans="3:13" ht="35.65" customHeight="1" x14ac:dyDescent="0.25">
      <c r="C78" s="302"/>
      <c r="D78" s="296"/>
      <c r="E78" s="296"/>
      <c r="F78" s="296"/>
      <c r="G78" s="177" t="s">
        <v>97</v>
      </c>
      <c r="H78" s="311"/>
      <c r="I78" s="308"/>
      <c r="J78" s="299"/>
      <c r="K78" s="299"/>
      <c r="L78" s="72"/>
      <c r="M78" s="72"/>
    </row>
    <row r="79" spans="3:13" ht="35.65" customHeight="1" x14ac:dyDescent="0.25">
      <c r="C79" s="302"/>
      <c r="D79" s="296"/>
      <c r="E79" s="296"/>
      <c r="F79" s="296"/>
      <c r="G79" s="176" t="s">
        <v>87</v>
      </c>
      <c r="H79" s="311"/>
      <c r="I79" s="308"/>
      <c r="J79" s="299"/>
      <c r="K79" s="299"/>
      <c r="L79" s="72"/>
      <c r="M79" s="72"/>
    </row>
    <row r="80" spans="3:13" ht="35.65" customHeight="1" x14ac:dyDescent="0.25">
      <c r="C80" s="303"/>
      <c r="D80" s="296"/>
      <c r="E80" s="297"/>
      <c r="F80" s="297"/>
      <c r="G80" s="180" t="s">
        <v>110</v>
      </c>
      <c r="H80" s="312"/>
      <c r="I80" s="309"/>
      <c r="J80" s="300"/>
      <c r="K80" s="300"/>
      <c r="L80" s="72"/>
      <c r="M80" s="72"/>
    </row>
    <row r="81" spans="3:14" x14ac:dyDescent="0.25">
      <c r="C81" s="301" t="s">
        <v>108</v>
      </c>
      <c r="D81" s="296"/>
      <c r="E81" s="295">
        <v>11</v>
      </c>
      <c r="F81" s="295" t="s">
        <v>111</v>
      </c>
      <c r="G81" s="176" t="s">
        <v>83</v>
      </c>
      <c r="H81" s="310">
        <v>4</v>
      </c>
      <c r="I81" s="307">
        <v>5.5</v>
      </c>
      <c r="J81" s="298">
        <v>5000000</v>
      </c>
      <c r="K81" s="298">
        <f>J81*I81*H81</f>
        <v>110000000</v>
      </c>
      <c r="L81" s="72"/>
      <c r="M81" s="72"/>
    </row>
    <row r="82" spans="3:14" ht="35.65" customHeight="1" x14ac:dyDescent="0.25">
      <c r="C82" s="302"/>
      <c r="D82" s="296"/>
      <c r="E82" s="296"/>
      <c r="F82" s="296"/>
      <c r="G82" s="177" t="s">
        <v>100</v>
      </c>
      <c r="H82" s="311"/>
      <c r="I82" s="308"/>
      <c r="J82" s="299"/>
      <c r="K82" s="299"/>
      <c r="L82" s="72"/>
      <c r="M82" s="72"/>
    </row>
    <row r="83" spans="3:14" x14ac:dyDescent="0.25">
      <c r="C83" s="302"/>
      <c r="D83" s="296"/>
      <c r="E83" s="296"/>
      <c r="F83" s="296"/>
      <c r="G83" s="176" t="s">
        <v>85</v>
      </c>
      <c r="H83" s="311"/>
      <c r="I83" s="308"/>
      <c r="J83" s="299"/>
      <c r="K83" s="299"/>
      <c r="L83" s="72"/>
      <c r="M83" s="72"/>
    </row>
    <row r="84" spans="3:14" ht="35.65" customHeight="1" x14ac:dyDescent="0.25">
      <c r="C84" s="302"/>
      <c r="D84" s="296"/>
      <c r="E84" s="296"/>
      <c r="F84" s="296"/>
      <c r="G84" s="177" t="s">
        <v>97</v>
      </c>
      <c r="H84" s="311"/>
      <c r="I84" s="308"/>
      <c r="J84" s="299"/>
      <c r="K84" s="299"/>
      <c r="L84" s="72"/>
      <c r="M84" s="72"/>
    </row>
    <row r="85" spans="3:14" x14ac:dyDescent="0.25">
      <c r="C85" s="302"/>
      <c r="D85" s="296"/>
      <c r="E85" s="296"/>
      <c r="F85" s="296"/>
      <c r="G85" s="176" t="s">
        <v>87</v>
      </c>
      <c r="H85" s="311"/>
      <c r="I85" s="308"/>
      <c r="J85" s="299"/>
      <c r="K85" s="299"/>
      <c r="L85" s="72"/>
      <c r="M85" s="72"/>
    </row>
    <row r="86" spans="3:14" ht="35.65" customHeight="1" x14ac:dyDescent="0.25">
      <c r="C86" s="303"/>
      <c r="D86" s="297"/>
      <c r="E86" s="297"/>
      <c r="F86" s="297"/>
      <c r="G86" s="181" t="s">
        <v>112</v>
      </c>
      <c r="H86" s="312"/>
      <c r="I86" s="309"/>
      <c r="J86" s="300"/>
      <c r="K86" s="300"/>
      <c r="L86" s="72"/>
      <c r="M86" s="72"/>
    </row>
    <row r="87" spans="3:14" ht="65.25" customHeight="1" x14ac:dyDescent="0.25">
      <c r="C87" s="316" t="s">
        <v>113</v>
      </c>
      <c r="D87" s="317"/>
      <c r="E87" s="317"/>
      <c r="F87" s="317"/>
      <c r="G87" s="317"/>
      <c r="H87" s="317"/>
      <c r="I87" s="317"/>
      <c r="J87" s="317"/>
      <c r="K87" s="317"/>
    </row>
    <row r="89" spans="3:14" ht="20.25" customHeight="1" x14ac:dyDescent="0.25">
      <c r="I89" s="76" t="s">
        <v>114</v>
      </c>
      <c r="J89" s="77">
        <f>SUM(K19:K86)</f>
        <v>711048000</v>
      </c>
    </row>
    <row r="92" spans="3:14" ht="15.75" customHeight="1" x14ac:dyDescent="0.25">
      <c r="G92" s="164" t="s">
        <v>115</v>
      </c>
      <c r="H92" s="164" t="s">
        <v>12</v>
      </c>
      <c r="I92" s="164" t="s">
        <v>116</v>
      </c>
      <c r="J92" s="164" t="s">
        <v>117</v>
      </c>
      <c r="K92" s="164" t="s">
        <v>118</v>
      </c>
      <c r="L92" s="164" t="s">
        <v>119</v>
      </c>
      <c r="M92" s="164" t="s">
        <v>18</v>
      </c>
      <c r="N92" s="164" t="s">
        <v>19</v>
      </c>
    </row>
    <row r="93" spans="3:14" ht="15.75" customHeight="1" x14ac:dyDescent="0.25">
      <c r="C93" s="318" t="s">
        <v>120</v>
      </c>
      <c r="D93" s="319"/>
      <c r="E93" s="319"/>
      <c r="F93" s="320"/>
      <c r="G93" s="42" t="s">
        <v>121</v>
      </c>
      <c r="H93" s="174">
        <v>1</v>
      </c>
      <c r="I93" s="174" t="s">
        <v>44</v>
      </c>
      <c r="J93" s="163">
        <f>3450000/1.19</f>
        <v>2899159.6638655462</v>
      </c>
      <c r="K93" s="163">
        <f t="shared" ref="K93:K99" si="13">J93*19%</f>
        <v>550840.33613445377</v>
      </c>
      <c r="L93" s="163">
        <f t="shared" ref="L93:L99" si="14">J93+K93</f>
        <v>3450000</v>
      </c>
      <c r="M93" s="175">
        <f>J93*H93</f>
        <v>2899159.6638655462</v>
      </c>
      <c r="N93" s="175">
        <f>L93*H93</f>
        <v>3450000</v>
      </c>
    </row>
    <row r="94" spans="3:14" ht="105" x14ac:dyDescent="0.25">
      <c r="C94" s="321" t="s">
        <v>122</v>
      </c>
      <c r="D94" s="321"/>
      <c r="E94" s="321"/>
      <c r="F94" s="321"/>
      <c r="G94" s="42" t="s">
        <v>123</v>
      </c>
      <c r="H94" s="172">
        <v>10</v>
      </c>
      <c r="I94" s="236" t="s">
        <v>124</v>
      </c>
      <c r="J94" s="237">
        <f>AVERAGE('[3]ESTUDIO DE MERCADO'!$D$70,'[3]ESTUDIO DE MERCADO'!$G$70,'[3]ESTUDIO DE MERCADO'!$J$70)</f>
        <v>8564484.5333333332</v>
      </c>
      <c r="K94" s="173">
        <f t="shared" si="13"/>
        <v>1627252.0613333334</v>
      </c>
      <c r="L94" s="173">
        <f t="shared" si="14"/>
        <v>10191736.594666667</v>
      </c>
      <c r="M94" s="175">
        <f t="shared" ref="M94" si="15">J94*H94</f>
        <v>85644845.333333328</v>
      </c>
      <c r="N94" s="175">
        <f t="shared" ref="N94" si="16">L94*H94</f>
        <v>101917365.94666667</v>
      </c>
    </row>
    <row r="95" spans="3:14" ht="45" x14ac:dyDescent="0.25">
      <c r="C95" s="321"/>
      <c r="D95" s="321"/>
      <c r="E95" s="321"/>
      <c r="F95" s="321"/>
      <c r="G95" s="42" t="str">
        <f>PROPER("CARPA PAGODA DE 4X4 CON LATERALES  INCLUYE INSTALACIÓN, TRASPORTE Y ENTREGA EN EL LUGAR REQUERIDO, MONTAJE Y DESMONTAJE DE LA MISMA (JORNADA ENTRE 4 A 6 HORAS - DÍA)")</f>
        <v>Carpa Pagoda De 4X4 Con Laterales  Incluye Instalación, Trasporte Y Entrega En El Lugar Requerido, Montaje Y Desmontaje De La Misma (Jornada Entre 4 A 6 Horas - Día)</v>
      </c>
      <c r="H95" s="172">
        <v>50</v>
      </c>
      <c r="I95" s="236" t="s">
        <v>124</v>
      </c>
      <c r="J95" s="237">
        <f>AVERAGE('[3]ESTUDIO DE MERCADO'!$D$39,'[3]ESTUDIO DE MERCADO'!$G$39,'[3]ESTUDIO DE MERCADO'!$J$39)</f>
        <v>1016982.9333333332</v>
      </c>
      <c r="K95" s="173">
        <f t="shared" si="13"/>
        <v>193226.75733333331</v>
      </c>
      <c r="L95" s="173">
        <f t="shared" si="14"/>
        <v>1210209.6906666665</v>
      </c>
      <c r="M95" s="175">
        <f t="shared" ref="M95:M97" si="17">J95*H95</f>
        <v>50849146.666666664</v>
      </c>
      <c r="N95" s="175">
        <f t="shared" ref="N95:N97" si="18">L95*H95</f>
        <v>60510484.533333324</v>
      </c>
    </row>
    <row r="96" spans="3:14" ht="75" x14ac:dyDescent="0.25">
      <c r="C96" s="321"/>
      <c r="D96" s="321"/>
      <c r="E96" s="321"/>
      <c r="F96" s="321"/>
      <c r="G96" s="42" t="s">
        <v>125</v>
      </c>
      <c r="H96" s="35">
        <v>10</v>
      </c>
      <c r="I96" s="35" t="s">
        <v>44</v>
      </c>
      <c r="J96" s="237">
        <f>AVERAGE('[3]ESTUDIO DE MERCADO'!$D$48,'[3]ESTUDIO DE MERCADO'!$G$48,'[3]ESTUDIO DE MERCADO'!$J$48)</f>
        <v>2209593.0666666669</v>
      </c>
      <c r="K96" s="173">
        <f t="shared" si="13"/>
        <v>419822.68266666669</v>
      </c>
      <c r="L96" s="173">
        <f t="shared" si="14"/>
        <v>2629415.7493333337</v>
      </c>
      <c r="M96" s="175">
        <f t="shared" si="17"/>
        <v>22095930.666666668</v>
      </c>
      <c r="N96" s="175">
        <f t="shared" si="18"/>
        <v>26294157.493333336</v>
      </c>
    </row>
    <row r="97" spans="3:14" ht="30" x14ac:dyDescent="0.25">
      <c r="C97" s="321"/>
      <c r="D97" s="321"/>
      <c r="E97" s="321"/>
      <c r="F97" s="321"/>
      <c r="G97" s="42" t="s">
        <v>126</v>
      </c>
      <c r="H97" s="35">
        <v>150</v>
      </c>
      <c r="I97" s="35" t="s">
        <v>44</v>
      </c>
      <c r="J97" s="237">
        <f>AVERAGE('[3]ESTUDIO DE MERCADO'!$D$31,'[3]ESTUDIO DE MERCADO'!$G$31,'[3]ESTUDIO DE MERCADO'!$J$31)</f>
        <v>4025.6119999999996</v>
      </c>
      <c r="K97" s="173">
        <f t="shared" si="13"/>
        <v>764.86627999999996</v>
      </c>
      <c r="L97" s="173">
        <f t="shared" si="14"/>
        <v>4790.4782799999994</v>
      </c>
      <c r="M97" s="175">
        <f t="shared" si="17"/>
        <v>603841.79999999993</v>
      </c>
      <c r="N97" s="175">
        <f t="shared" si="18"/>
        <v>718571.74199999985</v>
      </c>
    </row>
    <row r="98" spans="3:14" ht="45" x14ac:dyDescent="0.25">
      <c r="C98" s="321"/>
      <c r="D98" s="321"/>
      <c r="E98" s="321"/>
      <c r="F98" s="321"/>
      <c r="G98" s="36" t="s">
        <v>127</v>
      </c>
      <c r="H98" s="47">
        <v>300</v>
      </c>
      <c r="I98" s="47" t="s">
        <v>44</v>
      </c>
      <c r="J98" s="238">
        <f>AVERAGE('[3]ESTUDIO DE MERCADO'!$D$25,'[3]ESTUDIO DE MERCADO'!$G$25,'[3]ESTUDIO DE MERCADO'!$J$25)</f>
        <v>8653.8906666666662</v>
      </c>
      <c r="K98" s="183">
        <f t="shared" si="13"/>
        <v>1644.2392266666666</v>
      </c>
      <c r="L98" s="183">
        <f t="shared" si="14"/>
        <v>10298.129893333333</v>
      </c>
      <c r="M98" s="184">
        <f>J98*H98</f>
        <v>2596167.1999999997</v>
      </c>
      <c r="N98" s="184">
        <f>L98*H98</f>
        <v>3089438.9679999999</v>
      </c>
    </row>
    <row r="99" spans="3:14" ht="51" x14ac:dyDescent="0.25">
      <c r="C99" s="321"/>
      <c r="D99" s="321"/>
      <c r="E99" s="321"/>
      <c r="F99" s="322"/>
      <c r="G99" s="185" t="s">
        <v>128</v>
      </c>
      <c r="H99" s="186">
        <v>10</v>
      </c>
      <c r="I99" s="239" t="s">
        <v>124</v>
      </c>
      <c r="J99" s="240">
        <f>AVERAGE('[3]ESTUDIO DE MERCADO'!$D$75,'[3]ESTUDIO DE MERCADO'!$G$75,'[3]ESTUDIO DE MERCADO'!$J$75)</f>
        <v>1380344.1333333333</v>
      </c>
      <c r="K99" s="187">
        <f t="shared" si="13"/>
        <v>262265.38533333334</v>
      </c>
      <c r="L99" s="187">
        <f t="shared" si="14"/>
        <v>1642609.5186666667</v>
      </c>
      <c r="M99" s="188">
        <f>J99*H99</f>
        <v>13803441.333333332</v>
      </c>
      <c r="N99" s="188">
        <f>L99*H99</f>
        <v>16426095.186666667</v>
      </c>
    </row>
    <row r="100" spans="3:14" ht="15.75" customHeight="1" x14ac:dyDescent="0.25">
      <c r="N100" s="145">
        <f>SUM(N94:N99)</f>
        <v>208956113.87</v>
      </c>
    </row>
    <row r="101" spans="3:14" x14ac:dyDescent="0.25">
      <c r="H101" s="1"/>
    </row>
  </sheetData>
  <mergeCells count="100">
    <mergeCell ref="K81:K86"/>
    <mergeCell ref="C87:K87"/>
    <mergeCell ref="C93:F93"/>
    <mergeCell ref="C94:F99"/>
    <mergeCell ref="C81:C86"/>
    <mergeCell ref="E81:E86"/>
    <mergeCell ref="F81:F86"/>
    <mergeCell ref="H81:H86"/>
    <mergeCell ref="I81:I86"/>
    <mergeCell ref="J81:J86"/>
    <mergeCell ref="K69:K74"/>
    <mergeCell ref="C75:C80"/>
    <mergeCell ref="E75:E80"/>
    <mergeCell ref="F75:F80"/>
    <mergeCell ref="H75:H80"/>
    <mergeCell ref="I75:I80"/>
    <mergeCell ref="J75:J80"/>
    <mergeCell ref="K75:K80"/>
    <mergeCell ref="C69:C74"/>
    <mergeCell ref="E69:E74"/>
    <mergeCell ref="F69:F74"/>
    <mergeCell ref="H69:H74"/>
    <mergeCell ref="I69:I74"/>
    <mergeCell ref="J69:J74"/>
    <mergeCell ref="J57:J62"/>
    <mergeCell ref="K57:K62"/>
    <mergeCell ref="E63:E68"/>
    <mergeCell ref="F63:F68"/>
    <mergeCell ref="H63:H68"/>
    <mergeCell ref="I63:I68"/>
    <mergeCell ref="J63:J68"/>
    <mergeCell ref="K63:K68"/>
    <mergeCell ref="C57:C68"/>
    <mergeCell ref="E57:E62"/>
    <mergeCell ref="F57:F62"/>
    <mergeCell ref="H57:H62"/>
    <mergeCell ref="I57:I62"/>
    <mergeCell ref="J45:J50"/>
    <mergeCell ref="K45:K50"/>
    <mergeCell ref="E51:E56"/>
    <mergeCell ref="F51:F56"/>
    <mergeCell ref="E39:E44"/>
    <mergeCell ref="F39:F44"/>
    <mergeCell ref="H39:H44"/>
    <mergeCell ref="I39:I44"/>
    <mergeCell ref="J39:J44"/>
    <mergeCell ref="H51:H56"/>
    <mergeCell ref="I51:I56"/>
    <mergeCell ref="J51:J56"/>
    <mergeCell ref="K51:K56"/>
    <mergeCell ref="C45:C56"/>
    <mergeCell ref="E45:E50"/>
    <mergeCell ref="F45:F50"/>
    <mergeCell ref="H45:H50"/>
    <mergeCell ref="I45:I50"/>
    <mergeCell ref="H33:H38"/>
    <mergeCell ref="I33:I38"/>
    <mergeCell ref="J33:J38"/>
    <mergeCell ref="K33:K38"/>
    <mergeCell ref="K39:K44"/>
    <mergeCell ref="K19:K25"/>
    <mergeCell ref="C26:C32"/>
    <mergeCell ref="E26:E32"/>
    <mergeCell ref="F26:F32"/>
    <mergeCell ref="H26:H32"/>
    <mergeCell ref="I26:I32"/>
    <mergeCell ref="J26:J32"/>
    <mergeCell ref="K26:K32"/>
    <mergeCell ref="C19:C25"/>
    <mergeCell ref="D19:D86"/>
    <mergeCell ref="E19:E25"/>
    <mergeCell ref="F19:F25"/>
    <mergeCell ref="H19:H25"/>
    <mergeCell ref="I19:I25"/>
    <mergeCell ref="J19:J25"/>
    <mergeCell ref="C33:C44"/>
    <mergeCell ref="E33:E38"/>
    <mergeCell ref="C10:C12"/>
    <mergeCell ref="D10:D12"/>
    <mergeCell ref="E10:E12"/>
    <mergeCell ref="F10:F12"/>
    <mergeCell ref="F33:F38"/>
    <mergeCell ref="J10:J12"/>
    <mergeCell ref="J3:J6"/>
    <mergeCell ref="K3:K6"/>
    <mergeCell ref="C8:C9"/>
    <mergeCell ref="D8:D9"/>
    <mergeCell ref="E8:E9"/>
    <mergeCell ref="F8:F9"/>
    <mergeCell ref="J8:J9"/>
    <mergeCell ref="A1:K1"/>
    <mergeCell ref="L1:P1"/>
    <mergeCell ref="Q1:U1"/>
    <mergeCell ref="V1:Z1"/>
    <mergeCell ref="AA1:AG1"/>
    <mergeCell ref="B3:B12"/>
    <mergeCell ref="C3:C6"/>
    <mergeCell ref="D3:D6"/>
    <mergeCell ref="E3:E6"/>
    <mergeCell ref="F3:F6"/>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986A3-34AE-4057-9E10-B4D023AEADBC}">
  <dimension ref="C1:G20"/>
  <sheetViews>
    <sheetView topLeftCell="A9" workbookViewId="0">
      <selection activeCell="I5" sqref="I5"/>
    </sheetView>
  </sheetViews>
  <sheetFormatPr baseColWidth="10" defaultColWidth="14.42578125" defaultRowHeight="26.65" customHeight="1" x14ac:dyDescent="0.25"/>
  <cols>
    <col min="1" max="2" width="10.42578125" customWidth="1"/>
    <col min="3" max="3" width="32.42578125" customWidth="1"/>
    <col min="4" max="4" width="14.140625" bestFit="1" customWidth="1"/>
    <col min="5" max="6" width="11.42578125" bestFit="1" customWidth="1"/>
    <col min="7" max="7" width="53" customWidth="1"/>
  </cols>
  <sheetData>
    <row r="1" spans="3:7" ht="26.65" customHeight="1" x14ac:dyDescent="0.4">
      <c r="C1" s="335" t="s">
        <v>129</v>
      </c>
      <c r="D1" s="326"/>
      <c r="E1" s="326"/>
      <c r="F1" s="326"/>
      <c r="G1" s="327"/>
    </row>
    <row r="2" spans="3:7" ht="26.65" customHeight="1" x14ac:dyDescent="0.3">
      <c r="C2" s="336" t="s">
        <v>130</v>
      </c>
      <c r="D2" s="326"/>
      <c r="E2" s="326"/>
      <c r="F2" s="326"/>
      <c r="G2" s="327"/>
    </row>
    <row r="3" spans="3:7" ht="26.65" customHeight="1" x14ac:dyDescent="0.25">
      <c r="C3" s="337"/>
      <c r="D3" s="338"/>
      <c r="E3" s="338"/>
      <c r="F3" s="338"/>
      <c r="G3" s="339"/>
    </row>
    <row r="4" spans="3:7" ht="44.65" customHeight="1" x14ac:dyDescent="0.25">
      <c r="C4" s="340"/>
      <c r="D4" s="341"/>
      <c r="E4" s="341"/>
      <c r="F4" s="341"/>
      <c r="G4" s="333"/>
    </row>
    <row r="5" spans="3:7" ht="26.65" customHeight="1" x14ac:dyDescent="0.25">
      <c r="C5" s="16" t="s">
        <v>131</v>
      </c>
      <c r="D5" s="342" t="s">
        <v>132</v>
      </c>
      <c r="E5" s="343"/>
      <c r="F5" s="343"/>
      <c r="G5" s="344"/>
    </row>
    <row r="6" spans="3:7" ht="26.65" customHeight="1" x14ac:dyDescent="0.25">
      <c r="C6" s="16" t="s">
        <v>133</v>
      </c>
      <c r="D6" s="345"/>
      <c r="E6" s="326"/>
      <c r="F6" s="326"/>
      <c r="G6" s="327"/>
    </row>
    <row r="7" spans="3:7" ht="26.65" customHeight="1" x14ac:dyDescent="0.25">
      <c r="C7" s="16" t="s">
        <v>134</v>
      </c>
      <c r="D7" s="334" t="s">
        <v>135</v>
      </c>
      <c r="E7" s="326"/>
      <c r="F7" s="326"/>
      <c r="G7" s="327"/>
    </row>
    <row r="8" spans="3:7" ht="26.65" customHeight="1" x14ac:dyDescent="0.25">
      <c r="C8" s="16" t="s">
        <v>136</v>
      </c>
      <c r="D8" s="330" t="s">
        <v>137</v>
      </c>
      <c r="E8" s="326"/>
      <c r="F8" s="326"/>
      <c r="G8" s="327"/>
    </row>
    <row r="9" spans="3:7" ht="26.65" customHeight="1" x14ac:dyDescent="0.25">
      <c r="C9" s="17" t="s">
        <v>138</v>
      </c>
      <c r="D9" s="331" t="s">
        <v>139</v>
      </c>
      <c r="E9" s="327"/>
      <c r="F9" s="332"/>
      <c r="G9" s="327"/>
    </row>
    <row r="10" spans="3:7" ht="26.65" customHeight="1" x14ac:dyDescent="0.25">
      <c r="C10" s="328" t="s">
        <v>140</v>
      </c>
      <c r="D10" s="18" t="s">
        <v>141</v>
      </c>
      <c r="E10" s="18" t="s">
        <v>142</v>
      </c>
      <c r="F10" s="18" t="s">
        <v>143</v>
      </c>
      <c r="G10" s="45" t="s">
        <v>144</v>
      </c>
    </row>
    <row r="11" spans="3:7" ht="26.65" customHeight="1" x14ac:dyDescent="0.25">
      <c r="C11" s="329"/>
      <c r="D11" s="19">
        <v>93000000</v>
      </c>
      <c r="E11" s="19">
        <v>93140000</v>
      </c>
      <c r="F11" s="44">
        <v>93141500</v>
      </c>
      <c r="G11" s="46" t="s">
        <v>145</v>
      </c>
    </row>
    <row r="12" spans="3:7" ht="26.65" customHeight="1" x14ac:dyDescent="0.25">
      <c r="C12" s="329"/>
      <c r="D12" s="19">
        <v>93000000</v>
      </c>
      <c r="E12" s="19">
        <v>93140000</v>
      </c>
      <c r="F12" s="44">
        <v>93141506</v>
      </c>
      <c r="G12" s="46" t="s">
        <v>146</v>
      </c>
    </row>
    <row r="13" spans="3:7" ht="15" x14ac:dyDescent="0.25">
      <c r="C13" s="329"/>
      <c r="D13" s="19">
        <v>93000000</v>
      </c>
      <c r="E13" s="19">
        <v>93140000</v>
      </c>
      <c r="F13" s="44">
        <v>93141700</v>
      </c>
      <c r="G13" s="46" t="s">
        <v>147</v>
      </c>
    </row>
    <row r="14" spans="3:7" ht="26.65" customHeight="1" x14ac:dyDescent="0.25">
      <c r="C14" s="329"/>
      <c r="D14" s="19">
        <v>85000000</v>
      </c>
      <c r="E14" s="19">
        <v>85110000</v>
      </c>
      <c r="F14" s="44">
        <v>85111500</v>
      </c>
      <c r="G14" s="46" t="s">
        <v>148</v>
      </c>
    </row>
    <row r="15" spans="3:7" ht="26.65" customHeight="1" x14ac:dyDescent="0.25">
      <c r="C15" s="329"/>
      <c r="D15" s="19">
        <v>80000000</v>
      </c>
      <c r="E15" s="19">
        <v>80120000</v>
      </c>
      <c r="F15" s="44">
        <v>80121800</v>
      </c>
      <c r="G15" s="46" t="s">
        <v>149</v>
      </c>
    </row>
    <row r="16" spans="3:7" ht="26.65" customHeight="1" x14ac:dyDescent="0.25">
      <c r="C16" s="329"/>
      <c r="D16" s="19">
        <v>94000000</v>
      </c>
      <c r="E16" s="19">
        <v>94130000</v>
      </c>
      <c r="F16" s="44">
        <v>94132000</v>
      </c>
      <c r="G16" s="46" t="s">
        <v>150</v>
      </c>
    </row>
    <row r="17" spans="3:7" ht="26.65" customHeight="1" x14ac:dyDescent="0.25">
      <c r="C17" s="323" t="s">
        <v>151</v>
      </c>
      <c r="D17" s="325" t="s">
        <v>152</v>
      </c>
      <c r="E17" s="326"/>
      <c r="F17" s="326"/>
      <c r="G17" s="333"/>
    </row>
    <row r="18" spans="3:7" ht="26.65" customHeight="1" x14ac:dyDescent="0.25">
      <c r="C18" s="324"/>
      <c r="D18" s="325"/>
      <c r="E18" s="326"/>
      <c r="F18" s="326"/>
      <c r="G18" s="327"/>
    </row>
    <row r="19" spans="3:7" ht="26.65" customHeight="1" x14ac:dyDescent="0.25">
      <c r="C19" s="323" t="s">
        <v>153</v>
      </c>
      <c r="D19" s="325" t="s">
        <v>154</v>
      </c>
      <c r="E19" s="326"/>
      <c r="F19" s="326"/>
      <c r="G19" s="327"/>
    </row>
    <row r="20" spans="3:7" ht="26.65" customHeight="1" x14ac:dyDescent="0.25">
      <c r="C20" s="324"/>
      <c r="D20" s="325"/>
      <c r="E20" s="326"/>
      <c r="F20" s="326"/>
      <c r="G20" s="327"/>
    </row>
  </sheetData>
  <mergeCells count="16">
    <mergeCell ref="D7:G7"/>
    <mergeCell ref="C1:G1"/>
    <mergeCell ref="C2:G2"/>
    <mergeCell ref="C3:G4"/>
    <mergeCell ref="D5:G5"/>
    <mergeCell ref="D6:G6"/>
    <mergeCell ref="C19:C20"/>
    <mergeCell ref="D19:G19"/>
    <mergeCell ref="D20:G20"/>
    <mergeCell ref="C10:C16"/>
    <mergeCell ref="D8:G8"/>
    <mergeCell ref="D9:E9"/>
    <mergeCell ref="F9:G9"/>
    <mergeCell ref="C17:C18"/>
    <mergeCell ref="D17:G17"/>
    <mergeCell ref="D18:G18"/>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3C4F3-9FB5-45DE-9EDD-6D67EEB082C3}">
  <dimension ref="A2:AT159"/>
  <sheetViews>
    <sheetView topLeftCell="G1" zoomScale="80" zoomScaleNormal="80" zoomScaleSheetLayoutView="118" workbookViewId="0">
      <pane ySplit="8" topLeftCell="A130" activePane="bottomLeft" state="frozen"/>
      <selection pane="bottomLeft" activeCell="J133" sqref="J133"/>
    </sheetView>
  </sheetViews>
  <sheetFormatPr baseColWidth="10" defaultColWidth="8.7109375" defaultRowHeight="15" x14ac:dyDescent="0.25"/>
  <cols>
    <col min="1" max="1" width="37.42578125" style="48" customWidth="1"/>
    <col min="2" max="2" width="29.7109375" style="48" customWidth="1"/>
    <col min="3" max="3" width="48.42578125" style="48" customWidth="1"/>
    <col min="4" max="4" width="18" style="48" customWidth="1"/>
    <col min="5" max="5" width="25.7109375" style="48" customWidth="1"/>
    <col min="6" max="6" width="132.140625" style="71" customWidth="1"/>
    <col min="7" max="7" width="25.7109375" style="72" bestFit="1" customWidth="1"/>
    <col min="8" max="8" width="18" style="72" bestFit="1" customWidth="1"/>
    <col min="9" max="9" width="27.7109375" style="72" customWidth="1"/>
    <col min="10" max="10" width="31.7109375" style="72" customWidth="1"/>
    <col min="11" max="11" width="31.140625" style="129" customWidth="1"/>
    <col min="12" max="13" width="23.28515625" style="72" customWidth="1"/>
    <col min="14" max="14" width="33.140625" style="72" customWidth="1"/>
    <col min="15" max="15" width="12" style="71" bestFit="1" customWidth="1"/>
    <col min="16" max="21" width="8.7109375" style="71"/>
    <col min="22" max="22" width="108" style="71" customWidth="1"/>
    <col min="23" max="16384" width="8.7109375" style="71"/>
  </cols>
  <sheetData>
    <row r="2" spans="1:15" x14ac:dyDescent="0.25">
      <c r="C2" s="346" t="s">
        <v>155</v>
      </c>
      <c r="D2" s="346"/>
      <c r="E2" s="346"/>
      <c r="F2" s="346"/>
    </row>
    <row r="3" spans="1:15" x14ac:dyDescent="0.25">
      <c r="C3" s="347"/>
      <c r="D3" s="347"/>
      <c r="E3" s="347"/>
      <c r="F3" s="347"/>
    </row>
    <row r="4" spans="1:15" x14ac:dyDescent="0.25">
      <c r="C4" s="346" t="s">
        <v>156</v>
      </c>
      <c r="D4" s="346"/>
      <c r="E4" s="346"/>
      <c r="F4" s="346"/>
    </row>
    <row r="5" spans="1:15" x14ac:dyDescent="0.25">
      <c r="C5" s="346"/>
      <c r="D5" s="346"/>
      <c r="E5" s="346"/>
      <c r="F5" s="346"/>
    </row>
    <row r="6" spans="1:15" ht="37.5" customHeight="1" thickBot="1" x14ac:dyDescent="0.3">
      <c r="G6" s="348" t="s">
        <v>157</v>
      </c>
      <c r="H6" s="349"/>
      <c r="I6" s="349"/>
      <c r="J6" s="349"/>
      <c r="K6" s="349"/>
      <c r="L6" s="349"/>
      <c r="M6" s="349"/>
      <c r="N6" s="350"/>
    </row>
    <row r="7" spans="1:15" s="142" customFormat="1" ht="63" x14ac:dyDescent="0.25">
      <c r="A7" s="351" t="s">
        <v>6</v>
      </c>
      <c r="B7" s="353" t="s">
        <v>7</v>
      </c>
      <c r="C7" s="353" t="s">
        <v>8</v>
      </c>
      <c r="D7" s="353" t="s">
        <v>9</v>
      </c>
      <c r="E7" s="353" t="s">
        <v>158</v>
      </c>
      <c r="F7" s="353" t="s">
        <v>159</v>
      </c>
      <c r="G7" s="355" t="s">
        <v>13</v>
      </c>
      <c r="H7" s="356" t="s">
        <v>12</v>
      </c>
      <c r="I7" s="357" t="s">
        <v>160</v>
      </c>
      <c r="J7" s="143" t="s">
        <v>161</v>
      </c>
      <c r="K7" s="357" t="s">
        <v>162</v>
      </c>
      <c r="L7" s="357" t="s">
        <v>163</v>
      </c>
      <c r="M7" s="357" t="s">
        <v>164</v>
      </c>
      <c r="N7" s="357" t="s">
        <v>79</v>
      </c>
    </row>
    <row r="8" spans="1:15" ht="15.75" x14ac:dyDescent="0.25">
      <c r="A8" s="352"/>
      <c r="B8" s="354"/>
      <c r="C8" s="354"/>
      <c r="D8" s="354"/>
      <c r="E8" s="354"/>
      <c r="F8" s="354"/>
      <c r="G8" s="355"/>
      <c r="H8" s="356"/>
      <c r="I8" s="357"/>
      <c r="J8" s="141"/>
      <c r="K8" s="357"/>
      <c r="L8" s="357"/>
      <c r="M8" s="357"/>
      <c r="N8" s="357"/>
    </row>
    <row r="9" spans="1:15" s="137" customFormat="1" ht="75" x14ac:dyDescent="0.25">
      <c r="A9" s="276" t="s">
        <v>27</v>
      </c>
      <c r="B9" s="279" t="s">
        <v>28</v>
      </c>
      <c r="C9" s="279" t="s">
        <v>29</v>
      </c>
      <c r="D9" s="279" t="s">
        <v>30</v>
      </c>
      <c r="E9" s="279" t="s">
        <v>31</v>
      </c>
      <c r="F9" s="38" t="s">
        <v>165</v>
      </c>
      <c r="G9" s="35" t="s">
        <v>33</v>
      </c>
      <c r="H9" s="35">
        <v>500</v>
      </c>
      <c r="I9" s="65"/>
      <c r="J9" s="65"/>
      <c r="K9" s="64">
        <v>83475</v>
      </c>
      <c r="L9" s="65">
        <f t="shared" ref="L9:L27" si="0">+K9*19%</f>
        <v>15860.25</v>
      </c>
      <c r="M9" s="69">
        <f t="shared" ref="M9:M27" si="1">+L9+K9</f>
        <v>99335.25</v>
      </c>
      <c r="N9" s="65">
        <f t="shared" ref="N9:N27" si="2">+M9*H9</f>
        <v>49667625</v>
      </c>
    </row>
    <row r="10" spans="1:15" ht="75" x14ac:dyDescent="0.25">
      <c r="A10" s="277"/>
      <c r="B10" s="279"/>
      <c r="C10" s="279"/>
      <c r="D10" s="279"/>
      <c r="E10" s="279"/>
      <c r="F10" s="39" t="s">
        <v>35</v>
      </c>
      <c r="G10" s="35" t="s">
        <v>36</v>
      </c>
      <c r="H10" s="35">
        <v>500</v>
      </c>
      <c r="I10" s="35"/>
      <c r="J10" s="35"/>
      <c r="K10" s="66">
        <v>890.4</v>
      </c>
      <c r="L10" s="65">
        <f t="shared" si="0"/>
        <v>169.17599999999999</v>
      </c>
      <c r="M10" s="69">
        <f t="shared" si="1"/>
        <v>1059.576</v>
      </c>
      <c r="N10" s="65">
        <f t="shared" si="2"/>
        <v>529788</v>
      </c>
    </row>
    <row r="11" spans="1:15" ht="30" x14ac:dyDescent="0.25">
      <c r="A11" s="277"/>
      <c r="B11" s="279"/>
      <c r="C11" s="279"/>
      <c r="D11" s="279"/>
      <c r="E11" s="279"/>
      <c r="F11" s="40" t="s">
        <v>166</v>
      </c>
      <c r="G11" s="35" t="s">
        <v>36</v>
      </c>
      <c r="H11" s="35">
        <v>500</v>
      </c>
      <c r="I11" s="35"/>
      <c r="J11" s="35"/>
      <c r="K11" s="66">
        <v>1669.5</v>
      </c>
      <c r="L11" s="65">
        <f t="shared" si="0"/>
        <v>317.20499999999998</v>
      </c>
      <c r="M11" s="69">
        <f t="shared" si="1"/>
        <v>1986.7049999999999</v>
      </c>
      <c r="N11" s="65">
        <f t="shared" si="2"/>
        <v>993352.5</v>
      </c>
    </row>
    <row r="12" spans="1:15" s="137" customFormat="1" x14ac:dyDescent="0.25">
      <c r="A12" s="277"/>
      <c r="B12" s="279"/>
      <c r="C12" s="279"/>
      <c r="D12" s="279"/>
      <c r="E12" s="279"/>
      <c r="F12" s="41" t="s">
        <v>38</v>
      </c>
      <c r="G12" s="35" t="s">
        <v>36</v>
      </c>
      <c r="H12" s="35">
        <v>200</v>
      </c>
      <c r="I12" s="140"/>
      <c r="J12" s="65"/>
      <c r="K12" s="66">
        <v>2226</v>
      </c>
      <c r="L12" s="65">
        <f t="shared" si="0"/>
        <v>422.94</v>
      </c>
      <c r="M12" s="69">
        <f t="shared" si="1"/>
        <v>2648.94</v>
      </c>
      <c r="N12" s="65">
        <f t="shared" si="2"/>
        <v>529788</v>
      </c>
    </row>
    <row r="13" spans="1:15" s="137" customFormat="1" ht="45" x14ac:dyDescent="0.25">
      <c r="A13" s="277"/>
      <c r="B13" s="35" t="s">
        <v>39</v>
      </c>
      <c r="C13" s="35"/>
      <c r="D13" s="35"/>
      <c r="E13" s="35"/>
      <c r="F13" s="42" t="s">
        <v>43</v>
      </c>
      <c r="G13" s="35" t="s">
        <v>44</v>
      </c>
      <c r="H13" s="35">
        <v>450</v>
      </c>
      <c r="I13" s="65"/>
      <c r="J13" s="65"/>
      <c r="K13" s="66">
        <v>556.5</v>
      </c>
      <c r="L13" s="65">
        <f t="shared" si="0"/>
        <v>105.735</v>
      </c>
      <c r="M13" s="69">
        <f t="shared" si="1"/>
        <v>662.23500000000001</v>
      </c>
      <c r="N13" s="65">
        <f t="shared" si="2"/>
        <v>298005.75</v>
      </c>
      <c r="O13" s="139"/>
    </row>
    <row r="14" spans="1:15" s="137" customFormat="1" ht="45" customHeight="1" x14ac:dyDescent="0.25">
      <c r="A14" s="277"/>
      <c r="B14" s="279" t="s">
        <v>46</v>
      </c>
      <c r="C14" s="295" t="s">
        <v>47</v>
      </c>
      <c r="D14" s="295" t="s">
        <v>48</v>
      </c>
      <c r="E14" s="279" t="s">
        <v>49</v>
      </c>
      <c r="F14" s="42" t="s">
        <v>50</v>
      </c>
      <c r="G14" s="35" t="s">
        <v>44</v>
      </c>
      <c r="H14" s="35">
        <v>15</v>
      </c>
      <c r="I14" s="65"/>
      <c r="J14" s="65"/>
      <c r="K14" s="66">
        <v>3116400</v>
      </c>
      <c r="L14" s="65">
        <f t="shared" si="0"/>
        <v>592116</v>
      </c>
      <c r="M14" s="69">
        <f t="shared" si="1"/>
        <v>3708516</v>
      </c>
      <c r="N14" s="65">
        <f t="shared" si="2"/>
        <v>55627740</v>
      </c>
    </row>
    <row r="15" spans="1:15" s="137" customFormat="1" ht="30" x14ac:dyDescent="0.25">
      <c r="A15" s="277"/>
      <c r="B15" s="279"/>
      <c r="C15" s="297"/>
      <c r="D15" s="297"/>
      <c r="E15" s="279"/>
      <c r="F15" s="42" t="s">
        <v>167</v>
      </c>
      <c r="G15" s="35" t="s">
        <v>44</v>
      </c>
      <c r="H15" s="35">
        <v>1500</v>
      </c>
      <c r="I15" s="65"/>
      <c r="J15" s="65"/>
      <c r="K15" s="67">
        <v>779.1</v>
      </c>
      <c r="L15" s="65">
        <f t="shared" si="0"/>
        <v>148.029</v>
      </c>
      <c r="M15" s="69">
        <f t="shared" si="1"/>
        <v>927.12900000000002</v>
      </c>
      <c r="N15" s="65">
        <f t="shared" si="2"/>
        <v>1390693.5</v>
      </c>
    </row>
    <row r="16" spans="1:15" s="137" customFormat="1" ht="120" x14ac:dyDescent="0.25">
      <c r="A16" s="277"/>
      <c r="B16" s="296"/>
      <c r="C16" s="296"/>
      <c r="D16" s="296"/>
      <c r="E16" s="296"/>
      <c r="F16" s="40" t="s">
        <v>56</v>
      </c>
      <c r="G16" s="35" t="s">
        <v>44</v>
      </c>
      <c r="H16" s="35">
        <v>1200</v>
      </c>
      <c r="I16" s="65"/>
      <c r="J16" s="65"/>
      <c r="K16" s="66">
        <v>111300</v>
      </c>
      <c r="L16" s="65">
        <f t="shared" si="0"/>
        <v>21147</v>
      </c>
      <c r="M16" s="69">
        <f t="shared" si="1"/>
        <v>132447</v>
      </c>
      <c r="N16" s="65">
        <f t="shared" si="2"/>
        <v>158936400</v>
      </c>
    </row>
    <row r="17" spans="1:46" s="137" customFormat="1" ht="60" x14ac:dyDescent="0.25">
      <c r="A17" s="277"/>
      <c r="B17" s="296"/>
      <c r="C17" s="296"/>
      <c r="D17" s="296"/>
      <c r="E17" s="296"/>
      <c r="F17" s="40" t="s">
        <v>57</v>
      </c>
      <c r="G17" s="35" t="s">
        <v>44</v>
      </c>
      <c r="H17" s="35">
        <v>200</v>
      </c>
      <c r="I17" s="65"/>
      <c r="J17" s="65"/>
      <c r="K17" s="68">
        <v>5565</v>
      </c>
      <c r="L17" s="65">
        <f t="shared" si="0"/>
        <v>1057.3499999999999</v>
      </c>
      <c r="M17" s="69">
        <f t="shared" si="1"/>
        <v>6622.35</v>
      </c>
      <c r="N17" s="65">
        <f t="shared" si="2"/>
        <v>1324470</v>
      </c>
    </row>
    <row r="18" spans="1:46" s="137" customFormat="1" x14ac:dyDescent="0.25">
      <c r="A18" s="278"/>
      <c r="B18" s="297"/>
      <c r="C18" s="297"/>
      <c r="D18" s="297"/>
      <c r="E18" s="297"/>
      <c r="F18" s="40" t="s">
        <v>58</v>
      </c>
      <c r="G18" s="35" t="s">
        <v>44</v>
      </c>
      <c r="H18" s="35">
        <v>2</v>
      </c>
      <c r="I18" s="65"/>
      <c r="J18" s="65"/>
      <c r="K18" s="68">
        <v>3339000</v>
      </c>
      <c r="L18" s="65">
        <f t="shared" si="0"/>
        <v>634410</v>
      </c>
      <c r="M18" s="69">
        <f t="shared" si="1"/>
        <v>3973410</v>
      </c>
      <c r="N18" s="65">
        <f t="shared" si="2"/>
        <v>7946820</v>
      </c>
    </row>
    <row r="19" spans="1:46" s="137" customFormat="1" ht="165" x14ac:dyDescent="0.25">
      <c r="A19" s="34" t="s">
        <v>60</v>
      </c>
      <c r="B19" s="36" t="s">
        <v>62</v>
      </c>
      <c r="C19" s="37" t="s">
        <v>63</v>
      </c>
      <c r="D19" s="37">
        <v>350</v>
      </c>
      <c r="E19" s="37">
        <v>350</v>
      </c>
      <c r="F19" s="42" t="s">
        <v>64</v>
      </c>
      <c r="G19" s="35" t="s">
        <v>65</v>
      </c>
      <c r="H19" s="35">
        <v>6</v>
      </c>
      <c r="I19" s="65"/>
      <c r="J19" s="65"/>
      <c r="K19" s="66">
        <v>5008500</v>
      </c>
      <c r="L19" s="65">
        <f t="shared" si="0"/>
        <v>951615</v>
      </c>
      <c r="M19" s="69">
        <f t="shared" si="1"/>
        <v>5960115</v>
      </c>
      <c r="N19" s="65">
        <f t="shared" si="2"/>
        <v>35760690</v>
      </c>
    </row>
    <row r="20" spans="1:46" s="137" customFormat="1" ht="105" x14ac:dyDescent="0.25">
      <c r="A20" s="358" t="s">
        <v>67</v>
      </c>
      <c r="B20" s="279" t="s">
        <v>68</v>
      </c>
      <c r="C20" s="279" t="s">
        <v>69</v>
      </c>
      <c r="D20" s="279" t="s">
        <v>70</v>
      </c>
      <c r="E20" s="279" t="s">
        <v>71</v>
      </c>
      <c r="F20" s="43" t="s">
        <v>168</v>
      </c>
      <c r="G20" s="35" t="s">
        <v>73</v>
      </c>
      <c r="H20" s="35">
        <v>5</v>
      </c>
      <c r="I20" s="65"/>
      <c r="J20" s="65"/>
      <c r="K20" s="66">
        <v>10017000</v>
      </c>
      <c r="L20" s="65">
        <f t="shared" si="0"/>
        <v>1903230</v>
      </c>
      <c r="M20" s="69">
        <f t="shared" si="1"/>
        <v>11920230</v>
      </c>
      <c r="N20" s="65">
        <f t="shared" si="2"/>
        <v>59601150</v>
      </c>
    </row>
    <row r="21" spans="1:46" s="137" customFormat="1" ht="60" x14ac:dyDescent="0.25">
      <c r="A21" s="359"/>
      <c r="B21" s="279"/>
      <c r="C21" s="279"/>
      <c r="D21" s="279"/>
      <c r="E21" s="279"/>
      <c r="F21" s="42" t="s">
        <v>123</v>
      </c>
      <c r="G21" s="35" t="s">
        <v>44</v>
      </c>
      <c r="H21" s="35">
        <v>5</v>
      </c>
      <c r="I21" s="65"/>
      <c r="J21" s="65"/>
      <c r="K21" s="66">
        <v>9121294.6999999993</v>
      </c>
      <c r="L21" s="65">
        <f t="shared" si="0"/>
        <v>1733045.9929999998</v>
      </c>
      <c r="M21" s="69">
        <f t="shared" si="1"/>
        <v>10854340.693</v>
      </c>
      <c r="N21" s="65">
        <f t="shared" si="2"/>
        <v>54271703.465000004</v>
      </c>
    </row>
    <row r="22" spans="1:46" s="137" customFormat="1" ht="45" x14ac:dyDescent="0.25">
      <c r="A22" s="359"/>
      <c r="B22" s="279"/>
      <c r="C22" s="279"/>
      <c r="D22" s="279"/>
      <c r="E22" s="279"/>
      <c r="F22" s="42" t="s">
        <v>169</v>
      </c>
      <c r="G22" s="35" t="s">
        <v>44</v>
      </c>
      <c r="H22" s="35">
        <v>25</v>
      </c>
      <c r="I22" s="65"/>
      <c r="J22" s="65"/>
      <c r="K22" s="66">
        <v>1446900</v>
      </c>
      <c r="L22" s="65">
        <f t="shared" si="0"/>
        <v>274911</v>
      </c>
      <c r="M22" s="69">
        <f t="shared" si="1"/>
        <v>1721811</v>
      </c>
      <c r="N22" s="65">
        <f t="shared" si="2"/>
        <v>43045275</v>
      </c>
    </row>
    <row r="23" spans="1:46" s="137" customFormat="1" ht="45" x14ac:dyDescent="0.25">
      <c r="A23" s="359"/>
      <c r="B23" s="279"/>
      <c r="C23" s="279"/>
      <c r="D23" s="279"/>
      <c r="E23" s="279"/>
      <c r="F23" s="42" t="s">
        <v>125</v>
      </c>
      <c r="G23" s="35" t="s">
        <v>44</v>
      </c>
      <c r="H23" s="35">
        <v>5</v>
      </c>
      <c r="I23" s="65"/>
      <c r="J23" s="65"/>
      <c r="K23" s="66">
        <v>2352065.7999999998</v>
      </c>
      <c r="L23" s="65">
        <f t="shared" si="0"/>
        <v>446892.50199999998</v>
      </c>
      <c r="M23" s="69">
        <f t="shared" si="1"/>
        <v>2798958.3019999997</v>
      </c>
      <c r="N23" s="65">
        <f t="shared" si="2"/>
        <v>13994791.509999998</v>
      </c>
      <c r="AT23" s="137" t="s">
        <v>170</v>
      </c>
    </row>
    <row r="24" spans="1:46" s="137" customFormat="1" x14ac:dyDescent="0.25">
      <c r="A24" s="359"/>
      <c r="B24" s="279"/>
      <c r="C24" s="279"/>
      <c r="D24" s="279"/>
      <c r="E24" s="279"/>
      <c r="F24" s="42" t="s">
        <v>126</v>
      </c>
      <c r="G24" s="35" t="s">
        <v>44</v>
      </c>
      <c r="H24" s="35">
        <v>150</v>
      </c>
      <c r="I24" s="65"/>
      <c r="J24" s="65"/>
      <c r="K24" s="66">
        <v>4279.4849999999997</v>
      </c>
      <c r="L24" s="65">
        <f t="shared" si="0"/>
        <v>813.10214999999994</v>
      </c>
      <c r="M24" s="69">
        <f t="shared" si="1"/>
        <v>5092.5871499999994</v>
      </c>
      <c r="N24" s="65">
        <f t="shared" si="2"/>
        <v>763888.07249999989</v>
      </c>
    </row>
    <row r="25" spans="1:46" s="137" customFormat="1" ht="30" x14ac:dyDescent="0.25">
      <c r="A25" s="359"/>
      <c r="B25" s="279"/>
      <c r="C25" s="279"/>
      <c r="D25" s="279"/>
      <c r="E25" s="279"/>
      <c r="F25" s="42" t="s">
        <v>171</v>
      </c>
      <c r="G25" s="35" t="s">
        <v>44</v>
      </c>
      <c r="H25" s="35">
        <v>50</v>
      </c>
      <c r="I25" s="65"/>
      <c r="J25" s="65"/>
      <c r="K25" s="66">
        <v>12876.853500000001</v>
      </c>
      <c r="L25" s="65">
        <f t="shared" si="0"/>
        <v>2446.6021650000002</v>
      </c>
      <c r="M25" s="69">
        <f t="shared" si="1"/>
        <v>15323.455665000001</v>
      </c>
      <c r="N25" s="65">
        <f t="shared" si="2"/>
        <v>766172.78325000009</v>
      </c>
    </row>
    <row r="26" spans="1:46" s="137" customFormat="1" ht="30" x14ac:dyDescent="0.25">
      <c r="A26" s="359"/>
      <c r="B26" s="279"/>
      <c r="C26" s="279"/>
      <c r="D26" s="279"/>
      <c r="E26" s="279"/>
      <c r="F26" s="42" t="s">
        <v>172</v>
      </c>
      <c r="G26" s="35" t="s">
        <v>44</v>
      </c>
      <c r="H26" s="35">
        <v>1</v>
      </c>
      <c r="I26" s="65"/>
      <c r="J26" s="65"/>
      <c r="K26" s="66">
        <v>1780800</v>
      </c>
      <c r="L26" s="65">
        <f t="shared" si="0"/>
        <v>338352</v>
      </c>
      <c r="M26" s="69">
        <f t="shared" si="1"/>
        <v>2119152</v>
      </c>
      <c r="N26" s="65">
        <f t="shared" si="2"/>
        <v>2119152</v>
      </c>
    </row>
    <row r="27" spans="1:46" s="137" customFormat="1" ht="30" x14ac:dyDescent="0.25">
      <c r="A27" s="360"/>
      <c r="B27" s="279"/>
      <c r="C27" s="279"/>
      <c r="D27" s="279"/>
      <c r="E27" s="279"/>
      <c r="F27" s="42" t="s">
        <v>173</v>
      </c>
      <c r="G27" s="35" t="s">
        <v>44</v>
      </c>
      <c r="H27" s="35">
        <v>5</v>
      </c>
      <c r="I27" s="65"/>
      <c r="J27" s="65"/>
      <c r="K27" s="66">
        <v>181049.55882352943</v>
      </c>
      <c r="L27" s="65">
        <f t="shared" si="0"/>
        <v>34399.416176470593</v>
      </c>
      <c r="M27" s="69">
        <f t="shared" si="1"/>
        <v>215448.97500000003</v>
      </c>
      <c r="N27" s="65">
        <f t="shared" si="2"/>
        <v>1077244.8750000002</v>
      </c>
    </row>
    <row r="28" spans="1:46" s="137" customFormat="1" ht="112.7" customHeight="1" thickBot="1" x14ac:dyDescent="0.3">
      <c r="A28" s="361" t="s">
        <v>174</v>
      </c>
      <c r="B28" s="362"/>
      <c r="C28" s="362"/>
      <c r="D28" s="362"/>
      <c r="E28" s="362"/>
      <c r="F28" s="362"/>
      <c r="G28" s="362"/>
      <c r="H28" s="362"/>
      <c r="I28" s="362"/>
      <c r="J28" s="362"/>
      <c r="K28" s="362"/>
      <c r="L28" s="363"/>
      <c r="M28" s="138"/>
      <c r="N28" s="72"/>
    </row>
    <row r="29" spans="1:46" ht="60.4" customHeight="1" thickBot="1" x14ac:dyDescent="0.5">
      <c r="A29" s="136" t="s">
        <v>175</v>
      </c>
      <c r="B29" s="364" t="s">
        <v>79</v>
      </c>
      <c r="C29" s="365"/>
      <c r="D29" s="365"/>
      <c r="E29" s="365"/>
      <c r="F29" s="365"/>
      <c r="G29" s="365"/>
      <c r="H29" s="365"/>
      <c r="I29" s="366"/>
      <c r="J29" s="135"/>
      <c r="K29" s="367" t="s">
        <v>175</v>
      </c>
      <c r="L29" s="368"/>
      <c r="M29" s="369"/>
      <c r="N29" s="134">
        <f>SUM(N9:N27)</f>
        <v>488644750.45574999</v>
      </c>
    </row>
    <row r="30" spans="1:46" x14ac:dyDescent="0.25">
      <c r="A30" s="133"/>
      <c r="B30" s="71"/>
      <c r="C30" s="71"/>
      <c r="D30" s="71"/>
      <c r="E30" s="71"/>
      <c r="I30" s="131"/>
      <c r="J30" s="131"/>
      <c r="K30" s="132"/>
      <c r="L30" s="131"/>
      <c r="M30" s="131"/>
      <c r="N30" s="131"/>
    </row>
    <row r="31" spans="1:46" ht="90" customHeight="1" x14ac:dyDescent="0.25">
      <c r="A31" s="48" t="s">
        <v>176</v>
      </c>
      <c r="C31" s="49"/>
      <c r="D31" s="49"/>
      <c r="E31" s="49" t="s">
        <v>74</v>
      </c>
      <c r="F31" s="49" t="s">
        <v>75</v>
      </c>
      <c r="G31" s="50" t="s">
        <v>76</v>
      </c>
      <c r="H31" s="51" t="s">
        <v>77</v>
      </c>
      <c r="I31" s="52" t="s">
        <v>78</v>
      </c>
      <c r="J31" s="70" t="s">
        <v>79</v>
      </c>
      <c r="K31" s="53"/>
      <c r="L31" s="53"/>
    </row>
    <row r="32" spans="1:46" x14ac:dyDescent="0.25">
      <c r="B32" s="370" t="s">
        <v>177</v>
      </c>
      <c r="C32" s="279" t="s">
        <v>81</v>
      </c>
      <c r="D32" s="279">
        <v>1</v>
      </c>
      <c r="E32" s="279" t="s">
        <v>82</v>
      </c>
      <c r="F32" s="54" t="s">
        <v>83</v>
      </c>
      <c r="G32" s="371">
        <v>1</v>
      </c>
      <c r="H32" s="371">
        <v>8</v>
      </c>
      <c r="I32" s="372">
        <v>8000000</v>
      </c>
      <c r="J32" s="372">
        <f>I32*H32*G32</f>
        <v>64000000</v>
      </c>
      <c r="K32" s="71"/>
      <c r="L32" s="71"/>
    </row>
    <row r="33" spans="1:16" ht="45" x14ac:dyDescent="0.25">
      <c r="B33" s="370"/>
      <c r="C33" s="279"/>
      <c r="D33" s="279"/>
      <c r="E33" s="279"/>
      <c r="F33" s="55" t="s">
        <v>178</v>
      </c>
      <c r="G33" s="371"/>
      <c r="H33" s="371"/>
      <c r="I33" s="372"/>
      <c r="J33" s="372"/>
      <c r="K33" s="71"/>
      <c r="L33" s="71"/>
    </row>
    <row r="34" spans="1:16" x14ac:dyDescent="0.25">
      <c r="B34" s="370"/>
      <c r="C34" s="279"/>
      <c r="D34" s="279"/>
      <c r="E34" s="279"/>
      <c r="F34" s="56"/>
      <c r="G34" s="371"/>
      <c r="H34" s="371"/>
      <c r="I34" s="372"/>
      <c r="J34" s="372"/>
      <c r="K34" s="71"/>
      <c r="L34" s="71"/>
    </row>
    <row r="35" spans="1:16" x14ac:dyDescent="0.25">
      <c r="B35" s="370"/>
      <c r="C35" s="279"/>
      <c r="D35" s="279"/>
      <c r="E35" s="279"/>
      <c r="F35" s="54" t="s">
        <v>85</v>
      </c>
      <c r="G35" s="371"/>
      <c r="H35" s="371"/>
      <c r="I35" s="372"/>
      <c r="J35" s="372"/>
      <c r="K35" s="71"/>
      <c r="L35" s="71"/>
    </row>
    <row r="36" spans="1:16" ht="30" x14ac:dyDescent="0.25">
      <c r="B36" s="370"/>
      <c r="C36" s="279"/>
      <c r="D36" s="279"/>
      <c r="E36" s="279"/>
      <c r="F36" s="55" t="s">
        <v>86</v>
      </c>
      <c r="G36" s="371"/>
      <c r="H36" s="371"/>
      <c r="I36" s="372"/>
      <c r="J36" s="372"/>
      <c r="K36" s="71"/>
      <c r="L36" s="71"/>
    </row>
    <row r="37" spans="1:16" x14ac:dyDescent="0.25">
      <c r="B37" s="370"/>
      <c r="C37" s="279"/>
      <c r="D37" s="279"/>
      <c r="E37" s="279"/>
      <c r="F37" s="57"/>
      <c r="G37" s="371"/>
      <c r="H37" s="371"/>
      <c r="I37" s="372"/>
      <c r="J37" s="372"/>
      <c r="K37" s="71"/>
      <c r="L37" s="71"/>
    </row>
    <row r="38" spans="1:16" x14ac:dyDescent="0.25">
      <c r="B38" s="370"/>
      <c r="C38" s="279"/>
      <c r="D38" s="279"/>
      <c r="E38" s="279"/>
      <c r="F38" s="54" t="s">
        <v>87</v>
      </c>
      <c r="G38" s="371"/>
      <c r="H38" s="371"/>
      <c r="I38" s="372"/>
      <c r="J38" s="372"/>
      <c r="K38" s="71"/>
      <c r="L38" s="71"/>
    </row>
    <row r="39" spans="1:16" ht="30" x14ac:dyDescent="0.25">
      <c r="B39" s="370"/>
      <c r="C39" s="279"/>
      <c r="D39" s="279"/>
      <c r="E39" s="279"/>
      <c r="F39" s="55" t="s">
        <v>88</v>
      </c>
      <c r="G39" s="371"/>
      <c r="H39" s="371"/>
      <c r="I39" s="372"/>
      <c r="J39" s="372"/>
      <c r="K39" s="71"/>
      <c r="L39" s="71"/>
    </row>
    <row r="40" spans="1:16" x14ac:dyDescent="0.25">
      <c r="B40" s="370"/>
      <c r="C40" s="279"/>
      <c r="D40" s="279"/>
      <c r="E40" s="279"/>
      <c r="F40" s="55"/>
      <c r="G40" s="371"/>
      <c r="H40" s="371"/>
      <c r="I40" s="372"/>
      <c r="J40" s="372"/>
      <c r="K40" s="71"/>
      <c r="L40" s="71"/>
    </row>
    <row r="41" spans="1:16" x14ac:dyDescent="0.25">
      <c r="B41" s="370"/>
      <c r="C41" s="279"/>
      <c r="D41" s="279"/>
      <c r="E41" s="279"/>
      <c r="F41" s="57" t="s">
        <v>89</v>
      </c>
      <c r="G41" s="371"/>
      <c r="H41" s="371"/>
      <c r="I41" s="372"/>
      <c r="J41" s="372"/>
      <c r="K41" s="71"/>
      <c r="L41" s="71"/>
    </row>
    <row r="42" spans="1:16" x14ac:dyDescent="0.25">
      <c r="B42" s="373" t="s">
        <v>179</v>
      </c>
      <c r="C42" s="279"/>
      <c r="D42" s="279">
        <v>2</v>
      </c>
      <c r="E42" s="374" t="s">
        <v>90</v>
      </c>
      <c r="F42" s="54" t="s">
        <v>83</v>
      </c>
      <c r="G42" s="371">
        <v>1</v>
      </c>
      <c r="H42" s="371">
        <v>8</v>
      </c>
      <c r="I42" s="375">
        <v>3381000</v>
      </c>
      <c r="J42" s="375">
        <f>I42*H42*G42</f>
        <v>27048000</v>
      </c>
      <c r="K42" s="71"/>
      <c r="L42" s="71"/>
    </row>
    <row r="43" spans="1:16" s="72" customFormat="1" ht="30" x14ac:dyDescent="0.25">
      <c r="A43" s="48"/>
      <c r="B43" s="373"/>
      <c r="C43" s="279"/>
      <c r="D43" s="279"/>
      <c r="E43" s="374"/>
      <c r="F43" s="55" t="s">
        <v>91</v>
      </c>
      <c r="G43" s="371"/>
      <c r="H43" s="371"/>
      <c r="I43" s="375"/>
      <c r="J43" s="375"/>
      <c r="O43" s="71"/>
      <c r="P43" s="71"/>
    </row>
    <row r="44" spans="1:16" s="72" customFormat="1" x14ac:dyDescent="0.25">
      <c r="A44" s="48"/>
      <c r="B44" s="373"/>
      <c r="C44" s="279"/>
      <c r="D44" s="279"/>
      <c r="E44" s="374"/>
      <c r="F44" s="56"/>
      <c r="G44" s="371"/>
      <c r="H44" s="371"/>
      <c r="I44" s="375"/>
      <c r="J44" s="375"/>
      <c r="O44" s="71"/>
      <c r="P44" s="71"/>
    </row>
    <row r="45" spans="1:16" s="72" customFormat="1" x14ac:dyDescent="0.25">
      <c r="A45" s="48"/>
      <c r="B45" s="373"/>
      <c r="C45" s="279"/>
      <c r="D45" s="279"/>
      <c r="E45" s="374"/>
      <c r="F45" s="56"/>
      <c r="G45" s="371"/>
      <c r="H45" s="371"/>
      <c r="I45" s="375"/>
      <c r="J45" s="375"/>
      <c r="O45" s="71"/>
      <c r="P45" s="71"/>
    </row>
    <row r="46" spans="1:16" s="72" customFormat="1" x14ac:dyDescent="0.25">
      <c r="A46" s="48"/>
      <c r="B46" s="373"/>
      <c r="C46" s="279"/>
      <c r="D46" s="279"/>
      <c r="E46" s="374"/>
      <c r="F46" s="54" t="s">
        <v>85</v>
      </c>
      <c r="G46" s="371"/>
      <c r="H46" s="371"/>
      <c r="I46" s="375"/>
      <c r="J46" s="375"/>
      <c r="O46" s="71"/>
      <c r="P46" s="71"/>
    </row>
    <row r="47" spans="1:16" s="72" customFormat="1" ht="30" x14ac:dyDescent="0.25">
      <c r="A47" s="48"/>
      <c r="B47" s="373"/>
      <c r="C47" s="279"/>
      <c r="D47" s="279"/>
      <c r="E47" s="374"/>
      <c r="F47" s="55" t="s">
        <v>92</v>
      </c>
      <c r="G47" s="371"/>
      <c r="H47" s="371"/>
      <c r="I47" s="375"/>
      <c r="J47" s="375"/>
      <c r="O47" s="71"/>
      <c r="P47" s="71"/>
    </row>
    <row r="48" spans="1:16" s="72" customFormat="1" x14ac:dyDescent="0.25">
      <c r="A48" s="48"/>
      <c r="B48" s="373"/>
      <c r="C48" s="279"/>
      <c r="D48" s="279"/>
      <c r="E48" s="374"/>
      <c r="F48" s="57"/>
      <c r="G48" s="371"/>
      <c r="H48" s="371"/>
      <c r="I48" s="375"/>
      <c r="J48" s="375"/>
      <c r="O48" s="71"/>
      <c r="P48" s="71"/>
    </row>
    <row r="49" spans="1:16" s="72" customFormat="1" x14ac:dyDescent="0.25">
      <c r="A49" s="48"/>
      <c r="B49" s="373"/>
      <c r="C49" s="279"/>
      <c r="D49" s="279"/>
      <c r="E49" s="374"/>
      <c r="F49" s="54" t="s">
        <v>87</v>
      </c>
      <c r="G49" s="371"/>
      <c r="H49" s="371"/>
      <c r="I49" s="375"/>
      <c r="J49" s="375"/>
      <c r="O49" s="71"/>
      <c r="P49" s="71"/>
    </row>
    <row r="50" spans="1:16" s="72" customFormat="1" x14ac:dyDescent="0.25">
      <c r="A50" s="48"/>
      <c r="B50" s="373"/>
      <c r="C50" s="279"/>
      <c r="D50" s="279"/>
      <c r="E50" s="374"/>
      <c r="F50" s="58" t="s">
        <v>93</v>
      </c>
      <c r="G50" s="371"/>
      <c r="H50" s="371"/>
      <c r="I50" s="375"/>
      <c r="J50" s="375"/>
      <c r="O50" s="71"/>
      <c r="P50" s="71"/>
    </row>
    <row r="51" spans="1:16" s="72" customFormat="1" x14ac:dyDescent="0.25">
      <c r="A51" s="48"/>
      <c r="B51" s="373"/>
      <c r="C51" s="279"/>
      <c r="D51" s="279"/>
      <c r="E51" s="374"/>
      <c r="F51" s="55"/>
      <c r="G51" s="371"/>
      <c r="H51" s="371"/>
      <c r="I51" s="375"/>
      <c r="J51" s="375"/>
      <c r="O51" s="71"/>
      <c r="P51" s="71"/>
    </row>
    <row r="52" spans="1:16" s="72" customFormat="1" x14ac:dyDescent="0.25">
      <c r="A52" s="48"/>
      <c r="B52" s="373"/>
      <c r="C52" s="279"/>
      <c r="D52" s="279"/>
      <c r="E52" s="374"/>
      <c r="F52" s="57" t="s">
        <v>89</v>
      </c>
      <c r="G52" s="371"/>
      <c r="H52" s="371"/>
      <c r="I52" s="375"/>
      <c r="J52" s="375"/>
      <c r="O52" s="71"/>
      <c r="P52" s="71"/>
    </row>
    <row r="53" spans="1:16" s="72" customFormat="1" x14ac:dyDescent="0.25">
      <c r="A53" s="48"/>
      <c r="B53" s="374" t="s">
        <v>180</v>
      </c>
      <c r="C53" s="279"/>
      <c r="D53" s="279">
        <v>3</v>
      </c>
      <c r="E53" s="374" t="s">
        <v>95</v>
      </c>
      <c r="F53" s="54" t="s">
        <v>83</v>
      </c>
      <c r="G53" s="371">
        <v>2</v>
      </c>
      <c r="H53" s="371">
        <v>2</v>
      </c>
      <c r="I53" s="375">
        <v>5000000</v>
      </c>
      <c r="J53" s="375">
        <f>I53*H53*G53</f>
        <v>20000000</v>
      </c>
      <c r="O53" s="71"/>
      <c r="P53" s="71"/>
    </row>
    <row r="54" spans="1:16" s="72" customFormat="1" x14ac:dyDescent="0.25">
      <c r="A54" s="48"/>
      <c r="B54" s="374"/>
      <c r="C54" s="279"/>
      <c r="D54" s="279"/>
      <c r="E54" s="374"/>
      <c r="F54" s="55" t="s">
        <v>181</v>
      </c>
      <c r="G54" s="371"/>
      <c r="H54" s="371"/>
      <c r="I54" s="375"/>
      <c r="J54" s="375"/>
      <c r="O54" s="71"/>
      <c r="P54" s="71"/>
    </row>
    <row r="55" spans="1:16" s="72" customFormat="1" x14ac:dyDescent="0.25">
      <c r="A55" s="48"/>
      <c r="B55" s="374"/>
      <c r="C55" s="279"/>
      <c r="D55" s="279"/>
      <c r="E55" s="374"/>
      <c r="F55" s="56"/>
      <c r="G55" s="371"/>
      <c r="H55" s="371"/>
      <c r="I55" s="375"/>
      <c r="J55" s="375"/>
      <c r="O55" s="71"/>
      <c r="P55" s="71"/>
    </row>
    <row r="56" spans="1:16" s="72" customFormat="1" x14ac:dyDescent="0.25">
      <c r="A56" s="48"/>
      <c r="B56" s="374"/>
      <c r="C56" s="279"/>
      <c r="D56" s="279"/>
      <c r="E56" s="374"/>
      <c r="F56" s="56"/>
      <c r="G56" s="371"/>
      <c r="H56" s="371"/>
      <c r="I56" s="375"/>
      <c r="J56" s="375"/>
      <c r="O56" s="71"/>
      <c r="P56" s="71"/>
    </row>
    <row r="57" spans="1:16" s="72" customFormat="1" x14ac:dyDescent="0.25">
      <c r="A57" s="48"/>
      <c r="B57" s="374"/>
      <c r="C57" s="279"/>
      <c r="D57" s="279"/>
      <c r="E57" s="374"/>
      <c r="F57" s="54" t="s">
        <v>85</v>
      </c>
      <c r="G57" s="371"/>
      <c r="H57" s="371"/>
      <c r="I57" s="375"/>
      <c r="J57" s="375"/>
      <c r="O57" s="71"/>
      <c r="P57" s="71"/>
    </row>
    <row r="58" spans="1:16" s="72" customFormat="1" ht="30" x14ac:dyDescent="0.25">
      <c r="A58" s="48"/>
      <c r="B58" s="374"/>
      <c r="C58" s="279"/>
      <c r="D58" s="279"/>
      <c r="E58" s="374"/>
      <c r="F58" s="55" t="s">
        <v>97</v>
      </c>
      <c r="G58" s="371"/>
      <c r="H58" s="371"/>
      <c r="I58" s="375"/>
      <c r="J58" s="375"/>
      <c r="O58" s="71"/>
      <c r="P58" s="71"/>
    </row>
    <row r="59" spans="1:16" s="72" customFormat="1" x14ac:dyDescent="0.25">
      <c r="A59" s="48"/>
      <c r="B59" s="374"/>
      <c r="C59" s="279"/>
      <c r="D59" s="279"/>
      <c r="E59" s="374"/>
      <c r="F59" s="57"/>
      <c r="G59" s="371"/>
      <c r="H59" s="371"/>
      <c r="I59" s="375"/>
      <c r="J59" s="375"/>
      <c r="O59" s="71"/>
      <c r="P59" s="71"/>
    </row>
    <row r="60" spans="1:16" s="72" customFormat="1" x14ac:dyDescent="0.25">
      <c r="A60" s="48"/>
      <c r="B60" s="374"/>
      <c r="C60" s="279"/>
      <c r="D60" s="279"/>
      <c r="E60" s="374"/>
      <c r="F60" s="57"/>
      <c r="G60" s="371"/>
      <c r="H60" s="371"/>
      <c r="I60" s="375"/>
      <c r="J60" s="375"/>
      <c r="O60" s="71"/>
      <c r="P60" s="71"/>
    </row>
    <row r="61" spans="1:16" s="72" customFormat="1" x14ac:dyDescent="0.25">
      <c r="A61" s="48"/>
      <c r="B61" s="374"/>
      <c r="C61" s="279"/>
      <c r="D61" s="279"/>
      <c r="E61" s="374"/>
      <c r="F61" s="54" t="s">
        <v>87</v>
      </c>
      <c r="G61" s="371"/>
      <c r="H61" s="371"/>
      <c r="I61" s="375"/>
      <c r="J61" s="375"/>
      <c r="O61" s="71"/>
      <c r="P61" s="71"/>
    </row>
    <row r="62" spans="1:16" s="72" customFormat="1" x14ac:dyDescent="0.25">
      <c r="A62" s="48"/>
      <c r="B62" s="374"/>
      <c r="C62" s="279"/>
      <c r="D62" s="279"/>
      <c r="E62" s="374"/>
      <c r="F62" s="59" t="s">
        <v>98</v>
      </c>
      <c r="G62" s="371"/>
      <c r="H62" s="371"/>
      <c r="I62" s="375"/>
      <c r="J62" s="375"/>
      <c r="O62" s="71"/>
      <c r="P62" s="71"/>
    </row>
    <row r="63" spans="1:16" s="72" customFormat="1" x14ac:dyDescent="0.25">
      <c r="A63" s="48"/>
      <c r="B63" s="374" t="s">
        <v>180</v>
      </c>
      <c r="C63" s="279"/>
      <c r="D63" s="279">
        <v>4</v>
      </c>
      <c r="E63" s="374" t="s">
        <v>99</v>
      </c>
      <c r="F63" s="54" t="s">
        <v>83</v>
      </c>
      <c r="G63" s="371">
        <v>2</v>
      </c>
      <c r="H63" s="371">
        <v>2</v>
      </c>
      <c r="I63" s="375">
        <v>5000000</v>
      </c>
      <c r="J63" s="375">
        <f>I63*H63*G63</f>
        <v>20000000</v>
      </c>
      <c r="O63" s="71"/>
      <c r="P63" s="71"/>
    </row>
    <row r="64" spans="1:16" s="72" customFormat="1" x14ac:dyDescent="0.25">
      <c r="A64" s="48"/>
      <c r="B64" s="374"/>
      <c r="C64" s="279"/>
      <c r="D64" s="279"/>
      <c r="E64" s="374"/>
      <c r="F64" s="55" t="s">
        <v>100</v>
      </c>
      <c r="G64" s="371"/>
      <c r="H64" s="371"/>
      <c r="I64" s="375"/>
      <c r="J64" s="375"/>
      <c r="O64" s="71"/>
      <c r="P64" s="71"/>
    </row>
    <row r="65" spans="1:16" s="72" customFormat="1" x14ac:dyDescent="0.25">
      <c r="A65" s="48"/>
      <c r="B65" s="374"/>
      <c r="C65" s="279"/>
      <c r="D65" s="279"/>
      <c r="E65" s="374"/>
      <c r="F65" s="56"/>
      <c r="G65" s="371"/>
      <c r="H65" s="371"/>
      <c r="I65" s="375"/>
      <c r="J65" s="375"/>
      <c r="O65" s="71"/>
      <c r="P65" s="71"/>
    </row>
    <row r="66" spans="1:16" s="72" customFormat="1" x14ac:dyDescent="0.25">
      <c r="A66" s="48"/>
      <c r="B66" s="374"/>
      <c r="C66" s="279"/>
      <c r="D66" s="279"/>
      <c r="E66" s="374"/>
      <c r="F66" s="54" t="s">
        <v>85</v>
      </c>
      <c r="G66" s="371"/>
      <c r="H66" s="371"/>
      <c r="I66" s="375"/>
      <c r="J66" s="375"/>
      <c r="O66" s="71"/>
      <c r="P66" s="71"/>
    </row>
    <row r="67" spans="1:16" s="72" customFormat="1" ht="30" x14ac:dyDescent="0.25">
      <c r="A67" s="48"/>
      <c r="B67" s="374"/>
      <c r="C67" s="279"/>
      <c r="D67" s="279"/>
      <c r="E67" s="374"/>
      <c r="F67" s="55" t="s">
        <v>97</v>
      </c>
      <c r="G67" s="371"/>
      <c r="H67" s="371"/>
      <c r="I67" s="375"/>
      <c r="J67" s="375"/>
      <c r="O67" s="71"/>
      <c r="P67" s="71"/>
    </row>
    <row r="68" spans="1:16" s="72" customFormat="1" x14ac:dyDescent="0.25">
      <c r="A68" s="48"/>
      <c r="B68" s="374"/>
      <c r="C68" s="279"/>
      <c r="D68" s="279"/>
      <c r="E68" s="374"/>
      <c r="F68" s="57"/>
      <c r="G68" s="371"/>
      <c r="H68" s="371"/>
      <c r="I68" s="375"/>
      <c r="J68" s="375"/>
      <c r="O68" s="71"/>
      <c r="P68" s="71"/>
    </row>
    <row r="69" spans="1:16" s="72" customFormat="1" x14ac:dyDescent="0.25">
      <c r="A69" s="48"/>
      <c r="B69" s="374"/>
      <c r="C69" s="279"/>
      <c r="D69" s="279"/>
      <c r="E69" s="374"/>
      <c r="F69" s="54" t="s">
        <v>87</v>
      </c>
      <c r="G69" s="371"/>
      <c r="H69" s="371"/>
      <c r="I69" s="375"/>
      <c r="J69" s="375"/>
      <c r="O69" s="71"/>
      <c r="P69" s="71"/>
    </row>
    <row r="70" spans="1:16" s="72" customFormat="1" x14ac:dyDescent="0.25">
      <c r="A70" s="48"/>
      <c r="B70" s="374"/>
      <c r="C70" s="279"/>
      <c r="D70" s="279"/>
      <c r="E70" s="374"/>
      <c r="F70" s="60" t="s">
        <v>182</v>
      </c>
      <c r="G70" s="371"/>
      <c r="H70" s="371"/>
      <c r="I70" s="375"/>
      <c r="J70" s="375"/>
      <c r="O70" s="71"/>
      <c r="P70" s="71"/>
    </row>
    <row r="71" spans="1:16" s="72" customFormat="1" x14ac:dyDescent="0.25">
      <c r="A71" s="48"/>
      <c r="B71" s="376" t="s">
        <v>183</v>
      </c>
      <c r="C71" s="279"/>
      <c r="D71" s="279">
        <v>5</v>
      </c>
      <c r="E71" s="374" t="s">
        <v>95</v>
      </c>
      <c r="F71" s="54" t="s">
        <v>83</v>
      </c>
      <c r="G71" s="371">
        <v>4</v>
      </c>
      <c r="H71" s="371">
        <v>3</v>
      </c>
      <c r="I71" s="375">
        <v>5000000</v>
      </c>
      <c r="J71" s="375">
        <f>I71*H71*G71</f>
        <v>60000000</v>
      </c>
      <c r="O71" s="71"/>
      <c r="P71" s="71"/>
    </row>
    <row r="72" spans="1:16" s="72" customFormat="1" x14ac:dyDescent="0.25">
      <c r="A72" s="48"/>
      <c r="B72" s="377"/>
      <c r="C72" s="279"/>
      <c r="D72" s="279"/>
      <c r="E72" s="374"/>
      <c r="F72" s="55" t="s">
        <v>181</v>
      </c>
      <c r="G72" s="371"/>
      <c r="H72" s="371"/>
      <c r="I72" s="375"/>
      <c r="J72" s="375"/>
      <c r="O72" s="71"/>
      <c r="P72" s="71"/>
    </row>
    <row r="73" spans="1:16" s="72" customFormat="1" x14ac:dyDescent="0.25">
      <c r="A73" s="48"/>
      <c r="B73" s="377"/>
      <c r="C73" s="279"/>
      <c r="D73" s="279"/>
      <c r="E73" s="374"/>
      <c r="F73" s="56"/>
      <c r="G73" s="371"/>
      <c r="H73" s="371"/>
      <c r="I73" s="375"/>
      <c r="J73" s="375"/>
      <c r="O73" s="71"/>
      <c r="P73" s="71"/>
    </row>
    <row r="74" spans="1:16" s="72" customFormat="1" x14ac:dyDescent="0.25">
      <c r="A74" s="48"/>
      <c r="B74" s="377"/>
      <c r="C74" s="279"/>
      <c r="D74" s="279"/>
      <c r="E74" s="374"/>
      <c r="F74" s="56"/>
      <c r="G74" s="371"/>
      <c r="H74" s="371"/>
      <c r="I74" s="375"/>
      <c r="J74" s="375"/>
      <c r="O74" s="71"/>
      <c r="P74" s="71"/>
    </row>
    <row r="75" spans="1:16" s="72" customFormat="1" x14ac:dyDescent="0.25">
      <c r="A75" s="48"/>
      <c r="B75" s="377"/>
      <c r="C75" s="279"/>
      <c r="D75" s="279"/>
      <c r="E75" s="374"/>
      <c r="F75" s="54" t="s">
        <v>85</v>
      </c>
      <c r="G75" s="371"/>
      <c r="H75" s="371"/>
      <c r="I75" s="375"/>
      <c r="J75" s="375"/>
      <c r="O75" s="71"/>
      <c r="P75" s="71"/>
    </row>
    <row r="76" spans="1:16" s="72" customFormat="1" ht="30" x14ac:dyDescent="0.25">
      <c r="A76" s="48"/>
      <c r="B76" s="377"/>
      <c r="C76" s="279"/>
      <c r="D76" s="279"/>
      <c r="E76" s="374"/>
      <c r="F76" s="55" t="s">
        <v>97</v>
      </c>
      <c r="G76" s="371"/>
      <c r="H76" s="371"/>
      <c r="I76" s="375"/>
      <c r="J76" s="375"/>
      <c r="O76" s="71"/>
      <c r="P76" s="71"/>
    </row>
    <row r="77" spans="1:16" s="72" customFormat="1" x14ac:dyDescent="0.25">
      <c r="A77" s="48"/>
      <c r="B77" s="377"/>
      <c r="C77" s="279"/>
      <c r="D77" s="279"/>
      <c r="E77" s="374"/>
      <c r="F77" s="57"/>
      <c r="G77" s="371"/>
      <c r="H77" s="371"/>
      <c r="I77" s="375"/>
      <c r="J77" s="375"/>
      <c r="O77" s="71"/>
      <c r="P77" s="71"/>
    </row>
    <row r="78" spans="1:16" s="72" customFormat="1" x14ac:dyDescent="0.25">
      <c r="A78" s="48"/>
      <c r="B78" s="377"/>
      <c r="C78" s="279"/>
      <c r="D78" s="279"/>
      <c r="E78" s="374"/>
      <c r="F78" s="57"/>
      <c r="G78" s="371"/>
      <c r="H78" s="371"/>
      <c r="I78" s="375"/>
      <c r="J78" s="375"/>
      <c r="O78" s="71"/>
      <c r="P78" s="71"/>
    </row>
    <row r="79" spans="1:16" s="72" customFormat="1" x14ac:dyDescent="0.25">
      <c r="A79" s="48"/>
      <c r="B79" s="377"/>
      <c r="C79" s="279"/>
      <c r="D79" s="279"/>
      <c r="E79" s="374"/>
      <c r="F79" s="54" t="s">
        <v>87</v>
      </c>
      <c r="G79" s="371"/>
      <c r="H79" s="371"/>
      <c r="I79" s="375"/>
      <c r="J79" s="375"/>
      <c r="O79" s="71"/>
      <c r="P79" s="71"/>
    </row>
    <row r="80" spans="1:16" s="72" customFormat="1" x14ac:dyDescent="0.25">
      <c r="A80" s="48"/>
      <c r="B80" s="378"/>
      <c r="C80" s="279"/>
      <c r="D80" s="279"/>
      <c r="E80" s="374"/>
      <c r="F80" s="59" t="s">
        <v>98</v>
      </c>
      <c r="G80" s="371"/>
      <c r="H80" s="371"/>
      <c r="I80" s="375"/>
      <c r="J80" s="375"/>
      <c r="O80" s="71"/>
      <c r="P80" s="71"/>
    </row>
    <row r="81" spans="1:16" s="72" customFormat="1" x14ac:dyDescent="0.25">
      <c r="A81" s="48"/>
      <c r="B81" s="376" t="s">
        <v>183</v>
      </c>
      <c r="C81" s="279"/>
      <c r="D81" s="279">
        <v>6</v>
      </c>
      <c r="E81" s="374" t="s">
        <v>99</v>
      </c>
      <c r="F81" s="54" t="s">
        <v>83</v>
      </c>
      <c r="G81" s="371">
        <v>4</v>
      </c>
      <c r="H81" s="371">
        <v>3</v>
      </c>
      <c r="I81" s="375">
        <v>5000000</v>
      </c>
      <c r="J81" s="375">
        <f>I81*H81*G81</f>
        <v>60000000</v>
      </c>
      <c r="O81" s="71"/>
      <c r="P81" s="71"/>
    </row>
    <row r="82" spans="1:16" s="72" customFormat="1" x14ac:dyDescent="0.25">
      <c r="A82" s="48"/>
      <c r="B82" s="377"/>
      <c r="C82" s="279"/>
      <c r="D82" s="279"/>
      <c r="E82" s="374"/>
      <c r="F82" s="55" t="s">
        <v>100</v>
      </c>
      <c r="G82" s="371"/>
      <c r="H82" s="371"/>
      <c r="I82" s="375"/>
      <c r="J82" s="375"/>
      <c r="O82" s="71"/>
      <c r="P82" s="71"/>
    </row>
    <row r="83" spans="1:16" s="72" customFormat="1" x14ac:dyDescent="0.25">
      <c r="A83" s="48"/>
      <c r="B83" s="377"/>
      <c r="C83" s="279"/>
      <c r="D83" s="279"/>
      <c r="E83" s="374"/>
      <c r="F83" s="56"/>
      <c r="G83" s="371"/>
      <c r="H83" s="371"/>
      <c r="I83" s="375"/>
      <c r="J83" s="375"/>
      <c r="O83" s="71"/>
      <c r="P83" s="71"/>
    </row>
    <row r="84" spans="1:16" s="72" customFormat="1" x14ac:dyDescent="0.25">
      <c r="A84" s="48"/>
      <c r="B84" s="377"/>
      <c r="C84" s="279"/>
      <c r="D84" s="279"/>
      <c r="E84" s="374"/>
      <c r="F84" s="54" t="s">
        <v>85</v>
      </c>
      <c r="G84" s="371"/>
      <c r="H84" s="371"/>
      <c r="I84" s="375"/>
      <c r="J84" s="375"/>
      <c r="O84" s="71"/>
      <c r="P84" s="71"/>
    </row>
    <row r="85" spans="1:16" s="72" customFormat="1" ht="30" x14ac:dyDescent="0.25">
      <c r="A85" s="48"/>
      <c r="B85" s="377"/>
      <c r="C85" s="279"/>
      <c r="D85" s="279"/>
      <c r="E85" s="374"/>
      <c r="F85" s="55" t="s">
        <v>97</v>
      </c>
      <c r="G85" s="371"/>
      <c r="H85" s="371"/>
      <c r="I85" s="375"/>
      <c r="J85" s="375"/>
      <c r="O85" s="71"/>
      <c r="P85" s="71"/>
    </row>
    <row r="86" spans="1:16" s="72" customFormat="1" x14ac:dyDescent="0.25">
      <c r="A86" s="48"/>
      <c r="B86" s="377"/>
      <c r="C86" s="279"/>
      <c r="D86" s="279"/>
      <c r="E86" s="374"/>
      <c r="F86" s="57"/>
      <c r="G86" s="371"/>
      <c r="H86" s="371"/>
      <c r="I86" s="375"/>
      <c r="J86" s="375"/>
      <c r="O86" s="71"/>
      <c r="P86" s="71"/>
    </row>
    <row r="87" spans="1:16" s="72" customFormat="1" x14ac:dyDescent="0.25">
      <c r="A87" s="48"/>
      <c r="B87" s="377"/>
      <c r="C87" s="279"/>
      <c r="D87" s="279"/>
      <c r="E87" s="374"/>
      <c r="F87" s="54" t="s">
        <v>87</v>
      </c>
      <c r="G87" s="371"/>
      <c r="H87" s="371"/>
      <c r="I87" s="375"/>
      <c r="J87" s="375"/>
      <c r="O87" s="71"/>
      <c r="P87" s="71"/>
    </row>
    <row r="88" spans="1:16" s="72" customFormat="1" x14ac:dyDescent="0.25">
      <c r="A88" s="48"/>
      <c r="B88" s="378"/>
      <c r="C88" s="279"/>
      <c r="D88" s="279"/>
      <c r="E88" s="374"/>
      <c r="F88" s="60" t="s">
        <v>182</v>
      </c>
      <c r="G88" s="371"/>
      <c r="H88" s="371"/>
      <c r="I88" s="375"/>
      <c r="J88" s="375"/>
      <c r="O88" s="71"/>
      <c r="P88" s="71"/>
    </row>
    <row r="89" spans="1:16" s="72" customFormat="1" x14ac:dyDescent="0.25">
      <c r="A89" s="48"/>
      <c r="B89" s="376" t="s">
        <v>184</v>
      </c>
      <c r="C89" s="279"/>
      <c r="D89" s="279">
        <v>7</v>
      </c>
      <c r="E89" s="374" t="s">
        <v>95</v>
      </c>
      <c r="F89" s="54" t="s">
        <v>83</v>
      </c>
      <c r="G89" s="371">
        <v>4</v>
      </c>
      <c r="H89" s="371">
        <v>3</v>
      </c>
      <c r="I89" s="375">
        <v>5000000</v>
      </c>
      <c r="J89" s="375">
        <f>I89*H89*G89</f>
        <v>60000000</v>
      </c>
      <c r="O89" s="71"/>
      <c r="P89" s="71"/>
    </row>
    <row r="90" spans="1:16" s="72" customFormat="1" x14ac:dyDescent="0.25">
      <c r="A90" s="48"/>
      <c r="B90" s="377"/>
      <c r="C90" s="279"/>
      <c r="D90" s="279"/>
      <c r="E90" s="374"/>
      <c r="F90" s="55" t="s">
        <v>181</v>
      </c>
      <c r="G90" s="371"/>
      <c r="H90" s="371"/>
      <c r="I90" s="375"/>
      <c r="J90" s="375"/>
      <c r="O90" s="71"/>
      <c r="P90" s="71"/>
    </row>
    <row r="91" spans="1:16" s="72" customFormat="1" x14ac:dyDescent="0.25">
      <c r="A91" s="48"/>
      <c r="B91" s="377"/>
      <c r="C91" s="279"/>
      <c r="D91" s="279"/>
      <c r="E91" s="374"/>
      <c r="F91" s="56"/>
      <c r="G91" s="371"/>
      <c r="H91" s="371"/>
      <c r="I91" s="375"/>
      <c r="J91" s="375"/>
      <c r="O91" s="71"/>
      <c r="P91" s="71"/>
    </row>
    <row r="92" spans="1:16" s="72" customFormat="1" x14ac:dyDescent="0.25">
      <c r="A92" s="48"/>
      <c r="B92" s="377"/>
      <c r="C92" s="279"/>
      <c r="D92" s="279"/>
      <c r="E92" s="374"/>
      <c r="F92" s="56"/>
      <c r="G92" s="371"/>
      <c r="H92" s="371"/>
      <c r="I92" s="375"/>
      <c r="J92" s="375"/>
      <c r="O92" s="71"/>
      <c r="P92" s="71"/>
    </row>
    <row r="93" spans="1:16" s="72" customFormat="1" x14ac:dyDescent="0.25">
      <c r="A93" s="48"/>
      <c r="B93" s="377"/>
      <c r="C93" s="279"/>
      <c r="D93" s="279"/>
      <c r="E93" s="374"/>
      <c r="F93" s="54" t="s">
        <v>85</v>
      </c>
      <c r="G93" s="371"/>
      <c r="H93" s="371"/>
      <c r="I93" s="375"/>
      <c r="J93" s="375"/>
      <c r="O93" s="71"/>
      <c r="P93" s="71"/>
    </row>
    <row r="94" spans="1:16" s="72" customFormat="1" ht="30" x14ac:dyDescent="0.25">
      <c r="A94" s="48"/>
      <c r="B94" s="377"/>
      <c r="C94" s="279"/>
      <c r="D94" s="279"/>
      <c r="E94" s="374"/>
      <c r="F94" s="55" t="s">
        <v>97</v>
      </c>
      <c r="G94" s="371"/>
      <c r="H94" s="371"/>
      <c r="I94" s="375"/>
      <c r="J94" s="375"/>
      <c r="O94" s="71"/>
      <c r="P94" s="71"/>
    </row>
    <row r="95" spans="1:16" s="72" customFormat="1" x14ac:dyDescent="0.25">
      <c r="A95" s="48"/>
      <c r="B95" s="377"/>
      <c r="C95" s="279"/>
      <c r="D95" s="279"/>
      <c r="E95" s="374"/>
      <c r="F95" s="57"/>
      <c r="G95" s="371"/>
      <c r="H95" s="371"/>
      <c r="I95" s="375"/>
      <c r="J95" s="375"/>
      <c r="O95" s="71"/>
      <c r="P95" s="71"/>
    </row>
    <row r="96" spans="1:16" s="72" customFormat="1" x14ac:dyDescent="0.25">
      <c r="A96" s="48"/>
      <c r="B96" s="377"/>
      <c r="C96" s="279"/>
      <c r="D96" s="279"/>
      <c r="E96" s="374"/>
      <c r="F96" s="57"/>
      <c r="G96" s="371"/>
      <c r="H96" s="371"/>
      <c r="I96" s="375"/>
      <c r="J96" s="375"/>
      <c r="O96" s="71"/>
      <c r="P96" s="71"/>
    </row>
    <row r="97" spans="1:16" s="72" customFormat="1" x14ac:dyDescent="0.25">
      <c r="A97" s="48"/>
      <c r="B97" s="377"/>
      <c r="C97" s="279"/>
      <c r="D97" s="279"/>
      <c r="E97" s="374"/>
      <c r="F97" s="54" t="s">
        <v>87</v>
      </c>
      <c r="G97" s="371"/>
      <c r="H97" s="371"/>
      <c r="I97" s="375"/>
      <c r="J97" s="375"/>
      <c r="O97" s="71"/>
      <c r="P97" s="71"/>
    </row>
    <row r="98" spans="1:16" s="72" customFormat="1" x14ac:dyDescent="0.25">
      <c r="A98" s="48"/>
      <c r="B98" s="378"/>
      <c r="C98" s="279"/>
      <c r="D98" s="279"/>
      <c r="E98" s="374"/>
      <c r="F98" s="59" t="s">
        <v>98</v>
      </c>
      <c r="G98" s="371"/>
      <c r="H98" s="371"/>
      <c r="I98" s="375"/>
      <c r="J98" s="375"/>
      <c r="O98" s="71"/>
      <c r="P98" s="71"/>
    </row>
    <row r="99" spans="1:16" s="72" customFormat="1" x14ac:dyDescent="0.25">
      <c r="A99" s="48"/>
      <c r="B99" s="376" t="s">
        <v>184</v>
      </c>
      <c r="C99" s="279"/>
      <c r="D99" s="279">
        <v>8</v>
      </c>
      <c r="E99" s="374" t="s">
        <v>99</v>
      </c>
      <c r="F99" s="54" t="s">
        <v>83</v>
      </c>
      <c r="G99" s="371">
        <v>4</v>
      </c>
      <c r="H99" s="371">
        <v>3</v>
      </c>
      <c r="I99" s="375">
        <v>5000000</v>
      </c>
      <c r="J99" s="375">
        <f>I99*H99*G99</f>
        <v>60000000</v>
      </c>
      <c r="O99" s="71"/>
      <c r="P99" s="71"/>
    </row>
    <row r="100" spans="1:16" s="72" customFormat="1" x14ac:dyDescent="0.25">
      <c r="A100" s="48"/>
      <c r="B100" s="377"/>
      <c r="C100" s="279"/>
      <c r="D100" s="279"/>
      <c r="E100" s="374"/>
      <c r="F100" s="55" t="s">
        <v>100</v>
      </c>
      <c r="G100" s="371"/>
      <c r="H100" s="371"/>
      <c r="I100" s="375"/>
      <c r="J100" s="375"/>
      <c r="O100" s="71"/>
      <c r="P100" s="71"/>
    </row>
    <row r="101" spans="1:16" s="72" customFormat="1" x14ac:dyDescent="0.25">
      <c r="A101" s="48"/>
      <c r="B101" s="377"/>
      <c r="C101" s="279"/>
      <c r="D101" s="279"/>
      <c r="E101" s="374"/>
      <c r="F101" s="56"/>
      <c r="G101" s="371"/>
      <c r="H101" s="371"/>
      <c r="I101" s="375"/>
      <c r="J101" s="375"/>
      <c r="O101" s="71"/>
      <c r="P101" s="71"/>
    </row>
    <row r="102" spans="1:16" s="72" customFormat="1" x14ac:dyDescent="0.25">
      <c r="A102" s="48"/>
      <c r="B102" s="377"/>
      <c r="C102" s="279"/>
      <c r="D102" s="279"/>
      <c r="E102" s="374"/>
      <c r="F102" s="54" t="s">
        <v>85</v>
      </c>
      <c r="G102" s="371"/>
      <c r="H102" s="371"/>
      <c r="I102" s="375"/>
      <c r="J102" s="375"/>
      <c r="O102" s="71"/>
      <c r="P102" s="71"/>
    </row>
    <row r="103" spans="1:16" s="72" customFormat="1" ht="30" x14ac:dyDescent="0.25">
      <c r="A103" s="48"/>
      <c r="B103" s="377"/>
      <c r="C103" s="279"/>
      <c r="D103" s="279"/>
      <c r="E103" s="374"/>
      <c r="F103" s="55" t="s">
        <v>97</v>
      </c>
      <c r="G103" s="371"/>
      <c r="H103" s="371"/>
      <c r="I103" s="375"/>
      <c r="J103" s="375"/>
      <c r="O103" s="71"/>
      <c r="P103" s="71"/>
    </row>
    <row r="104" spans="1:16" s="72" customFormat="1" x14ac:dyDescent="0.25">
      <c r="A104" s="48"/>
      <c r="B104" s="377"/>
      <c r="C104" s="279"/>
      <c r="D104" s="279"/>
      <c r="E104" s="374"/>
      <c r="F104" s="57"/>
      <c r="G104" s="371"/>
      <c r="H104" s="371"/>
      <c r="I104" s="375"/>
      <c r="J104" s="375"/>
      <c r="O104" s="71"/>
      <c r="P104" s="71"/>
    </row>
    <row r="105" spans="1:16" s="72" customFormat="1" x14ac:dyDescent="0.25">
      <c r="A105" s="48"/>
      <c r="B105" s="377"/>
      <c r="C105" s="279"/>
      <c r="D105" s="279"/>
      <c r="E105" s="374"/>
      <c r="F105" s="54" t="s">
        <v>87</v>
      </c>
      <c r="G105" s="371"/>
      <c r="H105" s="371"/>
      <c r="I105" s="375"/>
      <c r="J105" s="375"/>
      <c r="O105" s="71"/>
      <c r="P105" s="71"/>
    </row>
    <row r="106" spans="1:16" s="72" customFormat="1" x14ac:dyDescent="0.25">
      <c r="A106" s="48"/>
      <c r="B106" s="378"/>
      <c r="C106" s="279"/>
      <c r="D106" s="279"/>
      <c r="E106" s="374"/>
      <c r="F106" s="60" t="s">
        <v>182</v>
      </c>
      <c r="G106" s="371"/>
      <c r="H106" s="371"/>
      <c r="I106" s="375"/>
      <c r="J106" s="375"/>
      <c r="O106" s="71"/>
      <c r="P106" s="71"/>
    </row>
    <row r="107" spans="1:16" s="72" customFormat="1" x14ac:dyDescent="0.25">
      <c r="A107" s="48"/>
      <c r="B107" s="376" t="s">
        <v>185</v>
      </c>
      <c r="C107" s="279"/>
      <c r="D107" s="279">
        <v>9</v>
      </c>
      <c r="E107" s="374" t="s">
        <v>105</v>
      </c>
      <c r="F107" s="54" t="s">
        <v>83</v>
      </c>
      <c r="G107" s="371">
        <v>2</v>
      </c>
      <c r="H107" s="371">
        <v>2</v>
      </c>
      <c r="I107" s="375">
        <v>5000000</v>
      </c>
      <c r="J107" s="375">
        <f>I107*H107*G107</f>
        <v>20000000</v>
      </c>
      <c r="O107" s="71"/>
      <c r="P107" s="71"/>
    </row>
    <row r="108" spans="1:16" s="72" customFormat="1" ht="30" x14ac:dyDescent="0.25">
      <c r="A108" s="48"/>
      <c r="B108" s="377"/>
      <c r="C108" s="279"/>
      <c r="D108" s="279"/>
      <c r="E108" s="374"/>
      <c r="F108" s="55" t="s">
        <v>106</v>
      </c>
      <c r="G108" s="371"/>
      <c r="H108" s="371"/>
      <c r="I108" s="375"/>
      <c r="J108" s="375"/>
      <c r="O108" s="71"/>
      <c r="P108" s="71"/>
    </row>
    <row r="109" spans="1:16" s="72" customFormat="1" x14ac:dyDescent="0.25">
      <c r="A109" s="48"/>
      <c r="B109" s="377"/>
      <c r="C109" s="279"/>
      <c r="D109" s="279"/>
      <c r="E109" s="374"/>
      <c r="F109" s="54" t="s">
        <v>85</v>
      </c>
      <c r="G109" s="371"/>
      <c r="H109" s="371"/>
      <c r="I109" s="375"/>
      <c r="J109" s="375"/>
      <c r="O109" s="71"/>
      <c r="P109" s="71"/>
    </row>
    <row r="110" spans="1:16" s="72" customFormat="1" ht="30" x14ac:dyDescent="0.25">
      <c r="A110" s="48"/>
      <c r="B110" s="377"/>
      <c r="C110" s="279"/>
      <c r="D110" s="279"/>
      <c r="E110" s="374"/>
      <c r="F110" s="55" t="s">
        <v>97</v>
      </c>
      <c r="G110" s="371"/>
      <c r="H110" s="371"/>
      <c r="I110" s="375"/>
      <c r="J110" s="375"/>
      <c r="O110" s="71"/>
      <c r="P110" s="71"/>
    </row>
    <row r="111" spans="1:16" s="72" customFormat="1" x14ac:dyDescent="0.25">
      <c r="A111" s="48"/>
      <c r="B111" s="377"/>
      <c r="C111" s="279"/>
      <c r="D111" s="279"/>
      <c r="E111" s="374"/>
      <c r="F111" s="57"/>
      <c r="G111" s="371"/>
      <c r="H111" s="371"/>
      <c r="I111" s="375"/>
      <c r="J111" s="375"/>
      <c r="O111" s="71"/>
      <c r="P111" s="71"/>
    </row>
    <row r="112" spans="1:16" s="72" customFormat="1" x14ac:dyDescent="0.25">
      <c r="A112" s="48"/>
      <c r="B112" s="377"/>
      <c r="C112" s="279"/>
      <c r="D112" s="279"/>
      <c r="E112" s="374"/>
      <c r="F112" s="54" t="s">
        <v>87</v>
      </c>
      <c r="G112" s="371"/>
      <c r="H112" s="371"/>
      <c r="I112" s="375"/>
      <c r="J112" s="375"/>
      <c r="O112" s="71"/>
      <c r="P112" s="71"/>
    </row>
    <row r="113" spans="1:16" s="72" customFormat="1" ht="25.5" x14ac:dyDescent="0.25">
      <c r="A113" s="48"/>
      <c r="B113" s="378"/>
      <c r="C113" s="279"/>
      <c r="D113" s="279"/>
      <c r="E113" s="374"/>
      <c r="F113" s="59" t="s">
        <v>107</v>
      </c>
      <c r="G113" s="371"/>
      <c r="H113" s="371"/>
      <c r="I113" s="375"/>
      <c r="J113" s="375"/>
      <c r="O113" s="71"/>
      <c r="P113" s="71"/>
    </row>
    <row r="114" spans="1:16" s="72" customFormat="1" x14ac:dyDescent="0.25">
      <c r="A114" s="48"/>
      <c r="B114" s="376" t="s">
        <v>108</v>
      </c>
      <c r="C114" s="279"/>
      <c r="D114" s="279">
        <v>10</v>
      </c>
      <c r="E114" s="374" t="s">
        <v>109</v>
      </c>
      <c r="F114" s="54" t="s">
        <v>83</v>
      </c>
      <c r="G114" s="371">
        <v>4</v>
      </c>
      <c r="H114" s="371">
        <v>6</v>
      </c>
      <c r="I114" s="375">
        <v>5000000</v>
      </c>
      <c r="J114" s="375">
        <f>I114*H114*G114</f>
        <v>120000000</v>
      </c>
      <c r="O114" s="71"/>
      <c r="P114" s="71"/>
    </row>
    <row r="115" spans="1:16" s="72" customFormat="1" x14ac:dyDescent="0.25">
      <c r="A115" s="48"/>
      <c r="B115" s="377"/>
      <c r="C115" s="279"/>
      <c r="D115" s="279"/>
      <c r="E115" s="374"/>
      <c r="F115" s="55" t="s">
        <v>181</v>
      </c>
      <c r="G115" s="371"/>
      <c r="H115" s="371"/>
      <c r="I115" s="375"/>
      <c r="J115" s="375"/>
      <c r="O115" s="71"/>
      <c r="P115" s="71"/>
    </row>
    <row r="116" spans="1:16" s="72" customFormat="1" x14ac:dyDescent="0.25">
      <c r="A116" s="48"/>
      <c r="B116" s="377"/>
      <c r="C116" s="279"/>
      <c r="D116" s="279"/>
      <c r="E116" s="374"/>
      <c r="F116" s="56"/>
      <c r="G116" s="371"/>
      <c r="H116" s="371"/>
      <c r="I116" s="375"/>
      <c r="J116" s="375"/>
      <c r="O116" s="71"/>
      <c r="P116" s="71"/>
    </row>
    <row r="117" spans="1:16" s="72" customFormat="1" x14ac:dyDescent="0.25">
      <c r="A117" s="48"/>
      <c r="B117" s="377"/>
      <c r="C117" s="279"/>
      <c r="D117" s="279"/>
      <c r="E117" s="374"/>
      <c r="F117" s="54" t="s">
        <v>85</v>
      </c>
      <c r="G117" s="371"/>
      <c r="H117" s="371"/>
      <c r="I117" s="375"/>
      <c r="J117" s="375"/>
      <c r="O117" s="71"/>
      <c r="P117" s="71"/>
    </row>
    <row r="118" spans="1:16" s="72" customFormat="1" ht="30" x14ac:dyDescent="0.25">
      <c r="A118" s="48"/>
      <c r="B118" s="377"/>
      <c r="C118" s="279"/>
      <c r="D118" s="279"/>
      <c r="E118" s="374"/>
      <c r="F118" s="55" t="s">
        <v>97</v>
      </c>
      <c r="G118" s="371"/>
      <c r="H118" s="371"/>
      <c r="I118" s="375"/>
      <c r="J118" s="375"/>
      <c r="O118" s="71"/>
      <c r="P118" s="71"/>
    </row>
    <row r="119" spans="1:16" s="72" customFormat="1" x14ac:dyDescent="0.25">
      <c r="A119" s="48"/>
      <c r="B119" s="377"/>
      <c r="C119" s="279"/>
      <c r="D119" s="279"/>
      <c r="E119" s="374"/>
      <c r="F119" s="57"/>
      <c r="G119" s="371"/>
      <c r="H119" s="371"/>
      <c r="I119" s="375"/>
      <c r="J119" s="375"/>
      <c r="O119" s="71"/>
      <c r="P119" s="71"/>
    </row>
    <row r="120" spans="1:16" s="72" customFormat="1" x14ac:dyDescent="0.25">
      <c r="A120" s="48"/>
      <c r="B120" s="377"/>
      <c r="C120" s="279"/>
      <c r="D120" s="279"/>
      <c r="E120" s="374"/>
      <c r="F120" s="54" t="s">
        <v>87</v>
      </c>
      <c r="G120" s="371"/>
      <c r="H120" s="371"/>
      <c r="I120" s="375"/>
      <c r="J120" s="375"/>
      <c r="O120" s="71"/>
      <c r="P120" s="71"/>
    </row>
    <row r="121" spans="1:16" s="72" customFormat="1" x14ac:dyDescent="0.25">
      <c r="A121" s="48"/>
      <c r="B121" s="378"/>
      <c r="C121" s="279"/>
      <c r="D121" s="279"/>
      <c r="E121" s="374"/>
      <c r="F121" s="59" t="s">
        <v>110</v>
      </c>
      <c r="G121" s="371"/>
      <c r="H121" s="371"/>
      <c r="I121" s="375"/>
      <c r="J121" s="375"/>
      <c r="O121" s="71"/>
      <c r="P121" s="71"/>
    </row>
    <row r="122" spans="1:16" s="72" customFormat="1" x14ac:dyDescent="0.25">
      <c r="A122" s="48"/>
      <c r="B122" s="376" t="s">
        <v>108</v>
      </c>
      <c r="C122" s="279"/>
      <c r="D122" s="279">
        <v>11</v>
      </c>
      <c r="E122" s="374" t="s">
        <v>111</v>
      </c>
      <c r="F122" s="54" t="s">
        <v>83</v>
      </c>
      <c r="G122" s="371">
        <v>4</v>
      </c>
      <c r="H122" s="371">
        <v>6</v>
      </c>
      <c r="I122" s="375">
        <v>5000000</v>
      </c>
      <c r="J122" s="375">
        <f>I122*H122*G122</f>
        <v>120000000</v>
      </c>
      <c r="O122" s="71"/>
      <c r="P122" s="71"/>
    </row>
    <row r="123" spans="1:16" s="72" customFormat="1" x14ac:dyDescent="0.25">
      <c r="A123" s="48"/>
      <c r="B123" s="377"/>
      <c r="C123" s="279"/>
      <c r="D123" s="279"/>
      <c r="E123" s="374"/>
      <c r="F123" s="55" t="s">
        <v>100</v>
      </c>
      <c r="G123" s="371"/>
      <c r="H123" s="371"/>
      <c r="I123" s="375"/>
      <c r="J123" s="375"/>
      <c r="O123" s="71"/>
      <c r="P123" s="71"/>
    </row>
    <row r="124" spans="1:16" s="72" customFormat="1" x14ac:dyDescent="0.25">
      <c r="A124" s="48"/>
      <c r="B124" s="377"/>
      <c r="C124" s="279"/>
      <c r="D124" s="279"/>
      <c r="E124" s="374"/>
      <c r="F124" s="56"/>
      <c r="G124" s="371"/>
      <c r="H124" s="371"/>
      <c r="I124" s="375"/>
      <c r="J124" s="375"/>
      <c r="O124" s="71"/>
      <c r="P124" s="71"/>
    </row>
    <row r="125" spans="1:16" s="72" customFormat="1" x14ac:dyDescent="0.25">
      <c r="A125" s="48"/>
      <c r="B125" s="377"/>
      <c r="C125" s="279"/>
      <c r="D125" s="279"/>
      <c r="E125" s="374"/>
      <c r="F125" s="54" t="s">
        <v>85</v>
      </c>
      <c r="G125" s="371"/>
      <c r="H125" s="371"/>
      <c r="I125" s="375"/>
      <c r="J125" s="375"/>
      <c r="O125" s="71"/>
      <c r="P125" s="71"/>
    </row>
    <row r="126" spans="1:16" s="72" customFormat="1" ht="30" x14ac:dyDescent="0.25">
      <c r="A126" s="48"/>
      <c r="B126" s="377"/>
      <c r="C126" s="279"/>
      <c r="D126" s="279"/>
      <c r="E126" s="374"/>
      <c r="F126" s="55" t="s">
        <v>97</v>
      </c>
      <c r="G126" s="371"/>
      <c r="H126" s="371"/>
      <c r="I126" s="375"/>
      <c r="J126" s="375"/>
      <c r="O126" s="71"/>
      <c r="P126" s="71"/>
    </row>
    <row r="127" spans="1:16" s="72" customFormat="1" x14ac:dyDescent="0.25">
      <c r="A127" s="48"/>
      <c r="B127" s="377"/>
      <c r="C127" s="279"/>
      <c r="D127" s="279"/>
      <c r="E127" s="374"/>
      <c r="F127" s="57"/>
      <c r="G127" s="371"/>
      <c r="H127" s="371"/>
      <c r="I127" s="375"/>
      <c r="J127" s="375"/>
      <c r="K127" s="73"/>
      <c r="O127" s="71"/>
      <c r="P127" s="71"/>
    </row>
    <row r="128" spans="1:16" s="72" customFormat="1" x14ac:dyDescent="0.25">
      <c r="A128" s="48"/>
      <c r="B128" s="377"/>
      <c r="C128" s="279"/>
      <c r="D128" s="279"/>
      <c r="E128" s="374"/>
      <c r="F128" s="54" t="s">
        <v>87</v>
      </c>
      <c r="G128" s="371"/>
      <c r="H128" s="371"/>
      <c r="I128" s="375"/>
      <c r="J128" s="375"/>
      <c r="O128" s="71"/>
      <c r="P128" s="71"/>
    </row>
    <row r="129" spans="1:16" s="72" customFormat="1" x14ac:dyDescent="0.25">
      <c r="A129" s="48"/>
      <c r="B129" s="377"/>
      <c r="C129" s="295"/>
      <c r="D129" s="295"/>
      <c r="E129" s="376"/>
      <c r="F129" s="61" t="s">
        <v>112</v>
      </c>
      <c r="G129" s="381"/>
      <c r="H129" s="381"/>
      <c r="I129" s="379"/>
      <c r="J129" s="379"/>
      <c r="O129" s="71"/>
      <c r="P129" s="71"/>
    </row>
    <row r="130" spans="1:16" s="72" customFormat="1" ht="62.25" customHeight="1" x14ac:dyDescent="0.25">
      <c r="A130" s="48"/>
      <c r="B130" s="380" t="s">
        <v>186</v>
      </c>
      <c r="C130" s="380"/>
      <c r="D130" s="380"/>
      <c r="E130" s="380"/>
      <c r="F130" s="380"/>
      <c r="G130" s="380"/>
      <c r="H130" s="380"/>
      <c r="I130" s="380"/>
      <c r="J130" s="380"/>
      <c r="O130" s="71"/>
      <c r="P130" s="71"/>
    </row>
    <row r="131" spans="1:16" ht="23.25" x14ac:dyDescent="0.35">
      <c r="I131" s="74" t="s">
        <v>114</v>
      </c>
      <c r="J131" s="75">
        <f>SUM(J32:J129)</f>
        <v>631048000</v>
      </c>
    </row>
    <row r="132" spans="1:16" ht="23.25" x14ac:dyDescent="0.35">
      <c r="I132" s="130"/>
      <c r="J132" s="130"/>
    </row>
    <row r="133" spans="1:16" ht="23.25" x14ac:dyDescent="0.35">
      <c r="I133" s="74" t="s">
        <v>187</v>
      </c>
      <c r="J133" s="75">
        <f>ROUND(J131+N29,0)</f>
        <v>1119692750</v>
      </c>
    </row>
    <row r="159" spans="6:14" s="48" customFormat="1" ht="406.9" customHeight="1" x14ac:dyDescent="0.25">
      <c r="F159" s="71"/>
      <c r="G159" s="72"/>
      <c r="H159" s="72"/>
      <c r="I159" s="72"/>
      <c r="J159" s="72"/>
      <c r="K159" s="129"/>
      <c r="L159" s="72"/>
      <c r="M159" s="72"/>
      <c r="N159" s="72"/>
    </row>
  </sheetData>
  <autoFilter ref="A8:H30" xr:uid="{00000000-0009-0000-0000-000000000000}"/>
  <mergeCells count="118">
    <mergeCell ref="J122:J129"/>
    <mergeCell ref="B130:J130"/>
    <mergeCell ref="B122:B129"/>
    <mergeCell ref="D122:D129"/>
    <mergeCell ref="E122:E129"/>
    <mergeCell ref="G122:G129"/>
    <mergeCell ref="H122:H129"/>
    <mergeCell ref="I122:I129"/>
    <mergeCell ref="B114:B121"/>
    <mergeCell ref="D114:D121"/>
    <mergeCell ref="E114:E121"/>
    <mergeCell ref="G114:G121"/>
    <mergeCell ref="H114:H121"/>
    <mergeCell ref="I114:I121"/>
    <mergeCell ref="J114:J121"/>
    <mergeCell ref="B107:B113"/>
    <mergeCell ref="D107:D113"/>
    <mergeCell ref="I99:I106"/>
    <mergeCell ref="J99:J106"/>
    <mergeCell ref="B89:B98"/>
    <mergeCell ref="D89:D98"/>
    <mergeCell ref="E89:E98"/>
    <mergeCell ref="G89:G98"/>
    <mergeCell ref="H89:H98"/>
    <mergeCell ref="I89:I98"/>
    <mergeCell ref="E107:E113"/>
    <mergeCell ref="G107:G113"/>
    <mergeCell ref="H107:H113"/>
    <mergeCell ref="I107:I113"/>
    <mergeCell ref="J89:J98"/>
    <mergeCell ref="B99:B106"/>
    <mergeCell ref="D99:D106"/>
    <mergeCell ref="E99:E106"/>
    <mergeCell ref="G99:G106"/>
    <mergeCell ref="H99:H106"/>
    <mergeCell ref="J107:J113"/>
    <mergeCell ref="B81:B88"/>
    <mergeCell ref="D81:D88"/>
    <mergeCell ref="E81:E88"/>
    <mergeCell ref="G81:G88"/>
    <mergeCell ref="H81:H88"/>
    <mergeCell ref="I81:I88"/>
    <mergeCell ref="J81:J88"/>
    <mergeCell ref="B71:B80"/>
    <mergeCell ref="D71:D80"/>
    <mergeCell ref="J63:J70"/>
    <mergeCell ref="B53:B62"/>
    <mergeCell ref="D53:D62"/>
    <mergeCell ref="E53:E62"/>
    <mergeCell ref="G53:G62"/>
    <mergeCell ref="H53:H62"/>
    <mergeCell ref="I53:I62"/>
    <mergeCell ref="E71:E80"/>
    <mergeCell ref="G71:G80"/>
    <mergeCell ref="H71:H80"/>
    <mergeCell ref="I71:I80"/>
    <mergeCell ref="J53:J62"/>
    <mergeCell ref="B63:B70"/>
    <mergeCell ref="D63:D70"/>
    <mergeCell ref="E63:E70"/>
    <mergeCell ref="G63:G70"/>
    <mergeCell ref="H63:H70"/>
    <mergeCell ref="J71:J80"/>
    <mergeCell ref="A20:A27"/>
    <mergeCell ref="B20:B27"/>
    <mergeCell ref="C20:C27"/>
    <mergeCell ref="D20:D27"/>
    <mergeCell ref="E20:E27"/>
    <mergeCell ref="A28:L28"/>
    <mergeCell ref="B29:I29"/>
    <mergeCell ref="K29:M29"/>
    <mergeCell ref="B32:B41"/>
    <mergeCell ref="C32:C129"/>
    <mergeCell ref="D32:D41"/>
    <mergeCell ref="E32:E41"/>
    <mergeCell ref="G32:G41"/>
    <mergeCell ref="H32:H41"/>
    <mergeCell ref="I32:I41"/>
    <mergeCell ref="J32:J41"/>
    <mergeCell ref="B42:B52"/>
    <mergeCell ref="D42:D52"/>
    <mergeCell ref="E42:E52"/>
    <mergeCell ref="G42:G52"/>
    <mergeCell ref="H42:H52"/>
    <mergeCell ref="I42:I52"/>
    <mergeCell ref="J42:J52"/>
    <mergeCell ref="I63:I70"/>
    <mergeCell ref="A9:A18"/>
    <mergeCell ref="B9:B12"/>
    <mergeCell ref="C9:C12"/>
    <mergeCell ref="D9:D12"/>
    <mergeCell ref="E9:E12"/>
    <mergeCell ref="B14:B15"/>
    <mergeCell ref="C14:C15"/>
    <mergeCell ref="D14:D15"/>
    <mergeCell ref="E14:E15"/>
    <mergeCell ref="B16:B18"/>
    <mergeCell ref="C16:C18"/>
    <mergeCell ref="D16:D18"/>
    <mergeCell ref="E16:E18"/>
    <mergeCell ref="C2:F2"/>
    <mergeCell ref="C3:F3"/>
    <mergeCell ref="C4:F4"/>
    <mergeCell ref="C5:F5"/>
    <mergeCell ref="G6:N6"/>
    <mergeCell ref="A7:A8"/>
    <mergeCell ref="B7:B8"/>
    <mergeCell ref="C7:C8"/>
    <mergeCell ref="D7:D8"/>
    <mergeCell ref="E7:E8"/>
    <mergeCell ref="F7:F8"/>
    <mergeCell ref="G7:G8"/>
    <mergeCell ref="H7:H8"/>
    <mergeCell ref="I7:I8"/>
    <mergeCell ref="K7:K8"/>
    <mergeCell ref="L7:L8"/>
    <mergeCell ref="M7:M8"/>
    <mergeCell ref="N7:N8"/>
  </mergeCells>
  <pageMargins left="0.23622047244094491" right="0.23622047244094491" top="0.74803149606299213" bottom="0.74803149606299213" header="0.31496062992125984" footer="0.31496062992125984"/>
  <pageSetup paperSize="8" scale="2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E4F82-445A-4671-944B-7C95F15742B1}">
  <dimension ref="A2:S133"/>
  <sheetViews>
    <sheetView topLeftCell="I1" zoomScale="80" zoomScaleNormal="80" zoomScaleSheetLayoutView="118" workbookViewId="0">
      <pane ySplit="8" topLeftCell="A132" activePane="bottomLeft" state="frozen"/>
      <selection pane="bottomLeft" activeCell="J131" sqref="J131"/>
    </sheetView>
  </sheetViews>
  <sheetFormatPr baseColWidth="10" defaultColWidth="8.7109375" defaultRowHeight="15" x14ac:dyDescent="0.25"/>
  <cols>
    <col min="1" max="1" width="37.42578125" style="48" customWidth="1"/>
    <col min="2" max="2" width="29.7109375" style="48" customWidth="1"/>
    <col min="3" max="3" width="48.42578125" style="48" customWidth="1"/>
    <col min="4" max="4" width="18" style="48" customWidth="1"/>
    <col min="5" max="5" width="25.7109375" style="48" customWidth="1"/>
    <col min="6" max="6" width="132.140625" style="71" customWidth="1"/>
    <col min="7" max="7" width="25.7109375" style="72" bestFit="1" customWidth="1"/>
    <col min="8" max="8" width="18" style="72" bestFit="1" customWidth="1"/>
    <col min="9" max="9" width="27.7109375" style="72" customWidth="1"/>
    <col min="10" max="10" width="31.7109375" style="72" customWidth="1"/>
    <col min="11" max="11" width="31.140625" style="129" customWidth="1"/>
    <col min="12" max="13" width="23.28515625" style="72" customWidth="1"/>
    <col min="14" max="14" width="33.140625" style="72" customWidth="1"/>
    <col min="15" max="15" width="8.7109375" style="71"/>
    <col min="16" max="16" width="12" style="71" bestFit="1" customWidth="1"/>
    <col min="17" max="17" width="16.140625" style="71" bestFit="1" customWidth="1"/>
    <col min="18" max="16384" width="8.7109375" style="71"/>
  </cols>
  <sheetData>
    <row r="2" spans="1:16" x14ac:dyDescent="0.25">
      <c r="C2" s="346" t="s">
        <v>155</v>
      </c>
      <c r="D2" s="346"/>
      <c r="E2" s="346"/>
      <c r="F2" s="346"/>
    </row>
    <row r="3" spans="1:16" x14ac:dyDescent="0.25">
      <c r="C3" s="347"/>
      <c r="D3" s="347"/>
      <c r="E3" s="347"/>
      <c r="F3" s="347"/>
    </row>
    <row r="4" spans="1:16" x14ac:dyDescent="0.25">
      <c r="C4" s="346" t="s">
        <v>156</v>
      </c>
      <c r="D4" s="346"/>
      <c r="E4" s="346"/>
      <c r="F4" s="346"/>
    </row>
    <row r="5" spans="1:16" x14ac:dyDescent="0.25">
      <c r="C5" s="346"/>
      <c r="D5" s="346"/>
      <c r="E5" s="346"/>
      <c r="F5" s="346"/>
    </row>
    <row r="6" spans="1:16" ht="37.5" customHeight="1" thickBot="1" x14ac:dyDescent="0.3">
      <c r="G6" s="348" t="s">
        <v>188</v>
      </c>
      <c r="H6" s="349"/>
      <c r="I6" s="349"/>
      <c r="J6" s="349"/>
      <c r="K6" s="349"/>
      <c r="L6" s="349"/>
      <c r="M6" s="349"/>
      <c r="N6" s="350"/>
    </row>
    <row r="7" spans="1:16" ht="73.5" customHeight="1" x14ac:dyDescent="0.25">
      <c r="A7" s="351" t="s">
        <v>6</v>
      </c>
      <c r="B7" s="353" t="s">
        <v>7</v>
      </c>
      <c r="C7" s="353" t="s">
        <v>8</v>
      </c>
      <c r="D7" s="353" t="s">
        <v>9</v>
      </c>
      <c r="E7" s="353" t="s">
        <v>158</v>
      </c>
      <c r="F7" s="353" t="s">
        <v>159</v>
      </c>
      <c r="G7" s="355" t="s">
        <v>13</v>
      </c>
      <c r="H7" s="356" t="s">
        <v>12</v>
      </c>
      <c r="I7" s="357" t="s">
        <v>160</v>
      </c>
      <c r="J7" s="141" t="s">
        <v>161</v>
      </c>
      <c r="K7" s="357" t="s">
        <v>162</v>
      </c>
      <c r="L7" s="357" t="s">
        <v>163</v>
      </c>
      <c r="M7" s="357" t="s">
        <v>164</v>
      </c>
      <c r="N7" s="357" t="s">
        <v>79</v>
      </c>
    </row>
    <row r="8" spans="1:16" ht="15.75" x14ac:dyDescent="0.25">
      <c r="A8" s="352"/>
      <c r="B8" s="354"/>
      <c r="C8" s="354"/>
      <c r="D8" s="354"/>
      <c r="E8" s="354"/>
      <c r="F8" s="354"/>
      <c r="G8" s="355"/>
      <c r="H8" s="356"/>
      <c r="I8" s="357"/>
      <c r="J8" s="141"/>
      <c r="K8" s="357"/>
      <c r="L8" s="357"/>
      <c r="M8" s="357"/>
      <c r="N8" s="357"/>
    </row>
    <row r="9" spans="1:16" s="137" customFormat="1" ht="75" x14ac:dyDescent="0.25">
      <c r="A9" s="276" t="s">
        <v>27</v>
      </c>
      <c r="B9" s="279" t="s">
        <v>28</v>
      </c>
      <c r="C9" s="279" t="s">
        <v>29</v>
      </c>
      <c r="D9" s="279" t="s">
        <v>30</v>
      </c>
      <c r="E9" s="279" t="s">
        <v>31</v>
      </c>
      <c r="F9" s="40" t="s">
        <v>189</v>
      </c>
      <c r="G9" s="62" t="s">
        <v>33</v>
      </c>
      <c r="H9" s="62">
        <v>500</v>
      </c>
      <c r="I9" s="65"/>
      <c r="J9" s="65"/>
      <c r="K9" s="64">
        <v>80000</v>
      </c>
      <c r="L9" s="65">
        <f t="shared" ref="L9:L27" si="0">+K9*0.19</f>
        <v>15200</v>
      </c>
      <c r="M9" s="69">
        <f t="shared" ref="M9:M27" si="1">+K9+L9</f>
        <v>95200</v>
      </c>
      <c r="N9" s="65">
        <f t="shared" ref="N9:N27" si="2">+M9*H9</f>
        <v>47600000</v>
      </c>
    </row>
    <row r="10" spans="1:16" ht="75" x14ac:dyDescent="0.25">
      <c r="A10" s="277"/>
      <c r="B10" s="279"/>
      <c r="C10" s="279"/>
      <c r="D10" s="279"/>
      <c r="E10" s="279"/>
      <c r="F10" s="39" t="s">
        <v>35</v>
      </c>
      <c r="G10" s="62" t="s">
        <v>36</v>
      </c>
      <c r="H10" s="62">
        <v>500</v>
      </c>
      <c r="I10" s="35"/>
      <c r="J10" s="35"/>
      <c r="K10" s="78">
        <v>800</v>
      </c>
      <c r="L10" s="65">
        <f t="shared" si="0"/>
        <v>152</v>
      </c>
      <c r="M10" s="69">
        <f t="shared" si="1"/>
        <v>952</v>
      </c>
      <c r="N10" s="65">
        <f t="shared" si="2"/>
        <v>476000</v>
      </c>
    </row>
    <row r="11" spans="1:16" ht="30" x14ac:dyDescent="0.25">
      <c r="A11" s="277"/>
      <c r="B11" s="279"/>
      <c r="C11" s="279"/>
      <c r="D11" s="279"/>
      <c r="E11" s="279"/>
      <c r="F11" s="40" t="s">
        <v>166</v>
      </c>
      <c r="G11" s="62" t="s">
        <v>36</v>
      </c>
      <c r="H11" s="62">
        <v>500</v>
      </c>
      <c r="I11" s="35"/>
      <c r="J11" s="35"/>
      <c r="K11" s="78">
        <v>1500</v>
      </c>
      <c r="L11" s="65">
        <f t="shared" si="0"/>
        <v>285</v>
      </c>
      <c r="M11" s="69">
        <f t="shared" si="1"/>
        <v>1785</v>
      </c>
      <c r="N11" s="65">
        <f t="shared" si="2"/>
        <v>892500</v>
      </c>
    </row>
    <row r="12" spans="1:16" s="137" customFormat="1" x14ac:dyDescent="0.25">
      <c r="A12" s="277"/>
      <c r="B12" s="279"/>
      <c r="C12" s="279"/>
      <c r="D12" s="279"/>
      <c r="E12" s="279"/>
      <c r="F12" s="41" t="s">
        <v>38</v>
      </c>
      <c r="G12" s="62" t="s">
        <v>36</v>
      </c>
      <c r="H12" s="62">
        <v>200</v>
      </c>
      <c r="I12" s="140"/>
      <c r="J12" s="65"/>
      <c r="K12" s="78">
        <v>2200</v>
      </c>
      <c r="L12" s="65">
        <f t="shared" si="0"/>
        <v>418</v>
      </c>
      <c r="M12" s="69">
        <f t="shared" si="1"/>
        <v>2618</v>
      </c>
      <c r="N12" s="65">
        <f t="shared" si="2"/>
        <v>523600</v>
      </c>
    </row>
    <row r="13" spans="1:16" s="137" customFormat="1" ht="45" x14ac:dyDescent="0.25">
      <c r="A13" s="277"/>
      <c r="B13" s="35" t="s">
        <v>39</v>
      </c>
      <c r="C13" s="35"/>
      <c r="D13" s="35"/>
      <c r="E13" s="35"/>
      <c r="F13" s="42" t="s">
        <v>43</v>
      </c>
      <c r="G13" s="35" t="s">
        <v>44</v>
      </c>
      <c r="H13" s="35">
        <v>450</v>
      </c>
      <c r="I13" s="65"/>
      <c r="J13" s="65"/>
      <c r="K13" s="78">
        <v>474</v>
      </c>
      <c r="L13" s="65">
        <f t="shared" si="0"/>
        <v>90.06</v>
      </c>
      <c r="M13" s="69">
        <f t="shared" si="1"/>
        <v>564.05999999999995</v>
      </c>
      <c r="N13" s="65">
        <f t="shared" si="2"/>
        <v>253826.99999999997</v>
      </c>
      <c r="P13" s="139"/>
    </row>
    <row r="14" spans="1:16" s="137" customFormat="1" ht="45" x14ac:dyDescent="0.25">
      <c r="A14" s="277"/>
      <c r="B14" s="279" t="s">
        <v>46</v>
      </c>
      <c r="C14" s="279" t="s">
        <v>47</v>
      </c>
      <c r="D14" s="279" t="s">
        <v>48</v>
      </c>
      <c r="E14" s="279" t="s">
        <v>49</v>
      </c>
      <c r="F14" s="42" t="s">
        <v>50</v>
      </c>
      <c r="G14" s="35" t="s">
        <v>44</v>
      </c>
      <c r="H14" s="35">
        <v>15</v>
      </c>
      <c r="I14" s="65"/>
      <c r="J14" s="65"/>
      <c r="K14" s="78">
        <v>2830489</v>
      </c>
      <c r="L14" s="65">
        <f t="shared" si="0"/>
        <v>537792.91</v>
      </c>
      <c r="M14" s="69">
        <f t="shared" si="1"/>
        <v>3368281.91</v>
      </c>
      <c r="N14" s="65">
        <f t="shared" si="2"/>
        <v>50524228.650000006</v>
      </c>
    </row>
    <row r="15" spans="1:16" s="137" customFormat="1" ht="30" x14ac:dyDescent="0.25">
      <c r="A15" s="277"/>
      <c r="B15" s="279"/>
      <c r="C15" s="279"/>
      <c r="D15" s="279"/>
      <c r="E15" s="279"/>
      <c r="F15" s="42" t="s">
        <v>167</v>
      </c>
      <c r="G15" s="35" t="s">
        <v>44</v>
      </c>
      <c r="H15" s="35">
        <v>1500</v>
      </c>
      <c r="I15" s="65"/>
      <c r="J15" s="65"/>
      <c r="K15" s="78">
        <v>750</v>
      </c>
      <c r="L15" s="65">
        <f t="shared" si="0"/>
        <v>142.5</v>
      </c>
      <c r="M15" s="69">
        <f t="shared" si="1"/>
        <v>892.5</v>
      </c>
      <c r="N15" s="65">
        <f t="shared" si="2"/>
        <v>1338750</v>
      </c>
    </row>
    <row r="16" spans="1:16" s="137" customFormat="1" ht="120" x14ac:dyDescent="0.25">
      <c r="A16" s="277"/>
      <c r="B16" s="296"/>
      <c r="C16" s="296"/>
      <c r="D16" s="296"/>
      <c r="E16" s="296"/>
      <c r="F16" s="40" t="s">
        <v>56</v>
      </c>
      <c r="G16" s="35" t="s">
        <v>44</v>
      </c>
      <c r="H16" s="35">
        <v>1200</v>
      </c>
      <c r="I16" s="65"/>
      <c r="J16" s="65"/>
      <c r="K16" s="78">
        <v>102349</v>
      </c>
      <c r="L16" s="65">
        <f t="shared" si="0"/>
        <v>19446.310000000001</v>
      </c>
      <c r="M16" s="69">
        <f t="shared" si="1"/>
        <v>121795.31</v>
      </c>
      <c r="N16" s="65">
        <f t="shared" si="2"/>
        <v>146154372</v>
      </c>
    </row>
    <row r="17" spans="1:14" s="137" customFormat="1" ht="60" x14ac:dyDescent="0.25">
      <c r="A17" s="277"/>
      <c r="B17" s="296"/>
      <c r="C17" s="296"/>
      <c r="D17" s="296"/>
      <c r="E17" s="296"/>
      <c r="F17" s="40" t="s">
        <v>57</v>
      </c>
      <c r="G17" s="35" t="s">
        <v>44</v>
      </c>
      <c r="H17" s="35">
        <v>200</v>
      </c>
      <c r="I17" s="65"/>
      <c r="J17" s="65"/>
      <c r="K17" s="78">
        <v>5000</v>
      </c>
      <c r="L17" s="65">
        <f t="shared" si="0"/>
        <v>950</v>
      </c>
      <c r="M17" s="69">
        <f t="shared" si="1"/>
        <v>5950</v>
      </c>
      <c r="N17" s="65">
        <f t="shared" si="2"/>
        <v>1190000</v>
      </c>
    </row>
    <row r="18" spans="1:14" s="137" customFormat="1" x14ac:dyDescent="0.25">
      <c r="A18" s="278"/>
      <c r="B18" s="297"/>
      <c r="C18" s="297"/>
      <c r="D18" s="297"/>
      <c r="E18" s="297"/>
      <c r="F18" s="40" t="s">
        <v>58</v>
      </c>
      <c r="G18" s="35" t="s">
        <v>44</v>
      </c>
      <c r="H18" s="35">
        <v>2</v>
      </c>
      <c r="I18" s="65"/>
      <c r="J18" s="65"/>
      <c r="K18" s="78">
        <v>3500000</v>
      </c>
      <c r="L18" s="65">
        <f t="shared" si="0"/>
        <v>665000</v>
      </c>
      <c r="M18" s="69">
        <f t="shared" si="1"/>
        <v>4165000</v>
      </c>
      <c r="N18" s="65">
        <f t="shared" si="2"/>
        <v>8330000</v>
      </c>
    </row>
    <row r="19" spans="1:14" s="137" customFormat="1" ht="165" x14ac:dyDescent="0.25">
      <c r="A19" s="34" t="s">
        <v>60</v>
      </c>
      <c r="B19" s="36" t="s">
        <v>62</v>
      </c>
      <c r="C19" s="37" t="s">
        <v>63</v>
      </c>
      <c r="D19" s="37">
        <v>350</v>
      </c>
      <c r="E19" s="37">
        <v>350</v>
      </c>
      <c r="F19" s="42" t="s">
        <v>64</v>
      </c>
      <c r="G19" s="35" t="s">
        <v>65</v>
      </c>
      <c r="H19" s="35">
        <v>6</v>
      </c>
      <c r="I19" s="65"/>
      <c r="J19" s="65"/>
      <c r="K19" s="78">
        <v>4500000</v>
      </c>
      <c r="L19" s="65">
        <f t="shared" si="0"/>
        <v>855000</v>
      </c>
      <c r="M19" s="69">
        <f t="shared" si="1"/>
        <v>5355000</v>
      </c>
      <c r="N19" s="65">
        <f t="shared" si="2"/>
        <v>32130000</v>
      </c>
    </row>
    <row r="20" spans="1:14" s="137" customFormat="1" ht="105" x14ac:dyDescent="0.25">
      <c r="A20" s="358" t="s">
        <v>67</v>
      </c>
      <c r="B20" s="279" t="s">
        <v>68</v>
      </c>
      <c r="C20" s="279" t="s">
        <v>69</v>
      </c>
      <c r="D20" s="279" t="s">
        <v>70</v>
      </c>
      <c r="E20" s="279" t="s">
        <v>71</v>
      </c>
      <c r="F20" s="43" t="s">
        <v>168</v>
      </c>
      <c r="G20" s="35" t="s">
        <v>73</v>
      </c>
      <c r="H20" s="35">
        <v>5</v>
      </c>
      <c r="I20" s="65"/>
      <c r="J20" s="65"/>
      <c r="K20" s="78">
        <v>9646509</v>
      </c>
      <c r="L20" s="65">
        <f t="shared" si="0"/>
        <v>1832836.71</v>
      </c>
      <c r="M20" s="69">
        <f t="shared" si="1"/>
        <v>11479345.710000001</v>
      </c>
      <c r="N20" s="65">
        <f t="shared" si="2"/>
        <v>57396728.550000004</v>
      </c>
    </row>
    <row r="21" spans="1:14" s="137" customFormat="1" ht="60" x14ac:dyDescent="0.25">
      <c r="A21" s="359"/>
      <c r="B21" s="279"/>
      <c r="C21" s="279"/>
      <c r="D21" s="279"/>
      <c r="E21" s="279"/>
      <c r="F21" s="42" t="s">
        <v>123</v>
      </c>
      <c r="G21" s="35" t="s">
        <v>44</v>
      </c>
      <c r="H21" s="35">
        <v>5</v>
      </c>
      <c r="I21" s="65"/>
      <c r="J21" s="65"/>
      <c r="K21" s="78">
        <v>8250304</v>
      </c>
      <c r="L21" s="65">
        <f t="shared" si="0"/>
        <v>1567557.76</v>
      </c>
      <c r="M21" s="69">
        <f t="shared" si="1"/>
        <v>9817861.7599999998</v>
      </c>
      <c r="N21" s="65">
        <f t="shared" si="2"/>
        <v>49089308.799999997</v>
      </c>
    </row>
    <row r="22" spans="1:14" s="137" customFormat="1" ht="45" x14ac:dyDescent="0.25">
      <c r="A22" s="359"/>
      <c r="B22" s="279"/>
      <c r="C22" s="279"/>
      <c r="D22" s="279"/>
      <c r="E22" s="279"/>
      <c r="F22" s="42" t="s">
        <v>169</v>
      </c>
      <c r="G22" s="35" t="s">
        <v>44</v>
      </c>
      <c r="H22" s="35">
        <v>25</v>
      </c>
      <c r="I22" s="65"/>
      <c r="J22" s="65"/>
      <c r="K22" s="78">
        <v>1307356</v>
      </c>
      <c r="L22" s="65">
        <f t="shared" si="0"/>
        <v>248397.64</v>
      </c>
      <c r="M22" s="69">
        <f t="shared" si="1"/>
        <v>1555753.6400000001</v>
      </c>
      <c r="N22" s="65">
        <f t="shared" si="2"/>
        <v>38893841</v>
      </c>
    </row>
    <row r="23" spans="1:14" s="137" customFormat="1" ht="45" x14ac:dyDescent="0.25">
      <c r="A23" s="359"/>
      <c r="B23" s="279"/>
      <c r="C23" s="279"/>
      <c r="D23" s="279"/>
      <c r="E23" s="279"/>
      <c r="F23" s="42" t="s">
        <v>125</v>
      </c>
      <c r="G23" s="35" t="s">
        <v>44</v>
      </c>
      <c r="H23" s="35">
        <v>5</v>
      </c>
      <c r="I23" s="65"/>
      <c r="J23" s="65"/>
      <c r="K23" s="78">
        <v>4442471</v>
      </c>
      <c r="L23" s="65">
        <f t="shared" si="0"/>
        <v>844069.49</v>
      </c>
      <c r="M23" s="69">
        <f t="shared" si="1"/>
        <v>5286540.49</v>
      </c>
      <c r="N23" s="65">
        <f t="shared" si="2"/>
        <v>26432702.450000003</v>
      </c>
    </row>
    <row r="24" spans="1:14" s="137" customFormat="1" x14ac:dyDescent="0.25">
      <c r="A24" s="359"/>
      <c r="B24" s="279"/>
      <c r="C24" s="279"/>
      <c r="D24" s="279"/>
      <c r="E24" s="279"/>
      <c r="F24" s="42" t="s">
        <v>126</v>
      </c>
      <c r="G24" s="35" t="s">
        <v>44</v>
      </c>
      <c r="H24" s="35">
        <v>150</v>
      </c>
      <c r="I24" s="65"/>
      <c r="J24" s="65"/>
      <c r="K24" s="78">
        <v>5711</v>
      </c>
      <c r="L24" s="65">
        <f t="shared" si="0"/>
        <v>1085.0899999999999</v>
      </c>
      <c r="M24" s="69">
        <f t="shared" si="1"/>
        <v>6796.09</v>
      </c>
      <c r="N24" s="65">
        <f t="shared" si="2"/>
        <v>1019413.5</v>
      </c>
    </row>
    <row r="25" spans="1:14" s="137" customFormat="1" ht="30" x14ac:dyDescent="0.25">
      <c r="A25" s="359"/>
      <c r="B25" s="279"/>
      <c r="C25" s="279"/>
      <c r="D25" s="279"/>
      <c r="E25" s="279"/>
      <c r="F25" s="42" t="s">
        <v>171</v>
      </c>
      <c r="G25" s="35" t="s">
        <v>44</v>
      </c>
      <c r="H25" s="35">
        <v>50</v>
      </c>
      <c r="I25" s="65"/>
      <c r="J25" s="65"/>
      <c r="K25" s="78">
        <v>9139</v>
      </c>
      <c r="L25" s="65">
        <f t="shared" si="0"/>
        <v>1736.41</v>
      </c>
      <c r="M25" s="69">
        <f t="shared" si="1"/>
        <v>10875.41</v>
      </c>
      <c r="N25" s="65">
        <f t="shared" si="2"/>
        <v>543770.5</v>
      </c>
    </row>
    <row r="26" spans="1:14" s="137" customFormat="1" ht="30" x14ac:dyDescent="0.25">
      <c r="A26" s="359"/>
      <c r="B26" s="279"/>
      <c r="C26" s="279"/>
      <c r="D26" s="279"/>
      <c r="E26" s="279"/>
      <c r="F26" s="42" t="s">
        <v>172</v>
      </c>
      <c r="G26" s="35" t="s">
        <v>44</v>
      </c>
      <c r="H26" s="35">
        <v>1</v>
      </c>
      <c r="I26" s="65"/>
      <c r="J26" s="65"/>
      <c r="K26" s="78">
        <v>2600000</v>
      </c>
      <c r="L26" s="65">
        <f t="shared" si="0"/>
        <v>494000</v>
      </c>
      <c r="M26" s="69">
        <f t="shared" si="1"/>
        <v>3094000</v>
      </c>
      <c r="N26" s="65">
        <f t="shared" si="2"/>
        <v>3094000</v>
      </c>
    </row>
    <row r="27" spans="1:14" s="137" customFormat="1" ht="30" x14ac:dyDescent="0.25">
      <c r="A27" s="360"/>
      <c r="B27" s="279"/>
      <c r="C27" s="279"/>
      <c r="D27" s="279"/>
      <c r="E27" s="279"/>
      <c r="F27" s="42" t="s">
        <v>173</v>
      </c>
      <c r="G27" s="35" t="s">
        <v>44</v>
      </c>
      <c r="H27" s="35">
        <v>5</v>
      </c>
      <c r="I27" s="65"/>
      <c r="J27" s="65"/>
      <c r="K27" s="78">
        <v>247509</v>
      </c>
      <c r="L27" s="65">
        <f t="shared" si="0"/>
        <v>47026.71</v>
      </c>
      <c r="M27" s="69">
        <f t="shared" si="1"/>
        <v>294535.71000000002</v>
      </c>
      <c r="N27" s="65">
        <f t="shared" si="2"/>
        <v>1472678.55</v>
      </c>
    </row>
    <row r="28" spans="1:14" s="137" customFormat="1" ht="112.7" customHeight="1" thickBot="1" x14ac:dyDescent="0.3">
      <c r="A28" s="361" t="s">
        <v>190</v>
      </c>
      <c r="B28" s="362"/>
      <c r="C28" s="362"/>
      <c r="D28" s="362"/>
      <c r="E28" s="362"/>
      <c r="F28" s="362"/>
      <c r="G28" s="362"/>
      <c r="H28" s="362"/>
      <c r="I28" s="362"/>
      <c r="J28" s="362"/>
      <c r="K28" s="362"/>
      <c r="L28" s="363"/>
      <c r="M28" s="138"/>
      <c r="N28" s="72"/>
    </row>
    <row r="29" spans="1:14" ht="60.4" customHeight="1" thickBot="1" x14ac:dyDescent="0.5">
      <c r="A29" s="136" t="s">
        <v>175</v>
      </c>
      <c r="B29" s="364" t="s">
        <v>79</v>
      </c>
      <c r="C29" s="365"/>
      <c r="D29" s="365"/>
      <c r="E29" s="365"/>
      <c r="F29" s="365"/>
      <c r="G29" s="365"/>
      <c r="H29" s="365"/>
      <c r="I29" s="366"/>
      <c r="J29" s="135"/>
      <c r="K29" s="367" t="s">
        <v>175</v>
      </c>
      <c r="L29" s="368"/>
      <c r="M29" s="369"/>
      <c r="N29" s="134">
        <f>SUM(N9:N27)</f>
        <v>467355721</v>
      </c>
    </row>
    <row r="30" spans="1:14" x14ac:dyDescent="0.25">
      <c r="A30" s="133"/>
      <c r="B30" s="71"/>
      <c r="C30" s="71"/>
      <c r="D30" s="71"/>
      <c r="E30" s="71"/>
      <c r="I30" s="131"/>
      <c r="J30" s="131"/>
      <c r="K30" s="132"/>
      <c r="L30" s="131"/>
      <c r="M30" s="131"/>
      <c r="N30" s="131"/>
    </row>
    <row r="31" spans="1:14" ht="90" customHeight="1" x14ac:dyDescent="0.25">
      <c r="C31" s="49"/>
      <c r="D31" s="49"/>
      <c r="E31" s="49" t="s">
        <v>74</v>
      </c>
      <c r="F31" s="49" t="s">
        <v>75</v>
      </c>
      <c r="G31" s="50" t="s">
        <v>76</v>
      </c>
      <c r="H31" s="51" t="s">
        <v>77</v>
      </c>
      <c r="I31" s="52" t="s">
        <v>78</v>
      </c>
      <c r="J31" s="53" t="s">
        <v>79</v>
      </c>
      <c r="K31" s="53"/>
      <c r="L31" s="53"/>
    </row>
    <row r="32" spans="1:14" x14ac:dyDescent="0.25">
      <c r="B32" s="370" t="s">
        <v>177</v>
      </c>
      <c r="C32" s="279" t="s">
        <v>81</v>
      </c>
      <c r="D32" s="279">
        <v>1</v>
      </c>
      <c r="E32" s="279" t="s">
        <v>82</v>
      </c>
      <c r="F32" s="54" t="s">
        <v>83</v>
      </c>
      <c r="G32" s="371">
        <v>1</v>
      </c>
      <c r="H32" s="371">
        <v>8</v>
      </c>
      <c r="I32" s="382">
        <v>8000000</v>
      </c>
      <c r="J32" s="382">
        <f>I32*H32*G32</f>
        <v>64000000</v>
      </c>
      <c r="K32" s="71"/>
      <c r="L32" s="71"/>
    </row>
    <row r="33" spans="1:19" ht="45" x14ac:dyDescent="0.25">
      <c r="B33" s="370"/>
      <c r="C33" s="279"/>
      <c r="D33" s="279"/>
      <c r="E33" s="279"/>
      <c r="F33" s="55" t="s">
        <v>178</v>
      </c>
      <c r="G33" s="371"/>
      <c r="H33" s="371"/>
      <c r="I33" s="382"/>
      <c r="J33" s="382"/>
      <c r="K33" s="71"/>
      <c r="L33" s="71"/>
    </row>
    <row r="34" spans="1:19" x14ac:dyDescent="0.25">
      <c r="B34" s="370"/>
      <c r="C34" s="279"/>
      <c r="D34" s="279"/>
      <c r="E34" s="279"/>
      <c r="F34" s="56"/>
      <c r="G34" s="371"/>
      <c r="H34" s="371"/>
      <c r="I34" s="382"/>
      <c r="J34" s="382"/>
      <c r="K34" s="71"/>
      <c r="L34" s="71"/>
    </row>
    <row r="35" spans="1:19" x14ac:dyDescent="0.25">
      <c r="B35" s="370"/>
      <c r="C35" s="279"/>
      <c r="D35" s="279"/>
      <c r="E35" s="279"/>
      <c r="F35" s="54" t="s">
        <v>85</v>
      </c>
      <c r="G35" s="371"/>
      <c r="H35" s="371"/>
      <c r="I35" s="382"/>
      <c r="J35" s="382"/>
      <c r="K35" s="71"/>
      <c r="L35" s="71"/>
    </row>
    <row r="36" spans="1:19" ht="30" x14ac:dyDescent="0.25">
      <c r="B36" s="370"/>
      <c r="C36" s="279"/>
      <c r="D36" s="279"/>
      <c r="E36" s="279"/>
      <c r="F36" s="55" t="s">
        <v>86</v>
      </c>
      <c r="G36" s="371"/>
      <c r="H36" s="371"/>
      <c r="I36" s="382"/>
      <c r="J36" s="382"/>
      <c r="K36" s="71"/>
      <c r="L36" s="71"/>
    </row>
    <row r="37" spans="1:19" x14ac:dyDescent="0.25">
      <c r="B37" s="370"/>
      <c r="C37" s="279"/>
      <c r="D37" s="279"/>
      <c r="E37" s="279"/>
      <c r="F37" s="57"/>
      <c r="G37" s="371"/>
      <c r="H37" s="371"/>
      <c r="I37" s="382"/>
      <c r="J37" s="382"/>
      <c r="K37" s="71"/>
      <c r="L37" s="71"/>
    </row>
    <row r="38" spans="1:19" x14ac:dyDescent="0.25">
      <c r="B38" s="370"/>
      <c r="C38" s="279"/>
      <c r="D38" s="279"/>
      <c r="E38" s="279"/>
      <c r="F38" s="54" t="s">
        <v>87</v>
      </c>
      <c r="G38" s="371"/>
      <c r="H38" s="371"/>
      <c r="I38" s="382"/>
      <c r="J38" s="382"/>
      <c r="K38" s="71"/>
      <c r="L38" s="71"/>
    </row>
    <row r="39" spans="1:19" ht="30" x14ac:dyDescent="0.25">
      <c r="B39" s="370"/>
      <c r="C39" s="279"/>
      <c r="D39" s="279"/>
      <c r="E39" s="279"/>
      <c r="F39" s="55" t="s">
        <v>88</v>
      </c>
      <c r="G39" s="371"/>
      <c r="H39" s="371"/>
      <c r="I39" s="382"/>
      <c r="J39" s="382"/>
      <c r="K39" s="71"/>
      <c r="L39" s="71"/>
    </row>
    <row r="40" spans="1:19" x14ac:dyDescent="0.25">
      <c r="B40" s="370"/>
      <c r="C40" s="279"/>
      <c r="D40" s="279"/>
      <c r="E40" s="279"/>
      <c r="F40" s="55"/>
      <c r="G40" s="371"/>
      <c r="H40" s="371"/>
      <c r="I40" s="382"/>
      <c r="J40" s="382"/>
      <c r="K40" s="71"/>
      <c r="L40" s="71"/>
    </row>
    <row r="41" spans="1:19" x14ac:dyDescent="0.25">
      <c r="B41" s="370"/>
      <c r="C41" s="279"/>
      <c r="D41" s="279"/>
      <c r="E41" s="279"/>
      <c r="F41" s="57" t="s">
        <v>89</v>
      </c>
      <c r="G41" s="371"/>
      <c r="H41" s="371"/>
      <c r="I41" s="382"/>
      <c r="J41" s="382"/>
      <c r="K41" s="71"/>
      <c r="L41" s="71"/>
    </row>
    <row r="42" spans="1:19" x14ac:dyDescent="0.25">
      <c r="B42" s="373" t="s">
        <v>179</v>
      </c>
      <c r="C42" s="279"/>
      <c r="D42" s="279">
        <v>2</v>
      </c>
      <c r="E42" s="374" t="s">
        <v>90</v>
      </c>
      <c r="F42" s="54" t="s">
        <v>83</v>
      </c>
      <c r="G42" s="371">
        <v>1</v>
      </c>
      <c r="H42" s="371">
        <v>8</v>
      </c>
      <c r="I42" s="375">
        <v>3381000</v>
      </c>
      <c r="J42" s="375">
        <f>I42*H42*G42</f>
        <v>27048000</v>
      </c>
      <c r="K42" s="71"/>
      <c r="L42" s="71"/>
    </row>
    <row r="43" spans="1:19" s="72" customFormat="1" ht="30" x14ac:dyDescent="0.25">
      <c r="A43" s="48"/>
      <c r="B43" s="373"/>
      <c r="C43" s="279"/>
      <c r="D43" s="279"/>
      <c r="E43" s="374"/>
      <c r="F43" s="55" t="s">
        <v>91</v>
      </c>
      <c r="G43" s="371"/>
      <c r="H43" s="371"/>
      <c r="I43" s="375"/>
      <c r="J43" s="375"/>
      <c r="O43" s="71"/>
      <c r="P43" s="71"/>
      <c r="Q43" s="71"/>
      <c r="R43" s="71"/>
      <c r="S43" s="71"/>
    </row>
    <row r="44" spans="1:19" s="72" customFormat="1" x14ac:dyDescent="0.25">
      <c r="A44" s="48"/>
      <c r="B44" s="373"/>
      <c r="C44" s="279"/>
      <c r="D44" s="279"/>
      <c r="E44" s="374"/>
      <c r="F44" s="56"/>
      <c r="G44" s="371"/>
      <c r="H44" s="371"/>
      <c r="I44" s="375"/>
      <c r="J44" s="375"/>
      <c r="O44" s="71"/>
      <c r="P44" s="71"/>
      <c r="Q44" s="71"/>
      <c r="R44" s="71"/>
      <c r="S44" s="71"/>
    </row>
    <row r="45" spans="1:19" s="72" customFormat="1" x14ac:dyDescent="0.25">
      <c r="A45" s="48"/>
      <c r="B45" s="373"/>
      <c r="C45" s="279"/>
      <c r="D45" s="279"/>
      <c r="E45" s="374"/>
      <c r="F45" s="56"/>
      <c r="G45" s="371"/>
      <c r="H45" s="371"/>
      <c r="I45" s="375"/>
      <c r="J45" s="375"/>
      <c r="O45" s="71"/>
      <c r="P45" s="71"/>
      <c r="Q45" s="71"/>
      <c r="R45" s="71"/>
      <c r="S45" s="71"/>
    </row>
    <row r="46" spans="1:19" s="72" customFormat="1" x14ac:dyDescent="0.25">
      <c r="A46" s="48"/>
      <c r="B46" s="373"/>
      <c r="C46" s="279"/>
      <c r="D46" s="279"/>
      <c r="E46" s="374"/>
      <c r="F46" s="54" t="s">
        <v>85</v>
      </c>
      <c r="G46" s="371"/>
      <c r="H46" s="371"/>
      <c r="I46" s="375"/>
      <c r="J46" s="375"/>
      <c r="O46" s="71"/>
      <c r="P46" s="71"/>
      <c r="Q46" s="71"/>
      <c r="R46" s="71"/>
      <c r="S46" s="71"/>
    </row>
    <row r="47" spans="1:19" s="72" customFormat="1" ht="30" x14ac:dyDescent="0.25">
      <c r="A47" s="48"/>
      <c r="B47" s="373"/>
      <c r="C47" s="279"/>
      <c r="D47" s="279"/>
      <c r="E47" s="374"/>
      <c r="F47" s="55" t="s">
        <v>92</v>
      </c>
      <c r="G47" s="371"/>
      <c r="H47" s="371"/>
      <c r="I47" s="375"/>
      <c r="J47" s="375"/>
      <c r="O47" s="71"/>
      <c r="P47" s="71"/>
      <c r="Q47" s="71"/>
      <c r="R47" s="71"/>
      <c r="S47" s="71"/>
    </row>
    <row r="48" spans="1:19" s="72" customFormat="1" x14ac:dyDescent="0.25">
      <c r="A48" s="48"/>
      <c r="B48" s="373"/>
      <c r="C48" s="279"/>
      <c r="D48" s="279"/>
      <c r="E48" s="374"/>
      <c r="F48" s="57"/>
      <c r="G48" s="371"/>
      <c r="H48" s="371"/>
      <c r="I48" s="375"/>
      <c r="J48" s="375"/>
      <c r="O48" s="71"/>
      <c r="P48" s="71"/>
      <c r="Q48" s="71"/>
      <c r="R48" s="71"/>
      <c r="S48" s="71"/>
    </row>
    <row r="49" spans="1:19" s="72" customFormat="1" x14ac:dyDescent="0.25">
      <c r="A49" s="48"/>
      <c r="B49" s="373"/>
      <c r="C49" s="279"/>
      <c r="D49" s="279"/>
      <c r="E49" s="374"/>
      <c r="F49" s="54" t="s">
        <v>87</v>
      </c>
      <c r="G49" s="371"/>
      <c r="H49" s="371"/>
      <c r="I49" s="375"/>
      <c r="J49" s="375"/>
      <c r="O49" s="71"/>
      <c r="P49" s="71"/>
      <c r="Q49" s="71"/>
      <c r="R49" s="71"/>
      <c r="S49" s="71"/>
    </row>
    <row r="50" spans="1:19" s="72" customFormat="1" x14ac:dyDescent="0.25">
      <c r="A50" s="48"/>
      <c r="B50" s="373"/>
      <c r="C50" s="279"/>
      <c r="D50" s="279"/>
      <c r="E50" s="374"/>
      <c r="F50" s="58" t="s">
        <v>93</v>
      </c>
      <c r="G50" s="371"/>
      <c r="H50" s="371"/>
      <c r="I50" s="375"/>
      <c r="J50" s="375"/>
      <c r="O50" s="71"/>
      <c r="P50" s="71"/>
      <c r="Q50" s="71"/>
      <c r="R50" s="71"/>
      <c r="S50" s="71"/>
    </row>
    <row r="51" spans="1:19" s="72" customFormat="1" x14ac:dyDescent="0.25">
      <c r="A51" s="48"/>
      <c r="B51" s="373"/>
      <c r="C51" s="279"/>
      <c r="D51" s="279"/>
      <c r="E51" s="374"/>
      <c r="F51" s="55"/>
      <c r="G51" s="371"/>
      <c r="H51" s="371"/>
      <c r="I51" s="375"/>
      <c r="J51" s="375"/>
      <c r="O51" s="71"/>
      <c r="P51" s="71"/>
      <c r="Q51" s="71"/>
      <c r="R51" s="71"/>
      <c r="S51" s="71"/>
    </row>
    <row r="52" spans="1:19" s="72" customFormat="1" x14ac:dyDescent="0.25">
      <c r="A52" s="48"/>
      <c r="B52" s="373"/>
      <c r="C52" s="279"/>
      <c r="D52" s="279"/>
      <c r="E52" s="374"/>
      <c r="F52" s="57" t="s">
        <v>89</v>
      </c>
      <c r="G52" s="371"/>
      <c r="H52" s="371"/>
      <c r="I52" s="375"/>
      <c r="J52" s="375"/>
      <c r="O52" s="71"/>
      <c r="P52" s="71"/>
      <c r="Q52" s="71"/>
      <c r="R52" s="71"/>
      <c r="S52" s="71"/>
    </row>
    <row r="53" spans="1:19" s="72" customFormat="1" x14ac:dyDescent="0.25">
      <c r="A53" s="48"/>
      <c r="B53" s="374" t="s">
        <v>180</v>
      </c>
      <c r="C53" s="279"/>
      <c r="D53" s="279">
        <v>3</v>
      </c>
      <c r="E53" s="374" t="s">
        <v>95</v>
      </c>
      <c r="F53" s="54" t="s">
        <v>83</v>
      </c>
      <c r="G53" s="371">
        <v>2</v>
      </c>
      <c r="H53" s="371">
        <v>2</v>
      </c>
      <c r="I53" s="375">
        <v>5000000</v>
      </c>
      <c r="J53" s="375">
        <f>I53*H53*G53</f>
        <v>20000000</v>
      </c>
      <c r="O53" s="71"/>
      <c r="P53" s="71"/>
      <c r="Q53" s="71"/>
      <c r="R53" s="71"/>
      <c r="S53" s="71"/>
    </row>
    <row r="54" spans="1:19" s="72" customFormat="1" x14ac:dyDescent="0.25">
      <c r="A54" s="48"/>
      <c r="B54" s="374"/>
      <c r="C54" s="279"/>
      <c r="D54" s="279"/>
      <c r="E54" s="374"/>
      <c r="F54" s="55" t="s">
        <v>181</v>
      </c>
      <c r="G54" s="371"/>
      <c r="H54" s="371"/>
      <c r="I54" s="375"/>
      <c r="J54" s="375"/>
      <c r="O54" s="71"/>
      <c r="P54" s="71"/>
      <c r="Q54" s="71"/>
      <c r="R54" s="71"/>
      <c r="S54" s="71"/>
    </row>
    <row r="55" spans="1:19" s="72" customFormat="1" x14ac:dyDescent="0.25">
      <c r="A55" s="48"/>
      <c r="B55" s="374"/>
      <c r="C55" s="279"/>
      <c r="D55" s="279"/>
      <c r="E55" s="374"/>
      <c r="F55" s="56"/>
      <c r="G55" s="371"/>
      <c r="H55" s="371"/>
      <c r="I55" s="375"/>
      <c r="J55" s="375"/>
      <c r="O55" s="71"/>
      <c r="P55" s="71"/>
      <c r="Q55" s="71"/>
      <c r="R55" s="71"/>
      <c r="S55" s="71"/>
    </row>
    <row r="56" spans="1:19" s="72" customFormat="1" x14ac:dyDescent="0.25">
      <c r="A56" s="48"/>
      <c r="B56" s="374"/>
      <c r="C56" s="279"/>
      <c r="D56" s="279"/>
      <c r="E56" s="374"/>
      <c r="F56" s="56"/>
      <c r="G56" s="371"/>
      <c r="H56" s="371"/>
      <c r="I56" s="375"/>
      <c r="J56" s="375"/>
      <c r="O56" s="71"/>
      <c r="P56" s="71"/>
      <c r="Q56" s="71"/>
      <c r="R56" s="71"/>
      <c r="S56" s="71"/>
    </row>
    <row r="57" spans="1:19" s="72" customFormat="1" x14ac:dyDescent="0.25">
      <c r="A57" s="48"/>
      <c r="B57" s="374"/>
      <c r="C57" s="279"/>
      <c r="D57" s="279"/>
      <c r="E57" s="374"/>
      <c r="F57" s="54" t="s">
        <v>85</v>
      </c>
      <c r="G57" s="371"/>
      <c r="H57" s="371"/>
      <c r="I57" s="375"/>
      <c r="J57" s="375"/>
      <c r="O57" s="71"/>
      <c r="P57" s="71"/>
      <c r="Q57" s="71"/>
      <c r="R57" s="71"/>
      <c r="S57" s="71"/>
    </row>
    <row r="58" spans="1:19" s="72" customFormat="1" ht="30" x14ac:dyDescent="0.25">
      <c r="A58" s="48"/>
      <c r="B58" s="374"/>
      <c r="C58" s="279"/>
      <c r="D58" s="279"/>
      <c r="E58" s="374"/>
      <c r="F58" s="55" t="s">
        <v>97</v>
      </c>
      <c r="G58" s="371"/>
      <c r="H58" s="371"/>
      <c r="I58" s="375"/>
      <c r="J58" s="375"/>
      <c r="O58" s="71"/>
      <c r="P58" s="71"/>
      <c r="Q58" s="71"/>
      <c r="R58" s="71"/>
      <c r="S58" s="71"/>
    </row>
    <row r="59" spans="1:19" s="72" customFormat="1" x14ac:dyDescent="0.25">
      <c r="A59" s="48"/>
      <c r="B59" s="374"/>
      <c r="C59" s="279"/>
      <c r="D59" s="279"/>
      <c r="E59" s="374"/>
      <c r="F59" s="57"/>
      <c r="G59" s="371"/>
      <c r="H59" s="371"/>
      <c r="I59" s="375"/>
      <c r="J59" s="375"/>
      <c r="O59" s="71"/>
      <c r="P59" s="71"/>
      <c r="Q59" s="71"/>
      <c r="R59" s="71"/>
      <c r="S59" s="71"/>
    </row>
    <row r="60" spans="1:19" s="72" customFormat="1" x14ac:dyDescent="0.25">
      <c r="A60" s="48"/>
      <c r="B60" s="374"/>
      <c r="C60" s="279"/>
      <c r="D60" s="279"/>
      <c r="E60" s="374"/>
      <c r="F60" s="57"/>
      <c r="G60" s="371"/>
      <c r="H60" s="371"/>
      <c r="I60" s="375"/>
      <c r="J60" s="375"/>
      <c r="O60" s="71"/>
      <c r="P60" s="71"/>
      <c r="Q60" s="71"/>
      <c r="R60" s="71"/>
      <c r="S60" s="71"/>
    </row>
    <row r="61" spans="1:19" s="72" customFormat="1" x14ac:dyDescent="0.25">
      <c r="A61" s="48"/>
      <c r="B61" s="374"/>
      <c r="C61" s="279"/>
      <c r="D61" s="279"/>
      <c r="E61" s="374"/>
      <c r="F61" s="54" t="s">
        <v>87</v>
      </c>
      <c r="G61" s="371"/>
      <c r="H61" s="371"/>
      <c r="I61" s="375"/>
      <c r="J61" s="375"/>
      <c r="O61" s="71"/>
      <c r="P61" s="71"/>
      <c r="Q61" s="71"/>
      <c r="R61" s="71"/>
      <c r="S61" s="71"/>
    </row>
    <row r="62" spans="1:19" s="72" customFormat="1" x14ac:dyDescent="0.25">
      <c r="A62" s="48"/>
      <c r="B62" s="374"/>
      <c r="C62" s="279"/>
      <c r="D62" s="279"/>
      <c r="E62" s="374"/>
      <c r="F62" s="59" t="s">
        <v>98</v>
      </c>
      <c r="G62" s="371"/>
      <c r="H62" s="371"/>
      <c r="I62" s="375"/>
      <c r="J62" s="375"/>
      <c r="O62" s="71"/>
      <c r="P62" s="71"/>
      <c r="Q62" s="71"/>
      <c r="R62" s="71"/>
      <c r="S62" s="71"/>
    </row>
    <row r="63" spans="1:19" s="72" customFormat="1" x14ac:dyDescent="0.25">
      <c r="A63" s="48"/>
      <c r="B63" s="374" t="s">
        <v>180</v>
      </c>
      <c r="C63" s="279"/>
      <c r="D63" s="279">
        <v>4</v>
      </c>
      <c r="E63" s="374" t="s">
        <v>99</v>
      </c>
      <c r="F63" s="54" t="s">
        <v>83</v>
      </c>
      <c r="G63" s="371">
        <v>2</v>
      </c>
      <c r="H63" s="371">
        <v>2</v>
      </c>
      <c r="I63" s="375">
        <v>5000000</v>
      </c>
      <c r="J63" s="375">
        <f>I63*H63*G63</f>
        <v>20000000</v>
      </c>
      <c r="O63" s="71"/>
      <c r="P63" s="71"/>
      <c r="Q63" s="71"/>
      <c r="R63" s="71"/>
      <c r="S63" s="71"/>
    </row>
    <row r="64" spans="1:19" s="72" customFormat="1" x14ac:dyDescent="0.25">
      <c r="A64" s="48"/>
      <c r="B64" s="374"/>
      <c r="C64" s="279"/>
      <c r="D64" s="279"/>
      <c r="E64" s="374"/>
      <c r="F64" s="55" t="s">
        <v>100</v>
      </c>
      <c r="G64" s="371"/>
      <c r="H64" s="371"/>
      <c r="I64" s="375"/>
      <c r="J64" s="375"/>
      <c r="O64" s="71"/>
      <c r="P64" s="71"/>
      <c r="Q64" s="71"/>
      <c r="R64" s="71"/>
      <c r="S64" s="71"/>
    </row>
    <row r="65" spans="1:19" s="72" customFormat="1" x14ac:dyDescent="0.25">
      <c r="A65" s="48"/>
      <c r="B65" s="374"/>
      <c r="C65" s="279"/>
      <c r="D65" s="279"/>
      <c r="E65" s="374"/>
      <c r="F65" s="56"/>
      <c r="G65" s="371"/>
      <c r="H65" s="371"/>
      <c r="I65" s="375"/>
      <c r="J65" s="375"/>
      <c r="O65" s="71"/>
      <c r="P65" s="71"/>
      <c r="Q65" s="71"/>
      <c r="R65" s="71"/>
      <c r="S65" s="71"/>
    </row>
    <row r="66" spans="1:19" s="72" customFormat="1" x14ac:dyDescent="0.25">
      <c r="A66" s="48"/>
      <c r="B66" s="374"/>
      <c r="C66" s="279"/>
      <c r="D66" s="279"/>
      <c r="E66" s="374"/>
      <c r="F66" s="54" t="s">
        <v>85</v>
      </c>
      <c r="G66" s="371"/>
      <c r="H66" s="371"/>
      <c r="I66" s="375"/>
      <c r="J66" s="375"/>
      <c r="O66" s="71"/>
      <c r="P66" s="71"/>
      <c r="Q66" s="71"/>
      <c r="R66" s="71"/>
      <c r="S66" s="71"/>
    </row>
    <row r="67" spans="1:19" s="72" customFormat="1" ht="30" x14ac:dyDescent="0.25">
      <c r="A67" s="48"/>
      <c r="B67" s="374"/>
      <c r="C67" s="279"/>
      <c r="D67" s="279"/>
      <c r="E67" s="374"/>
      <c r="F67" s="55" t="s">
        <v>97</v>
      </c>
      <c r="G67" s="371"/>
      <c r="H67" s="371"/>
      <c r="I67" s="375"/>
      <c r="J67" s="375"/>
      <c r="O67" s="71"/>
      <c r="P67" s="71"/>
      <c r="Q67" s="71"/>
      <c r="R67" s="71"/>
      <c r="S67" s="71"/>
    </row>
    <row r="68" spans="1:19" s="72" customFormat="1" x14ac:dyDescent="0.25">
      <c r="A68" s="48"/>
      <c r="B68" s="374"/>
      <c r="C68" s="279"/>
      <c r="D68" s="279"/>
      <c r="E68" s="374"/>
      <c r="F68" s="57"/>
      <c r="G68" s="371"/>
      <c r="H68" s="371"/>
      <c r="I68" s="375"/>
      <c r="J68" s="375"/>
      <c r="O68" s="71"/>
      <c r="P68" s="71"/>
      <c r="Q68" s="71"/>
      <c r="R68" s="71"/>
      <c r="S68" s="71"/>
    </row>
    <row r="69" spans="1:19" s="72" customFormat="1" x14ac:dyDescent="0.25">
      <c r="A69" s="48"/>
      <c r="B69" s="374"/>
      <c r="C69" s="279"/>
      <c r="D69" s="279"/>
      <c r="E69" s="374"/>
      <c r="F69" s="54" t="s">
        <v>87</v>
      </c>
      <c r="G69" s="371"/>
      <c r="H69" s="371"/>
      <c r="I69" s="375"/>
      <c r="J69" s="375"/>
      <c r="O69" s="71"/>
      <c r="P69" s="71"/>
      <c r="Q69" s="71"/>
      <c r="R69" s="71"/>
      <c r="S69" s="71"/>
    </row>
    <row r="70" spans="1:19" s="72" customFormat="1" x14ac:dyDescent="0.25">
      <c r="A70" s="48"/>
      <c r="B70" s="374"/>
      <c r="C70" s="279"/>
      <c r="D70" s="279"/>
      <c r="E70" s="374"/>
      <c r="F70" s="60" t="s">
        <v>182</v>
      </c>
      <c r="G70" s="371"/>
      <c r="H70" s="371"/>
      <c r="I70" s="375"/>
      <c r="J70" s="375"/>
      <c r="O70" s="71"/>
      <c r="P70" s="71"/>
      <c r="Q70" s="71"/>
      <c r="R70" s="71"/>
      <c r="S70" s="71"/>
    </row>
    <row r="71" spans="1:19" s="72" customFormat="1" x14ac:dyDescent="0.25">
      <c r="A71" s="48"/>
      <c r="B71" s="376" t="s">
        <v>183</v>
      </c>
      <c r="C71" s="279"/>
      <c r="D71" s="279">
        <v>5</v>
      </c>
      <c r="E71" s="374" t="s">
        <v>95</v>
      </c>
      <c r="F71" s="54" t="s">
        <v>83</v>
      </c>
      <c r="G71" s="371">
        <v>4</v>
      </c>
      <c r="H71" s="371">
        <v>3</v>
      </c>
      <c r="I71" s="375">
        <v>5000000</v>
      </c>
      <c r="J71" s="375">
        <f>I71*H71*G71</f>
        <v>60000000</v>
      </c>
      <c r="O71" s="71"/>
      <c r="P71" s="71"/>
      <c r="Q71" s="71"/>
      <c r="R71" s="71"/>
      <c r="S71" s="71"/>
    </row>
    <row r="72" spans="1:19" s="72" customFormat="1" x14ac:dyDescent="0.25">
      <c r="A72" s="48"/>
      <c r="B72" s="377"/>
      <c r="C72" s="279"/>
      <c r="D72" s="279"/>
      <c r="E72" s="374"/>
      <c r="F72" s="55" t="s">
        <v>181</v>
      </c>
      <c r="G72" s="371"/>
      <c r="H72" s="371"/>
      <c r="I72" s="375"/>
      <c r="J72" s="375"/>
      <c r="O72" s="71"/>
      <c r="P72" s="71"/>
      <c r="Q72" s="71"/>
      <c r="R72" s="71"/>
      <c r="S72" s="71"/>
    </row>
    <row r="73" spans="1:19" s="72" customFormat="1" x14ac:dyDescent="0.25">
      <c r="A73" s="48"/>
      <c r="B73" s="377"/>
      <c r="C73" s="279"/>
      <c r="D73" s="279"/>
      <c r="E73" s="374"/>
      <c r="F73" s="56"/>
      <c r="G73" s="371"/>
      <c r="H73" s="371"/>
      <c r="I73" s="375"/>
      <c r="J73" s="375"/>
      <c r="O73" s="71"/>
      <c r="P73" s="71"/>
      <c r="Q73" s="71"/>
      <c r="R73" s="71"/>
      <c r="S73" s="71"/>
    </row>
    <row r="74" spans="1:19" s="72" customFormat="1" x14ac:dyDescent="0.25">
      <c r="A74" s="48"/>
      <c r="B74" s="377"/>
      <c r="C74" s="279"/>
      <c r="D74" s="279"/>
      <c r="E74" s="374"/>
      <c r="F74" s="56"/>
      <c r="G74" s="371"/>
      <c r="H74" s="371"/>
      <c r="I74" s="375"/>
      <c r="J74" s="375"/>
      <c r="O74" s="71"/>
      <c r="P74" s="71"/>
      <c r="Q74" s="71"/>
      <c r="R74" s="71"/>
      <c r="S74" s="71"/>
    </row>
    <row r="75" spans="1:19" s="72" customFormat="1" x14ac:dyDescent="0.25">
      <c r="A75" s="48"/>
      <c r="B75" s="377"/>
      <c r="C75" s="279"/>
      <c r="D75" s="279"/>
      <c r="E75" s="374"/>
      <c r="F75" s="54" t="s">
        <v>85</v>
      </c>
      <c r="G75" s="371"/>
      <c r="H75" s="371"/>
      <c r="I75" s="375"/>
      <c r="J75" s="375"/>
      <c r="O75" s="71"/>
      <c r="P75" s="71"/>
      <c r="Q75" s="71"/>
      <c r="R75" s="71"/>
      <c r="S75" s="71"/>
    </row>
    <row r="76" spans="1:19" s="72" customFormat="1" ht="30" x14ac:dyDescent="0.25">
      <c r="A76" s="48"/>
      <c r="B76" s="377"/>
      <c r="C76" s="279"/>
      <c r="D76" s="279"/>
      <c r="E76" s="374"/>
      <c r="F76" s="55" t="s">
        <v>97</v>
      </c>
      <c r="G76" s="371"/>
      <c r="H76" s="371"/>
      <c r="I76" s="375"/>
      <c r="J76" s="375"/>
      <c r="O76" s="71"/>
      <c r="P76" s="71"/>
      <c r="Q76" s="71"/>
      <c r="R76" s="71"/>
      <c r="S76" s="71"/>
    </row>
    <row r="77" spans="1:19" s="72" customFormat="1" x14ac:dyDescent="0.25">
      <c r="A77" s="48"/>
      <c r="B77" s="377"/>
      <c r="C77" s="279"/>
      <c r="D77" s="279"/>
      <c r="E77" s="374"/>
      <c r="F77" s="57"/>
      <c r="G77" s="371"/>
      <c r="H77" s="371"/>
      <c r="I77" s="375"/>
      <c r="J77" s="375"/>
      <c r="O77" s="71"/>
      <c r="P77" s="71"/>
      <c r="Q77" s="71"/>
      <c r="R77" s="71"/>
      <c r="S77" s="71"/>
    </row>
    <row r="78" spans="1:19" s="72" customFormat="1" x14ac:dyDescent="0.25">
      <c r="A78" s="48"/>
      <c r="B78" s="377"/>
      <c r="C78" s="279"/>
      <c r="D78" s="279"/>
      <c r="E78" s="374"/>
      <c r="F78" s="57"/>
      <c r="G78" s="371"/>
      <c r="H78" s="371"/>
      <c r="I78" s="375"/>
      <c r="J78" s="375"/>
      <c r="O78" s="71"/>
      <c r="P78" s="71"/>
      <c r="Q78" s="71"/>
      <c r="R78" s="71"/>
      <c r="S78" s="71"/>
    </row>
    <row r="79" spans="1:19" s="72" customFormat="1" x14ac:dyDescent="0.25">
      <c r="A79" s="48"/>
      <c r="B79" s="377"/>
      <c r="C79" s="279"/>
      <c r="D79" s="279"/>
      <c r="E79" s="374"/>
      <c r="F79" s="54" t="s">
        <v>87</v>
      </c>
      <c r="G79" s="371"/>
      <c r="H79" s="371"/>
      <c r="I79" s="375"/>
      <c r="J79" s="375"/>
      <c r="O79" s="71"/>
      <c r="P79" s="71"/>
      <c r="Q79" s="71"/>
      <c r="R79" s="71"/>
      <c r="S79" s="71"/>
    </row>
    <row r="80" spans="1:19" s="72" customFormat="1" x14ac:dyDescent="0.25">
      <c r="A80" s="48"/>
      <c r="B80" s="378"/>
      <c r="C80" s="279"/>
      <c r="D80" s="279"/>
      <c r="E80" s="374"/>
      <c r="F80" s="59" t="s">
        <v>98</v>
      </c>
      <c r="G80" s="371"/>
      <c r="H80" s="371"/>
      <c r="I80" s="375"/>
      <c r="J80" s="375"/>
      <c r="O80" s="71"/>
      <c r="P80" s="71"/>
      <c r="Q80" s="71"/>
      <c r="R80" s="71"/>
      <c r="S80" s="71"/>
    </row>
    <row r="81" spans="1:19" s="72" customFormat="1" x14ac:dyDescent="0.25">
      <c r="A81" s="48"/>
      <c r="B81" s="376" t="s">
        <v>183</v>
      </c>
      <c r="C81" s="279"/>
      <c r="D81" s="279">
        <v>6</v>
      </c>
      <c r="E81" s="374" t="s">
        <v>99</v>
      </c>
      <c r="F81" s="54" t="s">
        <v>83</v>
      </c>
      <c r="G81" s="371">
        <v>4</v>
      </c>
      <c r="H81" s="371">
        <v>3</v>
      </c>
      <c r="I81" s="375">
        <v>5000000</v>
      </c>
      <c r="J81" s="375">
        <f>I81*H81*G81</f>
        <v>60000000</v>
      </c>
      <c r="O81" s="71"/>
      <c r="P81" s="71"/>
      <c r="Q81" s="71"/>
      <c r="R81" s="71"/>
      <c r="S81" s="71"/>
    </row>
    <row r="82" spans="1:19" s="72" customFormat="1" x14ac:dyDescent="0.25">
      <c r="A82" s="48"/>
      <c r="B82" s="377"/>
      <c r="C82" s="279"/>
      <c r="D82" s="279"/>
      <c r="E82" s="374"/>
      <c r="F82" s="55" t="s">
        <v>100</v>
      </c>
      <c r="G82" s="371"/>
      <c r="H82" s="371"/>
      <c r="I82" s="375"/>
      <c r="J82" s="375"/>
      <c r="O82" s="71"/>
      <c r="P82" s="71"/>
      <c r="Q82" s="71"/>
      <c r="R82" s="71"/>
      <c r="S82" s="71"/>
    </row>
    <row r="83" spans="1:19" s="72" customFormat="1" x14ac:dyDescent="0.25">
      <c r="A83" s="48"/>
      <c r="B83" s="377"/>
      <c r="C83" s="279"/>
      <c r="D83" s="279"/>
      <c r="E83" s="374"/>
      <c r="F83" s="56"/>
      <c r="G83" s="371"/>
      <c r="H83" s="371"/>
      <c r="I83" s="375"/>
      <c r="J83" s="375"/>
      <c r="O83" s="71"/>
      <c r="P83" s="71"/>
      <c r="Q83" s="71"/>
      <c r="R83" s="71"/>
      <c r="S83" s="71"/>
    </row>
    <row r="84" spans="1:19" s="72" customFormat="1" x14ac:dyDescent="0.25">
      <c r="A84" s="48"/>
      <c r="B84" s="377"/>
      <c r="C84" s="279"/>
      <c r="D84" s="279"/>
      <c r="E84" s="374"/>
      <c r="F84" s="54" t="s">
        <v>85</v>
      </c>
      <c r="G84" s="371"/>
      <c r="H84" s="371"/>
      <c r="I84" s="375"/>
      <c r="J84" s="375"/>
      <c r="O84" s="71"/>
      <c r="P84" s="71"/>
      <c r="Q84" s="71"/>
      <c r="R84" s="71"/>
      <c r="S84" s="71"/>
    </row>
    <row r="85" spans="1:19" s="72" customFormat="1" ht="30" x14ac:dyDescent="0.25">
      <c r="A85" s="48"/>
      <c r="B85" s="377"/>
      <c r="C85" s="279"/>
      <c r="D85" s="279"/>
      <c r="E85" s="374"/>
      <c r="F85" s="55" t="s">
        <v>97</v>
      </c>
      <c r="G85" s="371"/>
      <c r="H85" s="371"/>
      <c r="I85" s="375"/>
      <c r="J85" s="375"/>
      <c r="O85" s="71"/>
      <c r="P85" s="71"/>
      <c r="Q85" s="71"/>
      <c r="R85" s="71"/>
      <c r="S85" s="71"/>
    </row>
    <row r="86" spans="1:19" s="72" customFormat="1" x14ac:dyDescent="0.25">
      <c r="A86" s="48"/>
      <c r="B86" s="377"/>
      <c r="C86" s="279"/>
      <c r="D86" s="279"/>
      <c r="E86" s="374"/>
      <c r="F86" s="57"/>
      <c r="G86" s="371"/>
      <c r="H86" s="371"/>
      <c r="I86" s="375"/>
      <c r="J86" s="375"/>
      <c r="O86" s="71"/>
      <c r="P86" s="71"/>
      <c r="Q86" s="71"/>
      <c r="R86" s="71"/>
      <c r="S86" s="71"/>
    </row>
    <row r="87" spans="1:19" s="72" customFormat="1" x14ac:dyDescent="0.25">
      <c r="A87" s="48"/>
      <c r="B87" s="377"/>
      <c r="C87" s="279"/>
      <c r="D87" s="279"/>
      <c r="E87" s="374"/>
      <c r="F87" s="54" t="s">
        <v>87</v>
      </c>
      <c r="G87" s="371"/>
      <c r="H87" s="371"/>
      <c r="I87" s="375"/>
      <c r="J87" s="375"/>
      <c r="O87" s="71"/>
      <c r="P87" s="71"/>
      <c r="Q87" s="71"/>
      <c r="R87" s="71"/>
      <c r="S87" s="71"/>
    </row>
    <row r="88" spans="1:19" s="72" customFormat="1" x14ac:dyDescent="0.25">
      <c r="A88" s="48"/>
      <c r="B88" s="378"/>
      <c r="C88" s="279"/>
      <c r="D88" s="279"/>
      <c r="E88" s="374"/>
      <c r="F88" s="60" t="s">
        <v>182</v>
      </c>
      <c r="G88" s="371"/>
      <c r="H88" s="371"/>
      <c r="I88" s="375"/>
      <c r="J88" s="375"/>
      <c r="O88" s="71"/>
      <c r="P88" s="71"/>
      <c r="Q88" s="71"/>
      <c r="R88" s="71"/>
      <c r="S88" s="71"/>
    </row>
    <row r="89" spans="1:19" s="72" customFormat="1" x14ac:dyDescent="0.25">
      <c r="A89" s="48"/>
      <c r="B89" s="376" t="s">
        <v>184</v>
      </c>
      <c r="C89" s="279"/>
      <c r="D89" s="279">
        <v>7</v>
      </c>
      <c r="E89" s="374" t="s">
        <v>95</v>
      </c>
      <c r="F89" s="54" t="s">
        <v>83</v>
      </c>
      <c r="G89" s="371">
        <v>4</v>
      </c>
      <c r="H89" s="371">
        <v>3</v>
      </c>
      <c r="I89" s="375">
        <v>5000000</v>
      </c>
      <c r="J89" s="375">
        <f>I89*H89*G89</f>
        <v>60000000</v>
      </c>
      <c r="O89" s="71"/>
      <c r="P89" s="71"/>
      <c r="Q89" s="71"/>
      <c r="R89" s="71"/>
      <c r="S89" s="71"/>
    </row>
    <row r="90" spans="1:19" s="72" customFormat="1" x14ac:dyDescent="0.25">
      <c r="A90" s="48"/>
      <c r="B90" s="377"/>
      <c r="C90" s="279"/>
      <c r="D90" s="279"/>
      <c r="E90" s="374"/>
      <c r="F90" s="55" t="s">
        <v>181</v>
      </c>
      <c r="G90" s="371"/>
      <c r="H90" s="371"/>
      <c r="I90" s="375"/>
      <c r="J90" s="375"/>
      <c r="O90" s="71"/>
      <c r="P90" s="71"/>
      <c r="Q90" s="71"/>
      <c r="R90" s="71"/>
      <c r="S90" s="71"/>
    </row>
    <row r="91" spans="1:19" s="72" customFormat="1" x14ac:dyDescent="0.25">
      <c r="A91" s="48"/>
      <c r="B91" s="377"/>
      <c r="C91" s="279"/>
      <c r="D91" s="279"/>
      <c r="E91" s="374"/>
      <c r="F91" s="56"/>
      <c r="G91" s="371"/>
      <c r="H91" s="371"/>
      <c r="I91" s="375"/>
      <c r="J91" s="375"/>
      <c r="O91" s="71"/>
      <c r="P91" s="71"/>
      <c r="Q91" s="71"/>
      <c r="R91" s="71"/>
      <c r="S91" s="71"/>
    </row>
    <row r="92" spans="1:19" s="72" customFormat="1" x14ac:dyDescent="0.25">
      <c r="A92" s="48"/>
      <c r="B92" s="377"/>
      <c r="C92" s="279"/>
      <c r="D92" s="279"/>
      <c r="E92" s="374"/>
      <c r="F92" s="56"/>
      <c r="G92" s="371"/>
      <c r="H92" s="371"/>
      <c r="I92" s="375"/>
      <c r="J92" s="375"/>
      <c r="O92" s="71"/>
      <c r="P92" s="71"/>
      <c r="Q92" s="71"/>
      <c r="R92" s="71"/>
      <c r="S92" s="71"/>
    </row>
    <row r="93" spans="1:19" s="72" customFormat="1" x14ac:dyDescent="0.25">
      <c r="A93" s="48"/>
      <c r="B93" s="377"/>
      <c r="C93" s="279"/>
      <c r="D93" s="279"/>
      <c r="E93" s="374"/>
      <c r="F93" s="54" t="s">
        <v>85</v>
      </c>
      <c r="G93" s="371"/>
      <c r="H93" s="371"/>
      <c r="I93" s="375"/>
      <c r="J93" s="375"/>
      <c r="O93" s="71"/>
      <c r="P93" s="71"/>
      <c r="Q93" s="71"/>
      <c r="R93" s="71"/>
      <c r="S93" s="71"/>
    </row>
    <row r="94" spans="1:19" s="72" customFormat="1" ht="30" x14ac:dyDescent="0.25">
      <c r="A94" s="48"/>
      <c r="B94" s="377"/>
      <c r="C94" s="279"/>
      <c r="D94" s="279"/>
      <c r="E94" s="374"/>
      <c r="F94" s="55" t="s">
        <v>97</v>
      </c>
      <c r="G94" s="371"/>
      <c r="H94" s="371"/>
      <c r="I94" s="375"/>
      <c r="J94" s="375"/>
      <c r="O94" s="71"/>
      <c r="P94" s="71"/>
      <c r="Q94" s="71"/>
      <c r="R94" s="71"/>
      <c r="S94" s="71"/>
    </row>
    <row r="95" spans="1:19" s="72" customFormat="1" x14ac:dyDescent="0.25">
      <c r="A95" s="48"/>
      <c r="B95" s="377"/>
      <c r="C95" s="279"/>
      <c r="D95" s="279"/>
      <c r="E95" s="374"/>
      <c r="F95" s="57"/>
      <c r="G95" s="371"/>
      <c r="H95" s="371"/>
      <c r="I95" s="375"/>
      <c r="J95" s="375"/>
      <c r="O95" s="71"/>
      <c r="P95" s="71"/>
      <c r="Q95" s="71"/>
      <c r="R95" s="71"/>
      <c r="S95" s="71"/>
    </row>
    <row r="96" spans="1:19" s="72" customFormat="1" x14ac:dyDescent="0.25">
      <c r="A96" s="48"/>
      <c r="B96" s="377"/>
      <c r="C96" s="279"/>
      <c r="D96" s="279"/>
      <c r="E96" s="374"/>
      <c r="F96" s="57"/>
      <c r="G96" s="371"/>
      <c r="H96" s="371"/>
      <c r="I96" s="375"/>
      <c r="J96" s="375"/>
      <c r="O96" s="71"/>
      <c r="P96" s="71"/>
      <c r="Q96" s="71"/>
      <c r="R96" s="71"/>
      <c r="S96" s="71"/>
    </row>
    <row r="97" spans="1:19" s="72" customFormat="1" x14ac:dyDescent="0.25">
      <c r="A97" s="48"/>
      <c r="B97" s="377"/>
      <c r="C97" s="279"/>
      <c r="D97" s="279"/>
      <c r="E97" s="374"/>
      <c r="F97" s="54" t="s">
        <v>87</v>
      </c>
      <c r="G97" s="371"/>
      <c r="H97" s="371"/>
      <c r="I97" s="375"/>
      <c r="J97" s="375"/>
      <c r="O97" s="71"/>
      <c r="P97" s="71"/>
      <c r="Q97" s="71"/>
      <c r="R97" s="71"/>
      <c r="S97" s="71"/>
    </row>
    <row r="98" spans="1:19" s="72" customFormat="1" x14ac:dyDescent="0.25">
      <c r="A98" s="48"/>
      <c r="B98" s="378"/>
      <c r="C98" s="279"/>
      <c r="D98" s="279"/>
      <c r="E98" s="374"/>
      <c r="F98" s="59" t="s">
        <v>98</v>
      </c>
      <c r="G98" s="371"/>
      <c r="H98" s="371"/>
      <c r="I98" s="375"/>
      <c r="J98" s="375"/>
      <c r="O98" s="71"/>
      <c r="P98" s="71"/>
      <c r="Q98" s="71"/>
      <c r="R98" s="71"/>
      <c r="S98" s="71"/>
    </row>
    <row r="99" spans="1:19" s="72" customFormat="1" x14ac:dyDescent="0.25">
      <c r="A99" s="48"/>
      <c r="B99" s="376" t="s">
        <v>184</v>
      </c>
      <c r="C99" s="279"/>
      <c r="D99" s="279">
        <v>8</v>
      </c>
      <c r="E99" s="374" t="s">
        <v>99</v>
      </c>
      <c r="F99" s="54" t="s">
        <v>83</v>
      </c>
      <c r="G99" s="371">
        <v>4</v>
      </c>
      <c r="H99" s="371">
        <v>3</v>
      </c>
      <c r="I99" s="375">
        <v>5000000</v>
      </c>
      <c r="J99" s="375">
        <f>I99*H99*G99</f>
        <v>60000000</v>
      </c>
      <c r="O99" s="71"/>
      <c r="P99" s="71"/>
      <c r="Q99" s="71"/>
      <c r="R99" s="71"/>
      <c r="S99" s="71"/>
    </row>
    <row r="100" spans="1:19" s="72" customFormat="1" x14ac:dyDescent="0.25">
      <c r="A100" s="48"/>
      <c r="B100" s="377"/>
      <c r="C100" s="279"/>
      <c r="D100" s="279"/>
      <c r="E100" s="374"/>
      <c r="F100" s="55" t="s">
        <v>100</v>
      </c>
      <c r="G100" s="371"/>
      <c r="H100" s="371"/>
      <c r="I100" s="375"/>
      <c r="J100" s="375"/>
      <c r="O100" s="71"/>
      <c r="P100" s="71"/>
      <c r="Q100" s="71"/>
      <c r="R100" s="71"/>
      <c r="S100" s="71"/>
    </row>
    <row r="101" spans="1:19" s="72" customFormat="1" x14ac:dyDescent="0.25">
      <c r="A101" s="48"/>
      <c r="B101" s="377"/>
      <c r="C101" s="279"/>
      <c r="D101" s="279"/>
      <c r="E101" s="374"/>
      <c r="F101" s="56"/>
      <c r="G101" s="371"/>
      <c r="H101" s="371"/>
      <c r="I101" s="375"/>
      <c r="J101" s="375"/>
      <c r="O101" s="71"/>
      <c r="P101" s="71"/>
      <c r="Q101" s="71"/>
      <c r="R101" s="71"/>
      <c r="S101" s="71"/>
    </row>
    <row r="102" spans="1:19" s="72" customFormat="1" x14ac:dyDescent="0.25">
      <c r="A102" s="48"/>
      <c r="B102" s="377"/>
      <c r="C102" s="279"/>
      <c r="D102" s="279"/>
      <c r="E102" s="374"/>
      <c r="F102" s="54" t="s">
        <v>85</v>
      </c>
      <c r="G102" s="371"/>
      <c r="H102" s="371"/>
      <c r="I102" s="375"/>
      <c r="J102" s="375"/>
      <c r="O102" s="71"/>
      <c r="P102" s="71"/>
      <c r="Q102" s="71"/>
      <c r="R102" s="71"/>
      <c r="S102" s="71"/>
    </row>
    <row r="103" spans="1:19" s="72" customFormat="1" ht="30" x14ac:dyDescent="0.25">
      <c r="A103" s="48"/>
      <c r="B103" s="377"/>
      <c r="C103" s="279"/>
      <c r="D103" s="279"/>
      <c r="E103" s="374"/>
      <c r="F103" s="55" t="s">
        <v>97</v>
      </c>
      <c r="G103" s="371"/>
      <c r="H103" s="371"/>
      <c r="I103" s="375"/>
      <c r="J103" s="375"/>
      <c r="O103" s="71"/>
      <c r="P103" s="71"/>
      <c r="Q103" s="71"/>
      <c r="R103" s="71"/>
      <c r="S103" s="71"/>
    </row>
    <row r="104" spans="1:19" s="72" customFormat="1" x14ac:dyDescent="0.25">
      <c r="A104" s="48"/>
      <c r="B104" s="377"/>
      <c r="C104" s="279"/>
      <c r="D104" s="279"/>
      <c r="E104" s="374"/>
      <c r="F104" s="57"/>
      <c r="G104" s="371"/>
      <c r="H104" s="371"/>
      <c r="I104" s="375"/>
      <c r="J104" s="375"/>
      <c r="O104" s="71"/>
      <c r="P104" s="71"/>
      <c r="Q104" s="71"/>
      <c r="R104" s="71"/>
      <c r="S104" s="71"/>
    </row>
    <row r="105" spans="1:19" s="72" customFormat="1" x14ac:dyDescent="0.25">
      <c r="A105" s="48"/>
      <c r="B105" s="377"/>
      <c r="C105" s="279"/>
      <c r="D105" s="279"/>
      <c r="E105" s="374"/>
      <c r="F105" s="54" t="s">
        <v>87</v>
      </c>
      <c r="G105" s="371"/>
      <c r="H105" s="371"/>
      <c r="I105" s="375"/>
      <c r="J105" s="375"/>
      <c r="O105" s="71"/>
      <c r="P105" s="71"/>
      <c r="Q105" s="71"/>
      <c r="R105" s="71"/>
      <c r="S105" s="71"/>
    </row>
    <row r="106" spans="1:19" s="72" customFormat="1" x14ac:dyDescent="0.25">
      <c r="A106" s="48"/>
      <c r="B106" s="378"/>
      <c r="C106" s="279"/>
      <c r="D106" s="279"/>
      <c r="E106" s="374"/>
      <c r="F106" s="60" t="s">
        <v>182</v>
      </c>
      <c r="G106" s="371"/>
      <c r="H106" s="371"/>
      <c r="I106" s="375"/>
      <c r="J106" s="375"/>
      <c r="O106" s="71"/>
      <c r="P106" s="71"/>
      <c r="Q106" s="71"/>
      <c r="R106" s="71"/>
      <c r="S106" s="71"/>
    </row>
    <row r="107" spans="1:19" s="72" customFormat="1" x14ac:dyDescent="0.25">
      <c r="A107" s="48"/>
      <c r="B107" s="376" t="s">
        <v>185</v>
      </c>
      <c r="C107" s="279"/>
      <c r="D107" s="279">
        <v>9</v>
      </c>
      <c r="E107" s="374" t="s">
        <v>105</v>
      </c>
      <c r="F107" s="54" t="s">
        <v>83</v>
      </c>
      <c r="G107" s="371">
        <v>2</v>
      </c>
      <c r="H107" s="371">
        <v>2</v>
      </c>
      <c r="I107" s="375">
        <v>5000000</v>
      </c>
      <c r="J107" s="375">
        <f>I107*H107*G107</f>
        <v>20000000</v>
      </c>
      <c r="O107" s="71"/>
      <c r="P107" s="71"/>
      <c r="Q107" s="71"/>
      <c r="R107" s="71"/>
      <c r="S107" s="71"/>
    </row>
    <row r="108" spans="1:19" s="72" customFormat="1" ht="30" x14ac:dyDescent="0.25">
      <c r="A108" s="48"/>
      <c r="B108" s="377"/>
      <c r="C108" s="279"/>
      <c r="D108" s="279"/>
      <c r="E108" s="374"/>
      <c r="F108" s="55" t="s">
        <v>106</v>
      </c>
      <c r="G108" s="371"/>
      <c r="H108" s="371"/>
      <c r="I108" s="375"/>
      <c r="J108" s="375"/>
      <c r="O108" s="71"/>
      <c r="P108" s="71"/>
      <c r="Q108" s="71"/>
      <c r="R108" s="71"/>
      <c r="S108" s="71"/>
    </row>
    <row r="109" spans="1:19" s="72" customFormat="1" x14ac:dyDescent="0.25">
      <c r="A109" s="48"/>
      <c r="B109" s="377"/>
      <c r="C109" s="279"/>
      <c r="D109" s="279"/>
      <c r="E109" s="374"/>
      <c r="F109" s="54" t="s">
        <v>85</v>
      </c>
      <c r="G109" s="371"/>
      <c r="H109" s="371"/>
      <c r="I109" s="375"/>
      <c r="J109" s="375"/>
      <c r="O109" s="71"/>
      <c r="P109" s="71"/>
      <c r="Q109" s="71"/>
      <c r="R109" s="71"/>
      <c r="S109" s="71"/>
    </row>
    <row r="110" spans="1:19" s="72" customFormat="1" ht="30" x14ac:dyDescent="0.25">
      <c r="A110" s="48"/>
      <c r="B110" s="377"/>
      <c r="C110" s="279"/>
      <c r="D110" s="279"/>
      <c r="E110" s="374"/>
      <c r="F110" s="55" t="s">
        <v>97</v>
      </c>
      <c r="G110" s="371"/>
      <c r="H110" s="371"/>
      <c r="I110" s="375"/>
      <c r="J110" s="375"/>
      <c r="O110" s="71"/>
      <c r="P110" s="71"/>
      <c r="Q110" s="71"/>
      <c r="R110" s="71"/>
      <c r="S110" s="71"/>
    </row>
    <row r="111" spans="1:19" s="72" customFormat="1" x14ac:dyDescent="0.25">
      <c r="A111" s="48"/>
      <c r="B111" s="377"/>
      <c r="C111" s="279"/>
      <c r="D111" s="279"/>
      <c r="E111" s="374"/>
      <c r="F111" s="57"/>
      <c r="G111" s="371"/>
      <c r="H111" s="371"/>
      <c r="I111" s="375"/>
      <c r="J111" s="375"/>
      <c r="O111" s="71"/>
      <c r="P111" s="71"/>
      <c r="Q111" s="71"/>
      <c r="R111" s="71"/>
      <c r="S111" s="71"/>
    </row>
    <row r="112" spans="1:19" s="72" customFormat="1" x14ac:dyDescent="0.25">
      <c r="A112" s="48"/>
      <c r="B112" s="377"/>
      <c r="C112" s="279"/>
      <c r="D112" s="279"/>
      <c r="E112" s="374"/>
      <c r="F112" s="54" t="s">
        <v>87</v>
      </c>
      <c r="G112" s="371"/>
      <c r="H112" s="371"/>
      <c r="I112" s="375"/>
      <c r="J112" s="375"/>
      <c r="O112" s="71"/>
      <c r="P112" s="71"/>
      <c r="Q112" s="71"/>
      <c r="R112" s="71"/>
      <c r="S112" s="71"/>
    </row>
    <row r="113" spans="1:19" s="72" customFormat="1" ht="25.5" x14ac:dyDescent="0.25">
      <c r="A113" s="48"/>
      <c r="B113" s="378"/>
      <c r="C113" s="279"/>
      <c r="D113" s="279"/>
      <c r="E113" s="374"/>
      <c r="F113" s="59" t="s">
        <v>107</v>
      </c>
      <c r="G113" s="371"/>
      <c r="H113" s="371"/>
      <c r="I113" s="375"/>
      <c r="J113" s="375"/>
      <c r="O113" s="71"/>
      <c r="P113" s="71"/>
      <c r="Q113" s="71"/>
      <c r="R113" s="71"/>
      <c r="S113" s="71"/>
    </row>
    <row r="114" spans="1:19" s="72" customFormat="1" x14ac:dyDescent="0.25">
      <c r="A114" s="48"/>
      <c r="B114" s="376" t="s">
        <v>108</v>
      </c>
      <c r="C114" s="279"/>
      <c r="D114" s="279">
        <v>10</v>
      </c>
      <c r="E114" s="374" t="s">
        <v>109</v>
      </c>
      <c r="F114" s="54" t="s">
        <v>83</v>
      </c>
      <c r="G114" s="371">
        <v>4</v>
      </c>
      <c r="H114" s="371">
        <v>6</v>
      </c>
      <c r="I114" s="375">
        <v>5000000</v>
      </c>
      <c r="J114" s="375">
        <f>I114*H114*G114</f>
        <v>120000000</v>
      </c>
      <c r="O114" s="71"/>
      <c r="P114" s="71"/>
      <c r="Q114" s="71"/>
      <c r="R114" s="71"/>
      <c r="S114" s="71"/>
    </row>
    <row r="115" spans="1:19" s="72" customFormat="1" x14ac:dyDescent="0.25">
      <c r="A115" s="48"/>
      <c r="B115" s="377"/>
      <c r="C115" s="279"/>
      <c r="D115" s="279"/>
      <c r="E115" s="374"/>
      <c r="F115" s="55" t="s">
        <v>181</v>
      </c>
      <c r="G115" s="371"/>
      <c r="H115" s="371"/>
      <c r="I115" s="375"/>
      <c r="J115" s="375"/>
      <c r="O115" s="71"/>
      <c r="P115" s="71"/>
      <c r="Q115" s="71"/>
      <c r="R115" s="71"/>
      <c r="S115" s="71"/>
    </row>
    <row r="116" spans="1:19" s="72" customFormat="1" x14ac:dyDescent="0.25">
      <c r="A116" s="48"/>
      <c r="B116" s="377"/>
      <c r="C116" s="279"/>
      <c r="D116" s="279"/>
      <c r="E116" s="374"/>
      <c r="F116" s="56"/>
      <c r="G116" s="371"/>
      <c r="H116" s="371"/>
      <c r="I116" s="375"/>
      <c r="J116" s="375"/>
      <c r="O116" s="71"/>
      <c r="P116" s="71"/>
      <c r="Q116" s="71"/>
      <c r="R116" s="71"/>
      <c r="S116" s="71"/>
    </row>
    <row r="117" spans="1:19" s="72" customFormat="1" x14ac:dyDescent="0.25">
      <c r="A117" s="48"/>
      <c r="B117" s="377"/>
      <c r="C117" s="279"/>
      <c r="D117" s="279"/>
      <c r="E117" s="374"/>
      <c r="F117" s="54" t="s">
        <v>85</v>
      </c>
      <c r="G117" s="371"/>
      <c r="H117" s="371"/>
      <c r="I117" s="375"/>
      <c r="J117" s="375"/>
      <c r="O117" s="71"/>
      <c r="P117" s="71"/>
      <c r="Q117" s="71"/>
      <c r="R117" s="71"/>
      <c r="S117" s="71"/>
    </row>
    <row r="118" spans="1:19" s="72" customFormat="1" ht="30" x14ac:dyDescent="0.25">
      <c r="A118" s="48"/>
      <c r="B118" s="377"/>
      <c r="C118" s="279"/>
      <c r="D118" s="279"/>
      <c r="E118" s="374"/>
      <c r="F118" s="55" t="s">
        <v>97</v>
      </c>
      <c r="G118" s="371"/>
      <c r="H118" s="371"/>
      <c r="I118" s="375"/>
      <c r="J118" s="375"/>
      <c r="O118" s="71"/>
      <c r="P118" s="71"/>
      <c r="Q118" s="71"/>
      <c r="R118" s="71"/>
      <c r="S118" s="71"/>
    </row>
    <row r="119" spans="1:19" s="72" customFormat="1" x14ac:dyDescent="0.25">
      <c r="A119" s="48"/>
      <c r="B119" s="377"/>
      <c r="C119" s="279"/>
      <c r="D119" s="279"/>
      <c r="E119" s="374"/>
      <c r="F119" s="57"/>
      <c r="G119" s="371"/>
      <c r="H119" s="371"/>
      <c r="I119" s="375"/>
      <c r="J119" s="375"/>
      <c r="O119" s="71"/>
      <c r="P119" s="71"/>
      <c r="Q119" s="71"/>
      <c r="R119" s="71"/>
      <c r="S119" s="71"/>
    </row>
    <row r="120" spans="1:19" s="72" customFormat="1" x14ac:dyDescent="0.25">
      <c r="A120" s="48"/>
      <c r="B120" s="377"/>
      <c r="C120" s="279"/>
      <c r="D120" s="279"/>
      <c r="E120" s="374"/>
      <c r="F120" s="54" t="s">
        <v>87</v>
      </c>
      <c r="G120" s="371"/>
      <c r="H120" s="371"/>
      <c r="I120" s="375"/>
      <c r="J120" s="375"/>
      <c r="O120" s="71"/>
      <c r="P120" s="71"/>
      <c r="Q120" s="71"/>
      <c r="R120" s="71"/>
      <c r="S120" s="71"/>
    </row>
    <row r="121" spans="1:19" s="72" customFormat="1" x14ac:dyDescent="0.25">
      <c r="A121" s="48"/>
      <c r="B121" s="378"/>
      <c r="C121" s="279"/>
      <c r="D121" s="279"/>
      <c r="E121" s="374"/>
      <c r="F121" s="59" t="s">
        <v>110</v>
      </c>
      <c r="G121" s="371"/>
      <c r="H121" s="371"/>
      <c r="I121" s="375"/>
      <c r="J121" s="375"/>
      <c r="O121" s="71"/>
      <c r="P121" s="71"/>
      <c r="Q121" s="71"/>
      <c r="R121" s="71"/>
      <c r="S121" s="71"/>
    </row>
    <row r="122" spans="1:19" s="72" customFormat="1" x14ac:dyDescent="0.25">
      <c r="A122" s="48"/>
      <c r="B122" s="376" t="s">
        <v>108</v>
      </c>
      <c r="C122" s="279"/>
      <c r="D122" s="279">
        <v>11</v>
      </c>
      <c r="E122" s="374" t="s">
        <v>111</v>
      </c>
      <c r="F122" s="54" t="s">
        <v>83</v>
      </c>
      <c r="G122" s="371">
        <v>4</v>
      </c>
      <c r="H122" s="371">
        <v>6</v>
      </c>
      <c r="I122" s="375">
        <v>5000000</v>
      </c>
      <c r="J122" s="375">
        <f>I122*H122*G122</f>
        <v>120000000</v>
      </c>
      <c r="O122" s="71"/>
      <c r="P122" s="71"/>
      <c r="Q122" s="71"/>
      <c r="R122" s="71"/>
      <c r="S122" s="71"/>
    </row>
    <row r="123" spans="1:19" s="72" customFormat="1" x14ac:dyDescent="0.25">
      <c r="A123" s="48"/>
      <c r="B123" s="377"/>
      <c r="C123" s="279"/>
      <c r="D123" s="279"/>
      <c r="E123" s="374"/>
      <c r="F123" s="55" t="s">
        <v>100</v>
      </c>
      <c r="G123" s="371"/>
      <c r="H123" s="371"/>
      <c r="I123" s="375"/>
      <c r="J123" s="375"/>
      <c r="O123" s="71"/>
      <c r="P123" s="71"/>
      <c r="Q123" s="71"/>
      <c r="R123" s="71"/>
      <c r="S123" s="71"/>
    </row>
    <row r="124" spans="1:19" s="72" customFormat="1" x14ac:dyDescent="0.25">
      <c r="A124" s="48"/>
      <c r="B124" s="377"/>
      <c r="C124" s="279"/>
      <c r="D124" s="279"/>
      <c r="E124" s="374"/>
      <c r="F124" s="56"/>
      <c r="G124" s="371"/>
      <c r="H124" s="371"/>
      <c r="I124" s="375"/>
      <c r="J124" s="375"/>
      <c r="O124" s="71"/>
      <c r="P124" s="71"/>
      <c r="Q124" s="71"/>
      <c r="R124" s="71"/>
      <c r="S124" s="71"/>
    </row>
    <row r="125" spans="1:19" s="72" customFormat="1" x14ac:dyDescent="0.25">
      <c r="A125" s="48"/>
      <c r="B125" s="377"/>
      <c r="C125" s="279"/>
      <c r="D125" s="279"/>
      <c r="E125" s="374"/>
      <c r="F125" s="54" t="s">
        <v>85</v>
      </c>
      <c r="G125" s="371"/>
      <c r="H125" s="371"/>
      <c r="I125" s="375"/>
      <c r="J125" s="375"/>
      <c r="O125" s="71"/>
      <c r="P125" s="71"/>
      <c r="Q125" s="71"/>
      <c r="R125" s="71"/>
      <c r="S125" s="71"/>
    </row>
    <row r="126" spans="1:19" s="72" customFormat="1" ht="30" x14ac:dyDescent="0.25">
      <c r="A126" s="48"/>
      <c r="B126" s="377"/>
      <c r="C126" s="279"/>
      <c r="D126" s="279"/>
      <c r="E126" s="374"/>
      <c r="F126" s="55" t="s">
        <v>97</v>
      </c>
      <c r="G126" s="371"/>
      <c r="H126" s="371"/>
      <c r="I126" s="375"/>
      <c r="J126" s="375"/>
      <c r="O126" s="71"/>
      <c r="P126" s="71"/>
      <c r="Q126" s="71"/>
      <c r="R126" s="71"/>
      <c r="S126" s="71"/>
    </row>
    <row r="127" spans="1:19" s="72" customFormat="1" x14ac:dyDescent="0.25">
      <c r="A127" s="48"/>
      <c r="B127" s="377"/>
      <c r="C127" s="279"/>
      <c r="D127" s="279"/>
      <c r="E127" s="374"/>
      <c r="F127" s="57"/>
      <c r="G127" s="371"/>
      <c r="H127" s="371"/>
      <c r="I127" s="375"/>
      <c r="J127" s="375"/>
      <c r="O127" s="71"/>
      <c r="P127" s="71"/>
      <c r="Q127" s="71"/>
      <c r="R127" s="71"/>
      <c r="S127" s="71"/>
    </row>
    <row r="128" spans="1:19" s="72" customFormat="1" x14ac:dyDescent="0.25">
      <c r="A128" s="48"/>
      <c r="B128" s="377"/>
      <c r="C128" s="279"/>
      <c r="D128" s="279"/>
      <c r="E128" s="374"/>
      <c r="F128" s="54" t="s">
        <v>87</v>
      </c>
      <c r="G128" s="371"/>
      <c r="H128" s="371"/>
      <c r="I128" s="375"/>
      <c r="J128" s="375"/>
      <c r="O128" s="71"/>
      <c r="P128" s="71"/>
      <c r="Q128" s="71"/>
      <c r="R128" s="71"/>
      <c r="S128" s="71"/>
    </row>
    <row r="129" spans="1:19" s="72" customFormat="1" x14ac:dyDescent="0.25">
      <c r="A129" s="48"/>
      <c r="B129" s="377"/>
      <c r="C129" s="295"/>
      <c r="D129" s="295"/>
      <c r="E129" s="376"/>
      <c r="F129" s="61" t="s">
        <v>112</v>
      </c>
      <c r="G129" s="381"/>
      <c r="H129" s="381"/>
      <c r="I129" s="379"/>
      <c r="J129" s="379"/>
      <c r="O129" s="71"/>
      <c r="P129" s="71"/>
      <c r="Q129" s="71"/>
      <c r="R129" s="71"/>
      <c r="S129" s="71"/>
    </row>
    <row r="130" spans="1:19" s="72" customFormat="1" ht="62.25" customHeight="1" x14ac:dyDescent="0.25">
      <c r="A130" s="48"/>
      <c r="B130" s="380" t="s">
        <v>191</v>
      </c>
      <c r="C130" s="380"/>
      <c r="D130" s="380"/>
      <c r="E130" s="380"/>
      <c r="F130" s="380"/>
      <c r="G130" s="380"/>
      <c r="H130" s="380"/>
      <c r="I130" s="380"/>
      <c r="J130" s="380"/>
      <c r="O130" s="71"/>
      <c r="P130" s="71"/>
      <c r="Q130" s="71"/>
      <c r="R130" s="71"/>
      <c r="S130" s="71"/>
    </row>
    <row r="131" spans="1:19" ht="23.25" x14ac:dyDescent="0.35">
      <c r="I131" s="74" t="s">
        <v>114</v>
      </c>
      <c r="J131" s="75">
        <f>SUM(J32:J129)</f>
        <v>631048000</v>
      </c>
    </row>
    <row r="132" spans="1:19" ht="23.25" x14ac:dyDescent="0.35">
      <c r="I132" s="130"/>
      <c r="J132" s="130"/>
    </row>
    <row r="133" spans="1:19" ht="23.25" x14ac:dyDescent="0.35">
      <c r="I133" s="74" t="s">
        <v>187</v>
      </c>
      <c r="J133" s="75">
        <f>ROUND(J131+N29,0)</f>
        <v>1098403721</v>
      </c>
      <c r="K133" s="144"/>
    </row>
  </sheetData>
  <autoFilter ref="A8:H30" xr:uid="{00000000-0009-0000-0000-000001000000}"/>
  <mergeCells count="118">
    <mergeCell ref="C2:F2"/>
    <mergeCell ref="C3:F3"/>
    <mergeCell ref="C4:F4"/>
    <mergeCell ref="C5:F5"/>
    <mergeCell ref="G6:N6"/>
    <mergeCell ref="A7:A8"/>
    <mergeCell ref="B7:B8"/>
    <mergeCell ref="C7:C8"/>
    <mergeCell ref="D7:D8"/>
    <mergeCell ref="E7:E8"/>
    <mergeCell ref="M7:M8"/>
    <mergeCell ref="N7:N8"/>
    <mergeCell ref="G7:G8"/>
    <mergeCell ref="H7:H8"/>
    <mergeCell ref="I7:I8"/>
    <mergeCell ref="K7:K8"/>
    <mergeCell ref="L7:L8"/>
    <mergeCell ref="A9:A18"/>
    <mergeCell ref="B9:B12"/>
    <mergeCell ref="C9:C12"/>
    <mergeCell ref="D9:D12"/>
    <mergeCell ref="E9:E12"/>
    <mergeCell ref="B14:B15"/>
    <mergeCell ref="C14:C15"/>
    <mergeCell ref="D14:D15"/>
    <mergeCell ref="F7:F8"/>
    <mergeCell ref="E14:E15"/>
    <mergeCell ref="B16:B18"/>
    <mergeCell ref="C16:C18"/>
    <mergeCell ref="D16:D18"/>
    <mergeCell ref="E16:E18"/>
    <mergeCell ref="A20:A27"/>
    <mergeCell ref="B20:B27"/>
    <mergeCell ref="C20:C27"/>
    <mergeCell ref="D20:D27"/>
    <mergeCell ref="E20:E27"/>
    <mergeCell ref="J32:J41"/>
    <mergeCell ref="B42:B52"/>
    <mergeCell ref="D42:D52"/>
    <mergeCell ref="E42:E52"/>
    <mergeCell ref="G42:G52"/>
    <mergeCell ref="H42:H52"/>
    <mergeCell ref="I42:I52"/>
    <mergeCell ref="J42:J52"/>
    <mergeCell ref="A28:L28"/>
    <mergeCell ref="B29:I29"/>
    <mergeCell ref="K29:M29"/>
    <mergeCell ref="B32:B41"/>
    <mergeCell ref="C32:C129"/>
    <mergeCell ref="D32:D41"/>
    <mergeCell ref="E32:E41"/>
    <mergeCell ref="G32:G41"/>
    <mergeCell ref="H32:H41"/>
    <mergeCell ref="I32:I41"/>
    <mergeCell ref="J53:J62"/>
    <mergeCell ref="B63:B70"/>
    <mergeCell ref="D63:D70"/>
    <mergeCell ref="E63:E70"/>
    <mergeCell ref="G63:G70"/>
    <mergeCell ref="H63:H70"/>
    <mergeCell ref="I63:I70"/>
    <mergeCell ref="J63:J70"/>
    <mergeCell ref="B53:B62"/>
    <mergeCell ref="D53:D62"/>
    <mergeCell ref="E53:E62"/>
    <mergeCell ref="G53:G62"/>
    <mergeCell ref="H53:H62"/>
    <mergeCell ref="I53:I62"/>
    <mergeCell ref="J71:J80"/>
    <mergeCell ref="B81:B88"/>
    <mergeCell ref="D81:D88"/>
    <mergeCell ref="E81:E88"/>
    <mergeCell ref="G81:G88"/>
    <mergeCell ref="H81:H88"/>
    <mergeCell ref="I81:I88"/>
    <mergeCell ref="J81:J88"/>
    <mergeCell ref="B71:B80"/>
    <mergeCell ref="D71:D80"/>
    <mergeCell ref="E71:E80"/>
    <mergeCell ref="G71:G80"/>
    <mergeCell ref="H71:H80"/>
    <mergeCell ref="I71:I80"/>
    <mergeCell ref="J89:J98"/>
    <mergeCell ref="B99:B106"/>
    <mergeCell ref="D99:D106"/>
    <mergeCell ref="E99:E106"/>
    <mergeCell ref="G99:G106"/>
    <mergeCell ref="H99:H106"/>
    <mergeCell ref="I99:I106"/>
    <mergeCell ref="J99:J106"/>
    <mergeCell ref="B89:B98"/>
    <mergeCell ref="D89:D98"/>
    <mergeCell ref="E89:E98"/>
    <mergeCell ref="G89:G98"/>
    <mergeCell ref="H89:H98"/>
    <mergeCell ref="I89:I98"/>
    <mergeCell ref="J122:J129"/>
    <mergeCell ref="B130:J130"/>
    <mergeCell ref="B122:B129"/>
    <mergeCell ref="D122:D129"/>
    <mergeCell ref="E122:E129"/>
    <mergeCell ref="G122:G129"/>
    <mergeCell ref="H122:H129"/>
    <mergeCell ref="I122:I129"/>
    <mergeCell ref="J107:J113"/>
    <mergeCell ref="B114:B121"/>
    <mergeCell ref="D114:D121"/>
    <mergeCell ref="E114:E121"/>
    <mergeCell ref="G114:G121"/>
    <mergeCell ref="H114:H121"/>
    <mergeCell ref="I114:I121"/>
    <mergeCell ref="J114:J121"/>
    <mergeCell ref="B107:B113"/>
    <mergeCell ref="D107:D113"/>
    <mergeCell ref="E107:E113"/>
    <mergeCell ref="G107:G113"/>
    <mergeCell ref="H107:H113"/>
    <mergeCell ref="I107:I113"/>
  </mergeCells>
  <pageMargins left="0.23622047244094491" right="0.23622047244094491" top="0.74803149606299213" bottom="0.74803149606299213" header="0.31496062992125984" footer="0.31496062992125984"/>
  <pageSetup paperSize="8" scale="2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2504A-0E86-43CE-996F-23AACB6BD239}">
  <dimension ref="A1:M128"/>
  <sheetViews>
    <sheetView topLeftCell="A123" workbookViewId="0">
      <selection activeCell="F129" sqref="F129"/>
    </sheetView>
  </sheetViews>
  <sheetFormatPr baseColWidth="10" defaultColWidth="8" defaultRowHeight="12.75" x14ac:dyDescent="0.25"/>
  <cols>
    <col min="1" max="1" width="10.28515625" style="80" customWidth="1"/>
    <col min="2" max="2" width="14.7109375" style="80" customWidth="1"/>
    <col min="3" max="3" width="13" style="80" customWidth="1"/>
    <col min="4" max="4" width="6.42578125" style="80" customWidth="1"/>
    <col min="5" max="5" width="13" style="80" customWidth="1"/>
    <col min="6" max="6" width="37" style="80" customWidth="1"/>
    <col min="7" max="7" width="7.28515625" style="80" customWidth="1"/>
    <col min="8" max="8" width="5.7109375" style="80" customWidth="1"/>
    <col min="9" max="9" width="9" style="80" customWidth="1"/>
    <col min="10" max="10" width="25.140625" style="80" bestFit="1" customWidth="1"/>
    <col min="11" max="11" width="8.42578125" style="80" customWidth="1"/>
    <col min="12" max="12" width="12" style="80" customWidth="1"/>
    <col min="13" max="13" width="2.42578125" style="80" customWidth="1"/>
    <col min="14" max="16384" width="8" style="80"/>
  </cols>
  <sheetData>
    <row r="1" spans="1:13" ht="8.25" customHeight="1" x14ac:dyDescent="0.25">
      <c r="A1" s="436" t="s">
        <v>192</v>
      </c>
      <c r="B1" s="436"/>
      <c r="C1" s="436"/>
      <c r="D1" s="436"/>
      <c r="E1" s="436"/>
      <c r="F1" s="436"/>
      <c r="G1" s="436"/>
      <c r="H1" s="436"/>
      <c r="I1" s="436"/>
      <c r="J1" s="436"/>
      <c r="K1" s="436"/>
      <c r="L1" s="436"/>
      <c r="M1" s="436"/>
    </row>
    <row r="2" spans="1:13" ht="8.25" customHeight="1" x14ac:dyDescent="0.25">
      <c r="A2" s="437" t="s">
        <v>193</v>
      </c>
      <c r="B2" s="437"/>
      <c r="C2" s="437"/>
      <c r="D2" s="437"/>
      <c r="E2" s="437"/>
      <c r="F2" s="437"/>
      <c r="G2" s="437"/>
      <c r="H2" s="437"/>
      <c r="I2" s="437"/>
      <c r="J2" s="437"/>
      <c r="K2" s="437"/>
      <c r="L2" s="437"/>
      <c r="M2" s="437"/>
    </row>
    <row r="3" spans="1:13" ht="16.149999999999999" customHeight="1" x14ac:dyDescent="0.25">
      <c r="A3" s="438"/>
      <c r="B3" s="438"/>
      <c r="C3" s="438"/>
      <c r="D3" s="438"/>
      <c r="E3" s="438"/>
      <c r="F3" s="439"/>
      <c r="G3" s="440" t="s">
        <v>194</v>
      </c>
      <c r="H3" s="441"/>
      <c r="I3" s="441"/>
      <c r="J3" s="441"/>
      <c r="K3" s="441"/>
      <c r="L3" s="442"/>
    </row>
    <row r="4" spans="1:13" ht="41.25" customHeight="1" x14ac:dyDescent="0.15">
      <c r="A4" s="81" t="s">
        <v>195</v>
      </c>
      <c r="B4" s="82" t="s">
        <v>196</v>
      </c>
      <c r="C4" s="83" t="s">
        <v>197</v>
      </c>
      <c r="D4" s="82" t="s">
        <v>198</v>
      </c>
      <c r="E4" s="82" t="s">
        <v>199</v>
      </c>
      <c r="F4" s="84" t="s">
        <v>200</v>
      </c>
      <c r="G4" s="81" t="s">
        <v>201</v>
      </c>
      <c r="H4" s="85" t="s">
        <v>202</v>
      </c>
      <c r="I4" s="86" t="s">
        <v>203</v>
      </c>
      <c r="J4" s="87" t="s">
        <v>204</v>
      </c>
      <c r="K4" s="88" t="s">
        <v>205</v>
      </c>
      <c r="L4" s="87" t="s">
        <v>206</v>
      </c>
    </row>
    <row r="5" spans="1:13" ht="32.65" customHeight="1" x14ac:dyDescent="0.25">
      <c r="A5" s="443" t="s">
        <v>207</v>
      </c>
      <c r="B5" s="446" t="s">
        <v>208</v>
      </c>
      <c r="C5" s="449" t="s">
        <v>209</v>
      </c>
      <c r="D5" s="449" t="s">
        <v>210</v>
      </c>
      <c r="E5" s="452" t="s">
        <v>211</v>
      </c>
      <c r="F5" s="89" t="s">
        <v>212</v>
      </c>
      <c r="G5" s="90" t="s">
        <v>213</v>
      </c>
      <c r="H5" s="91">
        <v>500</v>
      </c>
      <c r="I5" s="92">
        <v>75000</v>
      </c>
      <c r="J5" s="93">
        <v>14250</v>
      </c>
      <c r="K5" s="93">
        <v>89250</v>
      </c>
      <c r="L5" s="93">
        <v>44625000</v>
      </c>
    </row>
    <row r="6" spans="1:13" ht="32.65" customHeight="1" x14ac:dyDescent="0.25">
      <c r="A6" s="444"/>
      <c r="B6" s="447"/>
      <c r="C6" s="450"/>
      <c r="D6" s="450"/>
      <c r="E6" s="453"/>
      <c r="F6" s="89" t="s">
        <v>214</v>
      </c>
      <c r="G6" s="90" t="s">
        <v>215</v>
      </c>
      <c r="H6" s="91">
        <v>500</v>
      </c>
      <c r="I6" s="94">
        <v>800</v>
      </c>
      <c r="J6" s="95">
        <v>152</v>
      </c>
      <c r="K6" s="95">
        <v>952</v>
      </c>
      <c r="L6" s="93">
        <v>476000</v>
      </c>
    </row>
    <row r="7" spans="1:13" ht="16.5" customHeight="1" x14ac:dyDescent="0.25">
      <c r="A7" s="444"/>
      <c r="B7" s="447"/>
      <c r="C7" s="450"/>
      <c r="D7" s="450"/>
      <c r="E7" s="453"/>
      <c r="F7" s="89" t="s">
        <v>216</v>
      </c>
      <c r="G7" s="96" t="s">
        <v>215</v>
      </c>
      <c r="H7" s="97">
        <v>500</v>
      </c>
      <c r="I7" s="98">
        <v>1500</v>
      </c>
      <c r="J7" s="99">
        <v>285</v>
      </c>
      <c r="K7" s="100">
        <v>1785</v>
      </c>
      <c r="L7" s="100">
        <v>892500</v>
      </c>
    </row>
    <row r="8" spans="1:13" ht="8.25" customHeight="1" x14ac:dyDescent="0.25">
      <c r="A8" s="444"/>
      <c r="B8" s="448"/>
      <c r="C8" s="451"/>
      <c r="D8" s="451"/>
      <c r="E8" s="454"/>
      <c r="F8" s="101" t="s">
        <v>217</v>
      </c>
      <c r="G8" s="96" t="s">
        <v>215</v>
      </c>
      <c r="H8" s="97">
        <v>200</v>
      </c>
      <c r="I8" s="98">
        <v>2000</v>
      </c>
      <c r="J8" s="99">
        <v>380</v>
      </c>
      <c r="K8" s="100">
        <v>2380</v>
      </c>
      <c r="L8" s="100">
        <v>476000</v>
      </c>
    </row>
    <row r="9" spans="1:13" ht="19.5" customHeight="1" x14ac:dyDescent="0.25">
      <c r="A9" s="444"/>
      <c r="B9" s="102" t="s">
        <v>218</v>
      </c>
      <c r="C9" s="103"/>
      <c r="D9" s="103"/>
      <c r="E9" s="103"/>
      <c r="F9" s="101" t="s">
        <v>219</v>
      </c>
      <c r="G9" s="90" t="s">
        <v>220</v>
      </c>
      <c r="H9" s="91">
        <v>450</v>
      </c>
      <c r="I9" s="94">
        <v>500</v>
      </c>
      <c r="J9" s="95">
        <v>95</v>
      </c>
      <c r="K9" s="95">
        <v>595</v>
      </c>
      <c r="L9" s="93">
        <v>267750</v>
      </c>
    </row>
    <row r="10" spans="1:13" ht="19.5" customHeight="1" x14ac:dyDescent="0.25">
      <c r="A10" s="444"/>
      <c r="B10" s="446" t="s">
        <v>221</v>
      </c>
      <c r="C10" s="430" t="s">
        <v>222</v>
      </c>
      <c r="D10" s="432" t="s">
        <v>223</v>
      </c>
      <c r="E10" s="434" t="s">
        <v>224</v>
      </c>
      <c r="F10" s="89" t="s">
        <v>225</v>
      </c>
      <c r="G10" s="90" t="s">
        <v>220</v>
      </c>
      <c r="H10" s="91">
        <v>15</v>
      </c>
      <c r="I10" s="92">
        <v>2800000</v>
      </c>
      <c r="J10" s="93">
        <v>532000</v>
      </c>
      <c r="K10" s="93">
        <v>3332000</v>
      </c>
      <c r="L10" s="93">
        <v>49980000</v>
      </c>
    </row>
    <row r="11" spans="1:13" ht="16.5" customHeight="1" x14ac:dyDescent="0.25">
      <c r="A11" s="444"/>
      <c r="B11" s="448"/>
      <c r="C11" s="431"/>
      <c r="D11" s="433"/>
      <c r="E11" s="435"/>
      <c r="F11" s="89" t="s">
        <v>226</v>
      </c>
      <c r="G11" s="96" t="s">
        <v>220</v>
      </c>
      <c r="H11" s="97">
        <v>1500</v>
      </c>
      <c r="I11" s="104">
        <v>700</v>
      </c>
      <c r="J11" s="99">
        <v>133</v>
      </c>
      <c r="K11" s="99">
        <v>833</v>
      </c>
      <c r="L11" s="100">
        <v>1249500</v>
      </c>
    </row>
    <row r="12" spans="1:13" ht="51.75" customHeight="1" x14ac:dyDescent="0.25">
      <c r="A12" s="444"/>
      <c r="B12" s="412"/>
      <c r="C12" s="412"/>
      <c r="D12" s="412"/>
      <c r="E12" s="412"/>
      <c r="F12" s="89" t="s">
        <v>227</v>
      </c>
      <c r="G12" s="90" t="s">
        <v>220</v>
      </c>
      <c r="H12" s="91">
        <v>1200</v>
      </c>
      <c r="I12" s="92">
        <v>100000</v>
      </c>
      <c r="J12" s="93">
        <v>19000</v>
      </c>
      <c r="K12" s="93">
        <v>119000</v>
      </c>
      <c r="L12" s="93">
        <v>142800000</v>
      </c>
    </row>
    <row r="13" spans="1:13" ht="31.9" customHeight="1" x14ac:dyDescent="0.25">
      <c r="A13" s="444"/>
      <c r="B13" s="413"/>
      <c r="C13" s="413"/>
      <c r="D13" s="413"/>
      <c r="E13" s="413"/>
      <c r="F13" s="89" t="s">
        <v>228</v>
      </c>
      <c r="G13" s="90" t="s">
        <v>220</v>
      </c>
      <c r="H13" s="91">
        <v>200</v>
      </c>
      <c r="I13" s="92">
        <v>5000</v>
      </c>
      <c r="J13" s="95">
        <v>950</v>
      </c>
      <c r="K13" s="93">
        <v>5950</v>
      </c>
      <c r="L13" s="93">
        <v>1190000</v>
      </c>
    </row>
    <row r="14" spans="1:13" ht="8.25" customHeight="1" x14ac:dyDescent="0.25">
      <c r="A14" s="445"/>
      <c r="B14" s="429"/>
      <c r="C14" s="429"/>
      <c r="D14" s="429"/>
      <c r="E14" s="429"/>
      <c r="F14" s="101" t="s">
        <v>229</v>
      </c>
      <c r="G14" s="96" t="s">
        <v>220</v>
      </c>
      <c r="H14" s="97">
        <v>2</v>
      </c>
      <c r="I14" s="98">
        <v>3000000</v>
      </c>
      <c r="J14" s="100">
        <v>570000</v>
      </c>
      <c r="K14" s="100">
        <v>3570000</v>
      </c>
      <c r="L14" s="100">
        <v>7140000</v>
      </c>
    </row>
    <row r="15" spans="1:13" ht="71.25" customHeight="1" x14ac:dyDescent="0.25">
      <c r="A15" s="107" t="s">
        <v>230</v>
      </c>
      <c r="B15" s="108" t="s">
        <v>231</v>
      </c>
      <c r="C15" s="108" t="s">
        <v>232</v>
      </c>
      <c r="D15" s="91">
        <v>350</v>
      </c>
      <c r="E15" s="91">
        <v>350</v>
      </c>
      <c r="F15" s="89" t="s">
        <v>233</v>
      </c>
      <c r="G15" s="90" t="s">
        <v>234</v>
      </c>
      <c r="H15" s="91">
        <v>6</v>
      </c>
      <c r="I15" s="92">
        <v>4500000</v>
      </c>
      <c r="J15" s="93">
        <v>855000</v>
      </c>
      <c r="K15" s="93">
        <v>5355000</v>
      </c>
      <c r="L15" s="93">
        <v>32130000</v>
      </c>
    </row>
    <row r="16" spans="1:13" ht="45.4" customHeight="1" x14ac:dyDescent="0.25">
      <c r="A16" s="423" t="s">
        <v>235</v>
      </c>
      <c r="B16" s="425" t="s">
        <v>236</v>
      </c>
      <c r="C16" s="427" t="s">
        <v>237</v>
      </c>
      <c r="D16" s="427" t="s">
        <v>238</v>
      </c>
      <c r="E16" s="427" t="s">
        <v>239</v>
      </c>
      <c r="F16" s="89" t="s">
        <v>240</v>
      </c>
      <c r="G16" s="90" t="s">
        <v>241</v>
      </c>
      <c r="H16" s="91">
        <v>5</v>
      </c>
      <c r="I16" s="92">
        <v>9000000</v>
      </c>
      <c r="J16" s="93">
        <v>1710000</v>
      </c>
      <c r="K16" s="93">
        <v>10710000</v>
      </c>
      <c r="L16" s="93">
        <v>53550000</v>
      </c>
    </row>
    <row r="17" spans="1:12" ht="25.9" customHeight="1" x14ac:dyDescent="0.25">
      <c r="A17" s="424"/>
      <c r="B17" s="426"/>
      <c r="C17" s="428"/>
      <c r="D17" s="428"/>
      <c r="E17" s="428"/>
      <c r="F17" s="89" t="s">
        <v>242</v>
      </c>
      <c r="G17" s="96" t="s">
        <v>220</v>
      </c>
      <c r="H17" s="97">
        <v>5</v>
      </c>
      <c r="I17" s="98">
        <v>8195233</v>
      </c>
      <c r="J17" s="100">
        <v>1557094</v>
      </c>
      <c r="K17" s="100">
        <v>9752328</v>
      </c>
      <c r="L17" s="100">
        <v>48761638</v>
      </c>
    </row>
    <row r="18" spans="1:12" ht="30.4" customHeight="1" x14ac:dyDescent="0.25">
      <c r="A18" s="424"/>
      <c r="B18" s="426"/>
      <c r="C18" s="428"/>
      <c r="D18" s="428"/>
      <c r="E18" s="428"/>
      <c r="F18" s="101" t="s">
        <v>243</v>
      </c>
      <c r="G18" s="90" t="s">
        <v>220</v>
      </c>
      <c r="H18" s="91">
        <v>25</v>
      </c>
      <c r="I18" s="92">
        <v>1300000</v>
      </c>
      <c r="J18" s="93">
        <v>247000</v>
      </c>
      <c r="K18" s="93">
        <v>1547000</v>
      </c>
      <c r="L18" s="93">
        <v>38675000</v>
      </c>
    </row>
    <row r="19" spans="1:12" ht="41.25" x14ac:dyDescent="0.25">
      <c r="A19" s="413"/>
      <c r="B19" s="413"/>
      <c r="C19" s="413"/>
      <c r="D19" s="413"/>
      <c r="E19" s="413"/>
      <c r="F19" s="89" t="s">
        <v>244</v>
      </c>
      <c r="G19" s="109" t="s">
        <v>220</v>
      </c>
      <c r="H19" s="91">
        <v>5</v>
      </c>
      <c r="I19" s="93">
        <v>2113267</v>
      </c>
      <c r="J19" s="110">
        <v>401521</v>
      </c>
      <c r="K19" s="93">
        <v>2514787</v>
      </c>
      <c r="L19" s="93">
        <v>12573937</v>
      </c>
    </row>
    <row r="20" spans="1:12" ht="16.5" x14ac:dyDescent="0.25">
      <c r="A20" s="413"/>
      <c r="B20" s="413"/>
      <c r="C20" s="413"/>
      <c r="D20" s="413"/>
      <c r="E20" s="413"/>
      <c r="F20" s="101" t="s">
        <v>245</v>
      </c>
      <c r="G20" s="111" t="s">
        <v>220</v>
      </c>
      <c r="H20" s="97">
        <v>150</v>
      </c>
      <c r="I20" s="100">
        <v>3845</v>
      </c>
      <c r="J20" s="112">
        <v>731</v>
      </c>
      <c r="K20" s="100">
        <v>4576</v>
      </c>
      <c r="L20" s="100">
        <v>686333</v>
      </c>
    </row>
    <row r="21" spans="1:12" ht="33" x14ac:dyDescent="0.25">
      <c r="A21" s="413"/>
      <c r="B21" s="413"/>
      <c r="C21" s="413"/>
      <c r="D21" s="413"/>
      <c r="E21" s="413"/>
      <c r="F21" s="89" t="s">
        <v>246</v>
      </c>
      <c r="G21" s="111" t="s">
        <v>220</v>
      </c>
      <c r="H21" s="97">
        <v>50</v>
      </c>
      <c r="I21" s="100">
        <v>11570</v>
      </c>
      <c r="J21" s="113">
        <v>2198</v>
      </c>
      <c r="K21" s="100">
        <v>13768</v>
      </c>
      <c r="L21" s="100">
        <v>688385</v>
      </c>
    </row>
    <row r="22" spans="1:12" ht="33" x14ac:dyDescent="0.25">
      <c r="A22" s="413"/>
      <c r="B22" s="413"/>
      <c r="C22" s="413"/>
      <c r="D22" s="413"/>
      <c r="E22" s="413"/>
      <c r="F22" s="89" t="s">
        <v>247</v>
      </c>
      <c r="G22" s="111" t="s">
        <v>220</v>
      </c>
      <c r="H22" s="97">
        <v>1</v>
      </c>
      <c r="I22" s="100">
        <v>1600000</v>
      </c>
      <c r="J22" s="113">
        <v>304000</v>
      </c>
      <c r="K22" s="100">
        <v>1904000</v>
      </c>
      <c r="L22" s="100">
        <v>1904000</v>
      </c>
    </row>
    <row r="23" spans="1:12" ht="33" x14ac:dyDescent="0.25">
      <c r="A23" s="429"/>
      <c r="B23" s="429"/>
      <c r="C23" s="429"/>
      <c r="D23" s="429"/>
      <c r="E23" s="429"/>
      <c r="F23" s="101" t="s">
        <v>248</v>
      </c>
      <c r="G23" s="111" t="s">
        <v>220</v>
      </c>
      <c r="H23" s="97">
        <v>5</v>
      </c>
      <c r="I23" s="100">
        <v>162668</v>
      </c>
      <c r="J23" s="113">
        <v>30907</v>
      </c>
      <c r="K23" s="100">
        <v>193575</v>
      </c>
      <c r="L23" s="100">
        <v>967875</v>
      </c>
    </row>
    <row r="24" spans="1:12" x14ac:dyDescent="0.25">
      <c r="A24" s="414" t="s">
        <v>249</v>
      </c>
      <c r="B24" s="415"/>
      <c r="C24" s="415"/>
      <c r="D24" s="415"/>
      <c r="E24" s="415"/>
      <c r="F24" s="415"/>
      <c r="G24" s="415"/>
      <c r="H24" s="415"/>
      <c r="I24" s="415"/>
      <c r="J24" s="415"/>
      <c r="K24" s="416"/>
      <c r="L24" s="114">
        <v>439033918</v>
      </c>
    </row>
    <row r="26" spans="1:12" ht="66" x14ac:dyDescent="0.25">
      <c r="B26" s="115"/>
      <c r="C26" s="116"/>
      <c r="D26" s="116"/>
      <c r="E26" s="117" t="s">
        <v>250</v>
      </c>
      <c r="F26" s="118" t="s">
        <v>251</v>
      </c>
      <c r="G26" s="118" t="s">
        <v>252</v>
      </c>
      <c r="H26" s="118" t="s">
        <v>253</v>
      </c>
      <c r="I26" s="119" t="s">
        <v>254</v>
      </c>
      <c r="J26" s="120" t="s">
        <v>255</v>
      </c>
    </row>
    <row r="27" spans="1:12" ht="12.75" customHeight="1" x14ac:dyDescent="0.25">
      <c r="B27" s="386" t="s">
        <v>80</v>
      </c>
      <c r="C27" s="417"/>
      <c r="D27" s="388">
        <v>1</v>
      </c>
      <c r="E27" s="386" t="s">
        <v>256</v>
      </c>
      <c r="F27" s="121" t="s">
        <v>257</v>
      </c>
      <c r="G27" s="394">
        <v>1</v>
      </c>
      <c r="H27" s="394">
        <v>8</v>
      </c>
      <c r="I27" s="420">
        <v>8000000</v>
      </c>
      <c r="J27" s="420">
        <v>64000000</v>
      </c>
    </row>
    <row r="28" spans="1:12" ht="49.5" x14ac:dyDescent="0.25">
      <c r="B28" s="387"/>
      <c r="C28" s="418"/>
      <c r="D28" s="389"/>
      <c r="E28" s="387"/>
      <c r="F28" s="122" t="s">
        <v>258</v>
      </c>
      <c r="G28" s="395"/>
      <c r="H28" s="395"/>
      <c r="I28" s="421"/>
      <c r="J28" s="421"/>
    </row>
    <row r="29" spans="1:12" x14ac:dyDescent="0.2">
      <c r="B29" s="387"/>
      <c r="C29" s="418"/>
      <c r="D29" s="389"/>
      <c r="E29" s="387"/>
      <c r="F29" s="123"/>
      <c r="G29" s="395"/>
      <c r="H29" s="395"/>
      <c r="I29" s="421"/>
      <c r="J29" s="421"/>
    </row>
    <row r="30" spans="1:12" x14ac:dyDescent="0.25">
      <c r="B30" s="387"/>
      <c r="C30" s="418"/>
      <c r="D30" s="389"/>
      <c r="E30" s="387"/>
      <c r="F30" s="121" t="s">
        <v>259</v>
      </c>
      <c r="G30" s="395"/>
      <c r="H30" s="395"/>
      <c r="I30" s="421"/>
      <c r="J30" s="421"/>
    </row>
    <row r="31" spans="1:12" ht="24.75" x14ac:dyDescent="0.25">
      <c r="B31" s="387"/>
      <c r="C31" s="418"/>
      <c r="D31" s="389"/>
      <c r="E31" s="387"/>
      <c r="F31" s="122" t="s">
        <v>260</v>
      </c>
      <c r="G31" s="395"/>
      <c r="H31" s="395"/>
      <c r="I31" s="421"/>
      <c r="J31" s="421"/>
    </row>
    <row r="32" spans="1:12" x14ac:dyDescent="0.2">
      <c r="B32" s="387"/>
      <c r="C32" s="418"/>
      <c r="D32" s="389"/>
      <c r="E32" s="387"/>
      <c r="F32" s="123"/>
      <c r="G32" s="395"/>
      <c r="H32" s="395"/>
      <c r="I32" s="421"/>
      <c r="J32" s="421"/>
    </row>
    <row r="33" spans="2:10" x14ac:dyDescent="0.25">
      <c r="B33" s="387"/>
      <c r="C33" s="418"/>
      <c r="D33" s="389"/>
      <c r="E33" s="387"/>
      <c r="F33" s="121" t="s">
        <v>261</v>
      </c>
      <c r="G33" s="395"/>
      <c r="H33" s="395"/>
      <c r="I33" s="421"/>
      <c r="J33" s="421"/>
    </row>
    <row r="34" spans="2:10" ht="33" x14ac:dyDescent="0.25">
      <c r="B34" s="387"/>
      <c r="C34" s="418"/>
      <c r="D34" s="389"/>
      <c r="E34" s="387"/>
      <c r="F34" s="122" t="s">
        <v>262</v>
      </c>
      <c r="G34" s="395"/>
      <c r="H34" s="395"/>
      <c r="I34" s="421"/>
      <c r="J34" s="421"/>
    </row>
    <row r="35" spans="2:10" x14ac:dyDescent="0.2">
      <c r="B35" s="387"/>
      <c r="C35" s="418"/>
      <c r="D35" s="389"/>
      <c r="E35" s="387"/>
      <c r="F35" s="123"/>
      <c r="G35" s="395"/>
      <c r="H35" s="395"/>
      <c r="I35" s="421"/>
      <c r="J35" s="421"/>
    </row>
    <row r="36" spans="2:10" x14ac:dyDescent="0.25">
      <c r="B36" s="405"/>
      <c r="C36" s="418"/>
      <c r="D36" s="390"/>
      <c r="E36" s="405"/>
      <c r="F36" s="121" t="s">
        <v>263</v>
      </c>
      <c r="G36" s="396"/>
      <c r="H36" s="396"/>
      <c r="I36" s="422"/>
      <c r="J36" s="422"/>
    </row>
    <row r="37" spans="2:10" x14ac:dyDescent="0.25">
      <c r="B37" s="386" t="s">
        <v>80</v>
      </c>
      <c r="C37" s="418"/>
      <c r="D37" s="388">
        <v>2</v>
      </c>
      <c r="E37" s="391" t="s">
        <v>264</v>
      </c>
      <c r="F37" s="121" t="s">
        <v>257</v>
      </c>
      <c r="G37" s="394">
        <v>1</v>
      </c>
      <c r="H37" s="394">
        <v>8</v>
      </c>
      <c r="I37" s="383">
        <v>3381000</v>
      </c>
      <c r="J37" s="383">
        <v>27048000</v>
      </c>
    </row>
    <row r="38" spans="2:10" ht="24.75" x14ac:dyDescent="0.25">
      <c r="B38" s="387"/>
      <c r="C38" s="418"/>
      <c r="D38" s="389"/>
      <c r="E38" s="392"/>
      <c r="F38" s="122" t="s">
        <v>265</v>
      </c>
      <c r="G38" s="395"/>
      <c r="H38" s="395"/>
      <c r="I38" s="384"/>
      <c r="J38" s="384"/>
    </row>
    <row r="39" spans="2:10" x14ac:dyDescent="0.2">
      <c r="B39" s="387"/>
      <c r="C39" s="418"/>
      <c r="D39" s="389"/>
      <c r="E39" s="392"/>
      <c r="F39" s="123"/>
      <c r="G39" s="395"/>
      <c r="H39" s="395"/>
      <c r="I39" s="384"/>
      <c r="J39" s="384"/>
    </row>
    <row r="40" spans="2:10" x14ac:dyDescent="0.2">
      <c r="B40" s="387"/>
      <c r="C40" s="418"/>
      <c r="D40" s="389"/>
      <c r="E40" s="392"/>
      <c r="F40" s="123"/>
      <c r="G40" s="395"/>
      <c r="H40" s="395"/>
      <c r="I40" s="384"/>
      <c r="J40" s="384"/>
    </row>
    <row r="41" spans="2:10" x14ac:dyDescent="0.25">
      <c r="B41" s="387"/>
      <c r="C41" s="418"/>
      <c r="D41" s="389"/>
      <c r="E41" s="392"/>
      <c r="F41" s="121" t="s">
        <v>259</v>
      </c>
      <c r="G41" s="395"/>
      <c r="H41" s="395"/>
      <c r="I41" s="384"/>
      <c r="J41" s="384"/>
    </row>
    <row r="42" spans="2:10" ht="24.75" x14ac:dyDescent="0.25">
      <c r="B42" s="387"/>
      <c r="C42" s="418"/>
      <c r="D42" s="389"/>
      <c r="E42" s="392"/>
      <c r="F42" s="122" t="s">
        <v>266</v>
      </c>
      <c r="G42" s="395"/>
      <c r="H42" s="395"/>
      <c r="I42" s="384"/>
      <c r="J42" s="384"/>
    </row>
    <row r="43" spans="2:10" x14ac:dyDescent="0.2">
      <c r="B43" s="387"/>
      <c r="C43" s="418"/>
      <c r="D43" s="389"/>
      <c r="E43" s="392"/>
      <c r="F43" s="123"/>
      <c r="G43" s="395"/>
      <c r="H43" s="395"/>
      <c r="I43" s="384"/>
      <c r="J43" s="384"/>
    </row>
    <row r="44" spans="2:10" x14ac:dyDescent="0.25">
      <c r="B44" s="387"/>
      <c r="C44" s="418"/>
      <c r="D44" s="389"/>
      <c r="E44" s="392"/>
      <c r="F44" s="121" t="s">
        <v>261</v>
      </c>
      <c r="G44" s="395"/>
      <c r="H44" s="395"/>
      <c r="I44" s="384"/>
      <c r="J44" s="384"/>
    </row>
    <row r="45" spans="2:10" ht="16.5" x14ac:dyDescent="0.25">
      <c r="B45" s="387"/>
      <c r="C45" s="418"/>
      <c r="D45" s="389"/>
      <c r="E45" s="392"/>
      <c r="F45" s="122" t="s">
        <v>267</v>
      </c>
      <c r="G45" s="395"/>
      <c r="H45" s="395"/>
      <c r="I45" s="384"/>
      <c r="J45" s="384"/>
    </row>
    <row r="46" spans="2:10" x14ac:dyDescent="0.2">
      <c r="B46" s="405"/>
      <c r="C46" s="418"/>
      <c r="D46" s="389"/>
      <c r="E46" s="392"/>
      <c r="F46" s="123"/>
      <c r="G46" s="395"/>
      <c r="H46" s="395"/>
      <c r="I46" s="384"/>
      <c r="J46" s="384"/>
    </row>
    <row r="47" spans="2:10" x14ac:dyDescent="0.25">
      <c r="B47" s="386"/>
      <c r="C47" s="418"/>
      <c r="D47" s="390"/>
      <c r="E47" s="393"/>
      <c r="F47" s="121" t="s">
        <v>263</v>
      </c>
      <c r="G47" s="396"/>
      <c r="H47" s="396"/>
      <c r="I47" s="385"/>
      <c r="J47" s="385"/>
    </row>
    <row r="48" spans="2:10" x14ac:dyDescent="0.25">
      <c r="B48" s="387" t="s">
        <v>180</v>
      </c>
      <c r="C48" s="418"/>
      <c r="D48" s="388">
        <v>3</v>
      </c>
      <c r="E48" s="406" t="s">
        <v>268</v>
      </c>
      <c r="F48" s="121" t="s">
        <v>257</v>
      </c>
      <c r="G48" s="394">
        <v>2</v>
      </c>
      <c r="H48" s="394">
        <v>2</v>
      </c>
      <c r="I48" s="409">
        <v>5000000</v>
      </c>
      <c r="J48" s="409">
        <v>20000000</v>
      </c>
    </row>
    <row r="49" spans="2:10" ht="16.5" x14ac:dyDescent="0.25">
      <c r="B49" s="387"/>
      <c r="C49" s="418"/>
      <c r="D49" s="389"/>
      <c r="E49" s="407"/>
      <c r="F49" s="122" t="s">
        <v>269</v>
      </c>
      <c r="G49" s="395"/>
      <c r="H49" s="395"/>
      <c r="I49" s="410"/>
      <c r="J49" s="410"/>
    </row>
    <row r="50" spans="2:10" x14ac:dyDescent="0.2">
      <c r="B50" s="387"/>
      <c r="C50" s="418"/>
      <c r="D50" s="389"/>
      <c r="E50" s="407"/>
      <c r="F50" s="123"/>
      <c r="G50" s="395"/>
      <c r="H50" s="395"/>
      <c r="I50" s="410"/>
      <c r="J50" s="410"/>
    </row>
    <row r="51" spans="2:10" x14ac:dyDescent="0.2">
      <c r="B51" s="387"/>
      <c r="C51" s="418"/>
      <c r="D51" s="389"/>
      <c r="E51" s="407"/>
      <c r="F51" s="123"/>
      <c r="G51" s="395"/>
      <c r="H51" s="395"/>
      <c r="I51" s="410"/>
      <c r="J51" s="410"/>
    </row>
    <row r="52" spans="2:10" x14ac:dyDescent="0.25">
      <c r="B52" s="387"/>
      <c r="C52" s="418"/>
      <c r="D52" s="389"/>
      <c r="E52" s="407"/>
      <c r="F52" s="121" t="s">
        <v>259</v>
      </c>
      <c r="G52" s="395"/>
      <c r="H52" s="395"/>
      <c r="I52" s="410"/>
      <c r="J52" s="410"/>
    </row>
    <row r="53" spans="2:10" ht="24.75" x14ac:dyDescent="0.25">
      <c r="B53" s="387"/>
      <c r="C53" s="418"/>
      <c r="D53" s="389"/>
      <c r="E53" s="407"/>
      <c r="F53" s="122" t="s">
        <v>270</v>
      </c>
      <c r="G53" s="395"/>
      <c r="H53" s="395"/>
      <c r="I53" s="410"/>
      <c r="J53" s="410"/>
    </row>
    <row r="54" spans="2:10" x14ac:dyDescent="0.2">
      <c r="B54" s="387"/>
      <c r="C54" s="418"/>
      <c r="D54" s="389"/>
      <c r="E54" s="407"/>
      <c r="F54" s="123"/>
      <c r="G54" s="395"/>
      <c r="H54" s="395"/>
      <c r="I54" s="410"/>
      <c r="J54" s="410"/>
    </row>
    <row r="55" spans="2:10" x14ac:dyDescent="0.2">
      <c r="B55" s="387"/>
      <c r="C55" s="418"/>
      <c r="D55" s="389"/>
      <c r="E55" s="407"/>
      <c r="F55" s="123"/>
      <c r="G55" s="395"/>
      <c r="H55" s="395"/>
      <c r="I55" s="410"/>
      <c r="J55" s="410"/>
    </row>
    <row r="56" spans="2:10" x14ac:dyDescent="0.25">
      <c r="B56" s="405"/>
      <c r="C56" s="418"/>
      <c r="D56" s="389"/>
      <c r="E56" s="407"/>
      <c r="F56" s="121" t="s">
        <v>261</v>
      </c>
      <c r="G56" s="395"/>
      <c r="H56" s="395"/>
      <c r="I56" s="410"/>
      <c r="J56" s="410"/>
    </row>
    <row r="57" spans="2:10" ht="20.25" x14ac:dyDescent="0.25">
      <c r="B57" s="386"/>
      <c r="C57" s="418"/>
      <c r="D57" s="390"/>
      <c r="E57" s="408"/>
      <c r="F57" s="89" t="s">
        <v>271</v>
      </c>
      <c r="G57" s="396"/>
      <c r="H57" s="396"/>
      <c r="I57" s="411"/>
      <c r="J57" s="411"/>
    </row>
    <row r="58" spans="2:10" x14ac:dyDescent="0.25">
      <c r="B58" s="387" t="s">
        <v>180</v>
      </c>
      <c r="C58" s="418"/>
      <c r="D58" s="388">
        <v>4</v>
      </c>
      <c r="E58" s="406" t="s">
        <v>272</v>
      </c>
      <c r="F58" s="121" t="s">
        <v>257</v>
      </c>
      <c r="G58" s="394">
        <v>2</v>
      </c>
      <c r="H58" s="394">
        <v>2</v>
      </c>
      <c r="I58" s="409">
        <v>5000000</v>
      </c>
      <c r="J58" s="383">
        <v>20000000</v>
      </c>
    </row>
    <row r="59" spans="2:10" ht="16.5" x14ac:dyDescent="0.25">
      <c r="B59" s="387"/>
      <c r="C59" s="418"/>
      <c r="D59" s="389"/>
      <c r="E59" s="407"/>
      <c r="F59" s="122" t="s">
        <v>273</v>
      </c>
      <c r="G59" s="395"/>
      <c r="H59" s="395"/>
      <c r="I59" s="410"/>
      <c r="J59" s="384"/>
    </row>
    <row r="60" spans="2:10" x14ac:dyDescent="0.2">
      <c r="B60" s="387"/>
      <c r="C60" s="418"/>
      <c r="D60" s="389"/>
      <c r="E60" s="407"/>
      <c r="F60" s="123"/>
      <c r="G60" s="395"/>
      <c r="H60" s="395"/>
      <c r="I60" s="410"/>
      <c r="J60" s="384"/>
    </row>
    <row r="61" spans="2:10" x14ac:dyDescent="0.25">
      <c r="B61" s="387"/>
      <c r="C61" s="418"/>
      <c r="D61" s="389"/>
      <c r="E61" s="407"/>
      <c r="F61" s="121" t="s">
        <v>259</v>
      </c>
      <c r="G61" s="395"/>
      <c r="H61" s="395"/>
      <c r="I61" s="410"/>
      <c r="J61" s="384"/>
    </row>
    <row r="62" spans="2:10" ht="24.75" x14ac:dyDescent="0.25">
      <c r="B62" s="387"/>
      <c r="C62" s="418"/>
      <c r="D62" s="389"/>
      <c r="E62" s="407"/>
      <c r="F62" s="122" t="s">
        <v>270</v>
      </c>
      <c r="G62" s="395"/>
      <c r="H62" s="395"/>
      <c r="I62" s="410"/>
      <c r="J62" s="384"/>
    </row>
    <row r="63" spans="2:10" x14ac:dyDescent="0.2">
      <c r="B63" s="387"/>
      <c r="C63" s="418"/>
      <c r="D63" s="389"/>
      <c r="E63" s="407"/>
      <c r="F63" s="123"/>
      <c r="G63" s="395"/>
      <c r="H63" s="395"/>
      <c r="I63" s="410"/>
      <c r="J63" s="384"/>
    </row>
    <row r="64" spans="2:10" x14ac:dyDescent="0.25">
      <c r="B64" s="387"/>
      <c r="C64" s="418"/>
      <c r="D64" s="389"/>
      <c r="E64" s="407"/>
      <c r="F64" s="121" t="s">
        <v>261</v>
      </c>
      <c r="G64" s="395"/>
      <c r="H64" s="395"/>
      <c r="I64" s="410"/>
      <c r="J64" s="384"/>
    </row>
    <row r="65" spans="2:10" ht="20.25" x14ac:dyDescent="0.25">
      <c r="B65" s="387"/>
      <c r="C65" s="418"/>
      <c r="D65" s="390"/>
      <c r="E65" s="408"/>
      <c r="F65" s="89" t="s">
        <v>271</v>
      </c>
      <c r="G65" s="396"/>
      <c r="H65" s="396"/>
      <c r="I65" s="411"/>
      <c r="J65" s="385"/>
    </row>
    <row r="66" spans="2:10" x14ac:dyDescent="0.25">
      <c r="B66" s="405" t="s">
        <v>183</v>
      </c>
      <c r="C66" s="418"/>
      <c r="D66" s="388">
        <v>5</v>
      </c>
      <c r="E66" s="406" t="s">
        <v>268</v>
      </c>
      <c r="F66" s="121" t="s">
        <v>257</v>
      </c>
      <c r="G66" s="394">
        <v>4</v>
      </c>
      <c r="H66" s="394">
        <v>3</v>
      </c>
      <c r="I66" s="409">
        <v>5000000</v>
      </c>
      <c r="J66" s="383">
        <v>60000000</v>
      </c>
    </row>
    <row r="67" spans="2:10" ht="16.5" x14ac:dyDescent="0.25">
      <c r="B67" s="386"/>
      <c r="C67" s="418"/>
      <c r="D67" s="389"/>
      <c r="E67" s="407"/>
      <c r="F67" s="122" t="s">
        <v>269</v>
      </c>
      <c r="G67" s="395"/>
      <c r="H67" s="395"/>
      <c r="I67" s="410"/>
      <c r="J67" s="384"/>
    </row>
    <row r="68" spans="2:10" x14ac:dyDescent="0.2">
      <c r="B68" s="387"/>
      <c r="C68" s="418"/>
      <c r="D68" s="389"/>
      <c r="E68" s="407"/>
      <c r="F68" s="123"/>
      <c r="G68" s="395"/>
      <c r="H68" s="395"/>
      <c r="I68" s="410"/>
      <c r="J68" s="384"/>
    </row>
    <row r="69" spans="2:10" x14ac:dyDescent="0.2">
      <c r="B69" s="387"/>
      <c r="C69" s="418"/>
      <c r="D69" s="389"/>
      <c r="E69" s="407"/>
      <c r="F69" s="123"/>
      <c r="G69" s="395"/>
      <c r="H69" s="395"/>
      <c r="I69" s="410"/>
      <c r="J69" s="384"/>
    </row>
    <row r="70" spans="2:10" x14ac:dyDescent="0.25">
      <c r="B70" s="387"/>
      <c r="C70" s="418"/>
      <c r="D70" s="389"/>
      <c r="E70" s="407"/>
      <c r="F70" s="121" t="s">
        <v>259</v>
      </c>
      <c r="G70" s="395"/>
      <c r="H70" s="395"/>
      <c r="I70" s="410"/>
      <c r="J70" s="384"/>
    </row>
    <row r="71" spans="2:10" ht="24.75" x14ac:dyDescent="0.25">
      <c r="B71" s="387"/>
      <c r="C71" s="418"/>
      <c r="D71" s="389"/>
      <c r="E71" s="407"/>
      <c r="F71" s="122" t="s">
        <v>270</v>
      </c>
      <c r="G71" s="395"/>
      <c r="H71" s="395"/>
      <c r="I71" s="410"/>
      <c r="J71" s="384"/>
    </row>
    <row r="72" spans="2:10" x14ac:dyDescent="0.2">
      <c r="B72" s="387"/>
      <c r="C72" s="418"/>
      <c r="D72" s="389"/>
      <c r="E72" s="407"/>
      <c r="F72" s="123"/>
      <c r="G72" s="395"/>
      <c r="H72" s="395"/>
      <c r="I72" s="410"/>
      <c r="J72" s="384"/>
    </row>
    <row r="73" spans="2:10" x14ac:dyDescent="0.2">
      <c r="B73" s="387"/>
      <c r="C73" s="418"/>
      <c r="D73" s="389"/>
      <c r="E73" s="407"/>
      <c r="F73" s="123"/>
      <c r="G73" s="395"/>
      <c r="H73" s="395"/>
      <c r="I73" s="410"/>
      <c r="J73" s="384"/>
    </row>
    <row r="74" spans="2:10" x14ac:dyDescent="0.25">
      <c r="B74" s="387"/>
      <c r="C74" s="418"/>
      <c r="D74" s="389"/>
      <c r="E74" s="407"/>
      <c r="F74" s="121" t="s">
        <v>261</v>
      </c>
      <c r="G74" s="395"/>
      <c r="H74" s="395"/>
      <c r="I74" s="410"/>
      <c r="J74" s="384"/>
    </row>
    <row r="75" spans="2:10" ht="20.25" x14ac:dyDescent="0.25">
      <c r="B75" s="387"/>
      <c r="C75" s="418"/>
      <c r="D75" s="390"/>
      <c r="E75" s="408"/>
      <c r="F75" s="89" t="s">
        <v>271</v>
      </c>
      <c r="G75" s="396"/>
      <c r="H75" s="396"/>
      <c r="I75" s="411"/>
      <c r="J75" s="385"/>
    </row>
    <row r="76" spans="2:10" x14ac:dyDescent="0.25">
      <c r="B76" s="405" t="s">
        <v>183</v>
      </c>
      <c r="C76" s="418"/>
      <c r="D76" s="388">
        <v>6</v>
      </c>
      <c r="E76" s="406" t="s">
        <v>272</v>
      </c>
      <c r="F76" s="121" t="s">
        <v>257</v>
      </c>
      <c r="G76" s="394">
        <v>4</v>
      </c>
      <c r="H76" s="394">
        <v>3</v>
      </c>
      <c r="I76" s="409">
        <v>5000000</v>
      </c>
      <c r="J76" s="383">
        <v>60000000</v>
      </c>
    </row>
    <row r="77" spans="2:10" ht="16.5" x14ac:dyDescent="0.25">
      <c r="B77" s="386"/>
      <c r="C77" s="418"/>
      <c r="D77" s="389"/>
      <c r="E77" s="407"/>
      <c r="F77" s="122" t="s">
        <v>273</v>
      </c>
      <c r="G77" s="395"/>
      <c r="H77" s="395"/>
      <c r="I77" s="410"/>
      <c r="J77" s="384"/>
    </row>
    <row r="78" spans="2:10" x14ac:dyDescent="0.2">
      <c r="B78" s="387"/>
      <c r="C78" s="418"/>
      <c r="D78" s="389"/>
      <c r="E78" s="407"/>
      <c r="F78" s="123"/>
      <c r="G78" s="395"/>
      <c r="H78" s="395"/>
      <c r="I78" s="410"/>
      <c r="J78" s="384"/>
    </row>
    <row r="79" spans="2:10" x14ac:dyDescent="0.25">
      <c r="B79" s="387"/>
      <c r="C79" s="418"/>
      <c r="D79" s="389"/>
      <c r="E79" s="407"/>
      <c r="F79" s="121" t="s">
        <v>259</v>
      </c>
      <c r="G79" s="395"/>
      <c r="H79" s="395"/>
      <c r="I79" s="410"/>
      <c r="J79" s="384"/>
    </row>
    <row r="80" spans="2:10" ht="24.75" x14ac:dyDescent="0.25">
      <c r="B80" s="387"/>
      <c r="C80" s="418"/>
      <c r="D80" s="389"/>
      <c r="E80" s="407"/>
      <c r="F80" s="122" t="s">
        <v>270</v>
      </c>
      <c r="G80" s="395"/>
      <c r="H80" s="395"/>
      <c r="I80" s="410"/>
      <c r="J80" s="384"/>
    </row>
    <row r="81" spans="2:10" x14ac:dyDescent="0.2">
      <c r="B81" s="387"/>
      <c r="C81" s="418"/>
      <c r="D81" s="389"/>
      <c r="E81" s="407"/>
      <c r="F81" s="123"/>
      <c r="G81" s="395"/>
      <c r="H81" s="395"/>
      <c r="I81" s="410"/>
      <c r="J81" s="384"/>
    </row>
    <row r="82" spans="2:10" x14ac:dyDescent="0.25">
      <c r="B82" s="387"/>
      <c r="C82" s="418"/>
      <c r="D82" s="389"/>
      <c r="E82" s="407"/>
      <c r="F82" s="121" t="s">
        <v>261</v>
      </c>
      <c r="G82" s="395"/>
      <c r="H82" s="395"/>
      <c r="I82" s="410"/>
      <c r="J82" s="384"/>
    </row>
    <row r="83" spans="2:10" ht="20.25" x14ac:dyDescent="0.25">
      <c r="B83" s="387"/>
      <c r="C83" s="418"/>
      <c r="D83" s="390"/>
      <c r="E83" s="408"/>
      <c r="F83" s="89" t="s">
        <v>271</v>
      </c>
      <c r="G83" s="396"/>
      <c r="H83" s="396"/>
      <c r="I83" s="411"/>
      <c r="J83" s="385"/>
    </row>
    <row r="84" spans="2:10" x14ac:dyDescent="0.25">
      <c r="B84" s="387" t="s">
        <v>184</v>
      </c>
      <c r="C84" s="418"/>
      <c r="D84" s="388">
        <v>7</v>
      </c>
      <c r="E84" s="406" t="s">
        <v>268</v>
      </c>
      <c r="F84" s="121" t="s">
        <v>257</v>
      </c>
      <c r="G84" s="394">
        <v>4</v>
      </c>
      <c r="H84" s="394">
        <v>3</v>
      </c>
      <c r="I84" s="409">
        <v>5000000</v>
      </c>
      <c r="J84" s="383">
        <v>60000000</v>
      </c>
    </row>
    <row r="85" spans="2:10" ht="16.5" x14ac:dyDescent="0.25">
      <c r="B85" s="387"/>
      <c r="C85" s="418"/>
      <c r="D85" s="389"/>
      <c r="E85" s="407"/>
      <c r="F85" s="122" t="s">
        <v>269</v>
      </c>
      <c r="G85" s="395"/>
      <c r="H85" s="395"/>
      <c r="I85" s="410"/>
      <c r="J85" s="384"/>
    </row>
    <row r="86" spans="2:10" x14ac:dyDescent="0.2">
      <c r="B86" s="405"/>
      <c r="C86" s="418"/>
      <c r="D86" s="389"/>
      <c r="E86" s="407"/>
      <c r="F86" s="123"/>
      <c r="G86" s="395"/>
      <c r="H86" s="395"/>
      <c r="I86" s="410"/>
      <c r="J86" s="384"/>
    </row>
    <row r="87" spans="2:10" x14ac:dyDescent="0.2">
      <c r="B87" s="386"/>
      <c r="C87" s="418"/>
      <c r="D87" s="389"/>
      <c r="E87" s="407"/>
      <c r="F87" s="123"/>
      <c r="G87" s="395"/>
      <c r="H87" s="395"/>
      <c r="I87" s="410"/>
      <c r="J87" s="384"/>
    </row>
    <row r="88" spans="2:10" x14ac:dyDescent="0.25">
      <c r="B88" s="387"/>
      <c r="C88" s="418"/>
      <c r="D88" s="389"/>
      <c r="E88" s="407"/>
      <c r="F88" s="121" t="s">
        <v>259</v>
      </c>
      <c r="G88" s="395"/>
      <c r="H88" s="395"/>
      <c r="I88" s="410"/>
      <c r="J88" s="384"/>
    </row>
    <row r="89" spans="2:10" ht="24.75" x14ac:dyDescent="0.25">
      <c r="B89" s="387"/>
      <c r="C89" s="418"/>
      <c r="D89" s="389"/>
      <c r="E89" s="407"/>
      <c r="F89" s="122" t="s">
        <v>270</v>
      </c>
      <c r="G89" s="395"/>
      <c r="H89" s="395"/>
      <c r="I89" s="410"/>
      <c r="J89" s="384"/>
    </row>
    <row r="90" spans="2:10" x14ac:dyDescent="0.2">
      <c r="B90" s="387"/>
      <c r="C90" s="418"/>
      <c r="D90" s="389"/>
      <c r="E90" s="407"/>
      <c r="F90" s="123"/>
      <c r="G90" s="395"/>
      <c r="H90" s="395"/>
      <c r="I90" s="410"/>
      <c r="J90" s="384"/>
    </row>
    <row r="91" spans="2:10" x14ac:dyDescent="0.2">
      <c r="B91" s="387"/>
      <c r="C91" s="418"/>
      <c r="D91" s="389"/>
      <c r="E91" s="407"/>
      <c r="F91" s="123"/>
      <c r="G91" s="395"/>
      <c r="H91" s="395"/>
      <c r="I91" s="410"/>
      <c r="J91" s="384"/>
    </row>
    <row r="92" spans="2:10" x14ac:dyDescent="0.25">
      <c r="B92" s="387"/>
      <c r="C92" s="418"/>
      <c r="D92" s="389"/>
      <c r="E92" s="407"/>
      <c r="F92" s="121" t="s">
        <v>261</v>
      </c>
      <c r="G92" s="395"/>
      <c r="H92" s="395"/>
      <c r="I92" s="410"/>
      <c r="J92" s="384"/>
    </row>
    <row r="93" spans="2:10" ht="20.25" x14ac:dyDescent="0.25">
      <c r="B93" s="387"/>
      <c r="C93" s="418"/>
      <c r="D93" s="390"/>
      <c r="E93" s="408"/>
      <c r="F93" s="89" t="s">
        <v>271</v>
      </c>
      <c r="G93" s="396"/>
      <c r="H93" s="396"/>
      <c r="I93" s="411"/>
      <c r="J93" s="385"/>
    </row>
    <row r="94" spans="2:10" x14ac:dyDescent="0.25">
      <c r="B94" s="387" t="s">
        <v>184</v>
      </c>
      <c r="C94" s="418"/>
      <c r="D94" s="388">
        <v>8</v>
      </c>
      <c r="E94" s="406" t="s">
        <v>272</v>
      </c>
      <c r="F94" s="121" t="s">
        <v>257</v>
      </c>
      <c r="G94" s="394">
        <v>4</v>
      </c>
      <c r="H94" s="394">
        <v>3</v>
      </c>
      <c r="I94" s="409">
        <v>5000000</v>
      </c>
      <c r="J94" s="383">
        <v>60000000</v>
      </c>
    </row>
    <row r="95" spans="2:10" ht="16.5" x14ac:dyDescent="0.25">
      <c r="B95" s="387"/>
      <c r="C95" s="418"/>
      <c r="D95" s="389"/>
      <c r="E95" s="407"/>
      <c r="F95" s="122" t="s">
        <v>273</v>
      </c>
      <c r="G95" s="395"/>
      <c r="H95" s="395"/>
      <c r="I95" s="410"/>
      <c r="J95" s="384"/>
    </row>
    <row r="96" spans="2:10" x14ac:dyDescent="0.2">
      <c r="B96" s="405"/>
      <c r="C96" s="418"/>
      <c r="D96" s="389"/>
      <c r="E96" s="407"/>
      <c r="F96" s="123"/>
      <c r="G96" s="395"/>
      <c r="H96" s="395"/>
      <c r="I96" s="410"/>
      <c r="J96" s="384"/>
    </row>
    <row r="97" spans="2:10" x14ac:dyDescent="0.25">
      <c r="B97" s="386"/>
      <c r="C97" s="418"/>
      <c r="D97" s="389"/>
      <c r="E97" s="407"/>
      <c r="F97" s="121" t="s">
        <v>259</v>
      </c>
      <c r="G97" s="395"/>
      <c r="H97" s="395"/>
      <c r="I97" s="410"/>
      <c r="J97" s="384"/>
    </row>
    <row r="98" spans="2:10" ht="24.75" x14ac:dyDescent="0.25">
      <c r="B98" s="387"/>
      <c r="C98" s="418"/>
      <c r="D98" s="389"/>
      <c r="E98" s="407"/>
      <c r="F98" s="122" t="s">
        <v>270</v>
      </c>
      <c r="G98" s="395"/>
      <c r="H98" s="395"/>
      <c r="I98" s="410"/>
      <c r="J98" s="384"/>
    </row>
    <row r="99" spans="2:10" x14ac:dyDescent="0.2">
      <c r="B99" s="387"/>
      <c r="C99" s="418"/>
      <c r="D99" s="389"/>
      <c r="E99" s="407"/>
      <c r="F99" s="123"/>
      <c r="G99" s="395"/>
      <c r="H99" s="395"/>
      <c r="I99" s="410"/>
      <c r="J99" s="384"/>
    </row>
    <row r="100" spans="2:10" x14ac:dyDescent="0.25">
      <c r="B100" s="387"/>
      <c r="C100" s="418"/>
      <c r="D100" s="389"/>
      <c r="E100" s="407"/>
      <c r="F100" s="121" t="s">
        <v>261</v>
      </c>
      <c r="G100" s="395"/>
      <c r="H100" s="395"/>
      <c r="I100" s="410"/>
      <c r="J100" s="384"/>
    </row>
    <row r="101" spans="2:10" ht="20.25" x14ac:dyDescent="0.25">
      <c r="B101" s="387"/>
      <c r="C101" s="418"/>
      <c r="D101" s="390"/>
      <c r="E101" s="408"/>
      <c r="F101" s="89" t="s">
        <v>271</v>
      </c>
      <c r="G101" s="396"/>
      <c r="H101" s="396"/>
      <c r="I101" s="411"/>
      <c r="J101" s="385"/>
    </row>
    <row r="102" spans="2:10" x14ac:dyDescent="0.25">
      <c r="B102" s="387" t="s">
        <v>185</v>
      </c>
      <c r="C102" s="418"/>
      <c r="D102" s="412"/>
      <c r="E102" s="124"/>
      <c r="F102" s="121" t="s">
        <v>257</v>
      </c>
      <c r="G102" s="105"/>
      <c r="H102" s="105"/>
      <c r="I102" s="105"/>
      <c r="J102" s="412"/>
    </row>
    <row r="103" spans="2:10" ht="24.75" x14ac:dyDescent="0.25">
      <c r="B103" s="387"/>
      <c r="C103" s="418"/>
      <c r="D103" s="413"/>
      <c r="E103" s="125"/>
      <c r="F103" s="122" t="s">
        <v>274</v>
      </c>
      <c r="G103" s="106"/>
      <c r="H103" s="106"/>
      <c r="I103" s="106"/>
      <c r="J103" s="413"/>
    </row>
    <row r="104" spans="2:10" x14ac:dyDescent="0.25">
      <c r="B104" s="387"/>
      <c r="C104" s="418"/>
      <c r="D104" s="397">
        <v>9</v>
      </c>
      <c r="E104" s="399" t="s">
        <v>275</v>
      </c>
      <c r="F104" s="121" t="s">
        <v>259</v>
      </c>
      <c r="G104" s="401">
        <v>2</v>
      </c>
      <c r="H104" s="401">
        <v>2</v>
      </c>
      <c r="I104" s="403">
        <v>5000000</v>
      </c>
      <c r="J104" s="403">
        <v>20000000</v>
      </c>
    </row>
    <row r="105" spans="2:10" ht="24.75" x14ac:dyDescent="0.25">
      <c r="B105" s="387"/>
      <c r="C105" s="418"/>
      <c r="D105" s="397"/>
      <c r="E105" s="399"/>
      <c r="F105" s="122" t="s">
        <v>270</v>
      </c>
      <c r="G105" s="401"/>
      <c r="H105" s="401"/>
      <c r="I105" s="403"/>
      <c r="J105" s="403"/>
    </row>
    <row r="106" spans="2:10" x14ac:dyDescent="0.2">
      <c r="B106" s="405"/>
      <c r="C106" s="418"/>
      <c r="D106" s="397"/>
      <c r="E106" s="399"/>
      <c r="F106" s="123"/>
      <c r="G106" s="401"/>
      <c r="H106" s="401"/>
      <c r="I106" s="403"/>
      <c r="J106" s="403"/>
    </row>
    <row r="107" spans="2:10" x14ac:dyDescent="0.25">
      <c r="B107" s="386"/>
      <c r="C107" s="418"/>
      <c r="D107" s="397"/>
      <c r="E107" s="399"/>
      <c r="F107" s="121" t="s">
        <v>261</v>
      </c>
      <c r="G107" s="401"/>
      <c r="H107" s="401"/>
      <c r="I107" s="403"/>
      <c r="J107" s="403"/>
    </row>
    <row r="108" spans="2:10" ht="20.25" x14ac:dyDescent="0.25">
      <c r="B108" s="387"/>
      <c r="C108" s="418"/>
      <c r="D108" s="398"/>
      <c r="E108" s="400"/>
      <c r="F108" s="89" t="s">
        <v>276</v>
      </c>
      <c r="G108" s="402"/>
      <c r="H108" s="402"/>
      <c r="I108" s="404"/>
      <c r="J108" s="404"/>
    </row>
    <row r="109" spans="2:10" x14ac:dyDescent="0.25">
      <c r="B109" s="387" t="s">
        <v>108</v>
      </c>
      <c r="C109" s="418"/>
      <c r="D109" s="388">
        <v>10</v>
      </c>
      <c r="E109" s="391" t="s">
        <v>268</v>
      </c>
      <c r="F109" s="121" t="s">
        <v>257</v>
      </c>
      <c r="G109" s="394">
        <v>4</v>
      </c>
      <c r="H109" s="394">
        <v>6</v>
      </c>
      <c r="I109" s="383">
        <v>5000000</v>
      </c>
      <c r="J109" s="383">
        <v>120000000</v>
      </c>
    </row>
    <row r="110" spans="2:10" ht="16.5" x14ac:dyDescent="0.25">
      <c r="B110" s="387"/>
      <c r="C110" s="418"/>
      <c r="D110" s="389"/>
      <c r="E110" s="392"/>
      <c r="F110" s="122" t="s">
        <v>269</v>
      </c>
      <c r="G110" s="395"/>
      <c r="H110" s="395"/>
      <c r="I110" s="384"/>
      <c r="J110" s="384"/>
    </row>
    <row r="111" spans="2:10" x14ac:dyDescent="0.2">
      <c r="B111" s="387"/>
      <c r="C111" s="418"/>
      <c r="D111" s="389"/>
      <c r="E111" s="392"/>
      <c r="F111" s="123"/>
      <c r="G111" s="395"/>
      <c r="H111" s="395"/>
      <c r="I111" s="384"/>
      <c r="J111" s="384"/>
    </row>
    <row r="112" spans="2:10" x14ac:dyDescent="0.25">
      <c r="B112" s="387"/>
      <c r="C112" s="418"/>
      <c r="D112" s="389"/>
      <c r="E112" s="392"/>
      <c r="F112" s="121" t="s">
        <v>259</v>
      </c>
      <c r="G112" s="395"/>
      <c r="H112" s="395"/>
      <c r="I112" s="384"/>
      <c r="J112" s="384"/>
    </row>
    <row r="113" spans="2:10" ht="24.75" x14ac:dyDescent="0.25">
      <c r="B113" s="387"/>
      <c r="C113" s="418"/>
      <c r="D113" s="389"/>
      <c r="E113" s="392"/>
      <c r="F113" s="122" t="s">
        <v>270</v>
      </c>
      <c r="G113" s="395"/>
      <c r="H113" s="395"/>
      <c r="I113" s="384"/>
      <c r="J113" s="384"/>
    </row>
    <row r="114" spans="2:10" x14ac:dyDescent="0.2">
      <c r="B114" s="387"/>
      <c r="C114" s="418"/>
      <c r="D114" s="389"/>
      <c r="E114" s="392"/>
      <c r="F114" s="123"/>
      <c r="G114" s="395"/>
      <c r="H114" s="395"/>
      <c r="I114" s="384"/>
      <c r="J114" s="384"/>
    </row>
    <row r="115" spans="2:10" x14ac:dyDescent="0.25">
      <c r="B115" s="387"/>
      <c r="C115" s="418"/>
      <c r="D115" s="389"/>
      <c r="E115" s="392"/>
      <c r="F115" s="121" t="s">
        <v>261</v>
      </c>
      <c r="G115" s="395"/>
      <c r="H115" s="395"/>
      <c r="I115" s="384"/>
      <c r="J115" s="384"/>
    </row>
    <row r="116" spans="2:10" x14ac:dyDescent="0.25">
      <c r="B116" s="405"/>
      <c r="C116" s="418"/>
      <c r="D116" s="390"/>
      <c r="E116" s="393"/>
      <c r="F116" s="126" t="s">
        <v>277</v>
      </c>
      <c r="G116" s="396"/>
      <c r="H116" s="396"/>
      <c r="I116" s="385"/>
      <c r="J116" s="385"/>
    </row>
    <row r="117" spans="2:10" x14ac:dyDescent="0.25">
      <c r="B117" s="386" t="s">
        <v>108</v>
      </c>
      <c r="C117" s="418"/>
      <c r="D117" s="388">
        <v>11</v>
      </c>
      <c r="E117" s="391" t="s">
        <v>278</v>
      </c>
      <c r="F117" s="121" t="s">
        <v>257</v>
      </c>
      <c r="G117" s="394">
        <v>4</v>
      </c>
      <c r="H117" s="394">
        <v>6</v>
      </c>
      <c r="I117" s="383">
        <v>5000000</v>
      </c>
      <c r="J117" s="383">
        <v>120000000</v>
      </c>
    </row>
    <row r="118" spans="2:10" ht="16.5" x14ac:dyDescent="0.25">
      <c r="B118" s="387"/>
      <c r="C118" s="418"/>
      <c r="D118" s="389"/>
      <c r="E118" s="392"/>
      <c r="F118" s="122" t="s">
        <v>273</v>
      </c>
      <c r="G118" s="395"/>
      <c r="H118" s="395"/>
      <c r="I118" s="384"/>
      <c r="J118" s="384"/>
    </row>
    <row r="119" spans="2:10" x14ac:dyDescent="0.2">
      <c r="B119" s="387"/>
      <c r="C119" s="418"/>
      <c r="D119" s="389"/>
      <c r="E119" s="392"/>
      <c r="F119" s="123"/>
      <c r="G119" s="395"/>
      <c r="H119" s="395"/>
      <c r="I119" s="384"/>
      <c r="J119" s="384"/>
    </row>
    <row r="120" spans="2:10" x14ac:dyDescent="0.25">
      <c r="B120" s="387"/>
      <c r="C120" s="418"/>
      <c r="D120" s="389"/>
      <c r="E120" s="392"/>
      <c r="F120" s="121" t="s">
        <v>259</v>
      </c>
      <c r="G120" s="395"/>
      <c r="H120" s="395"/>
      <c r="I120" s="384"/>
      <c r="J120" s="384"/>
    </row>
    <row r="121" spans="2:10" ht="24.75" x14ac:dyDescent="0.25">
      <c r="B121" s="387"/>
      <c r="C121" s="418"/>
      <c r="D121" s="389"/>
      <c r="E121" s="392"/>
      <c r="F121" s="122" t="s">
        <v>270</v>
      </c>
      <c r="G121" s="395"/>
      <c r="H121" s="395"/>
      <c r="I121" s="384"/>
      <c r="J121" s="384"/>
    </row>
    <row r="122" spans="2:10" x14ac:dyDescent="0.2">
      <c r="B122" s="387"/>
      <c r="C122" s="418"/>
      <c r="D122" s="389"/>
      <c r="E122" s="392"/>
      <c r="F122" s="123"/>
      <c r="G122" s="395"/>
      <c r="H122" s="395"/>
      <c r="I122" s="384"/>
      <c r="J122" s="384"/>
    </row>
    <row r="123" spans="2:10" x14ac:dyDescent="0.25">
      <c r="B123" s="387"/>
      <c r="C123" s="418"/>
      <c r="D123" s="389"/>
      <c r="E123" s="392"/>
      <c r="F123" s="121" t="s">
        <v>261</v>
      </c>
      <c r="G123" s="395"/>
      <c r="H123" s="395"/>
      <c r="I123" s="384"/>
      <c r="J123" s="384"/>
    </row>
    <row r="124" spans="2:10" ht="20.25" x14ac:dyDescent="0.25">
      <c r="B124" s="387"/>
      <c r="C124" s="419"/>
      <c r="D124" s="390"/>
      <c r="E124" s="393"/>
      <c r="F124" s="89" t="s">
        <v>279</v>
      </c>
      <c r="G124" s="396"/>
      <c r="H124" s="396"/>
      <c r="I124" s="385"/>
      <c r="J124" s="385"/>
    </row>
    <row r="125" spans="2:10" ht="81.75" customHeight="1" x14ac:dyDescent="0.25">
      <c r="B125" s="380" t="s">
        <v>191</v>
      </c>
      <c r="C125" s="380"/>
      <c r="D125" s="380"/>
      <c r="E125" s="380"/>
      <c r="F125" s="380"/>
      <c r="G125" s="380"/>
      <c r="H125" s="380"/>
      <c r="I125" s="380"/>
      <c r="J125" s="380"/>
    </row>
    <row r="126" spans="2:10" ht="19.5" customHeight="1" x14ac:dyDescent="0.15">
      <c r="I126" s="74" t="s">
        <v>249</v>
      </c>
      <c r="J126" s="77">
        <f>SUM(J27:J124)</f>
        <v>631048000</v>
      </c>
    </row>
    <row r="127" spans="2:10" ht="23.25" customHeight="1" x14ac:dyDescent="0.25"/>
    <row r="128" spans="2:10" ht="16.5" x14ac:dyDescent="0.15">
      <c r="I128" s="74" t="s">
        <v>280</v>
      </c>
      <c r="J128" s="77">
        <v>1070081918</v>
      </c>
    </row>
  </sheetData>
  <mergeCells count="108">
    <mergeCell ref="C10:C11"/>
    <mergeCell ref="D10:D11"/>
    <mergeCell ref="E10:E11"/>
    <mergeCell ref="B12:B14"/>
    <mergeCell ref="C12:C14"/>
    <mergeCell ref="D12:D14"/>
    <mergeCell ref="E12:E14"/>
    <mergeCell ref="A1:M1"/>
    <mergeCell ref="A2:M2"/>
    <mergeCell ref="A3:F3"/>
    <mergeCell ref="G3:L3"/>
    <mergeCell ref="A5:A14"/>
    <mergeCell ref="B5:B8"/>
    <mergeCell ref="C5:C8"/>
    <mergeCell ref="D5:D8"/>
    <mergeCell ref="E5:E8"/>
    <mergeCell ref="B10:B11"/>
    <mergeCell ref="A16:A18"/>
    <mergeCell ref="B16:B18"/>
    <mergeCell ref="C16:C18"/>
    <mergeCell ref="D16:D18"/>
    <mergeCell ref="E16:E18"/>
    <mergeCell ref="A19:A23"/>
    <mergeCell ref="B19:B23"/>
    <mergeCell ref="C19:C23"/>
    <mergeCell ref="D19:D23"/>
    <mergeCell ref="E19:E23"/>
    <mergeCell ref="A24:K24"/>
    <mergeCell ref="B27:B36"/>
    <mergeCell ref="C27:C124"/>
    <mergeCell ref="D27:D36"/>
    <mergeCell ref="E27:E36"/>
    <mergeCell ref="G27:G36"/>
    <mergeCell ref="H27:H36"/>
    <mergeCell ref="I27:I36"/>
    <mergeCell ref="J27:J36"/>
    <mergeCell ref="B37:B46"/>
    <mergeCell ref="J48:J57"/>
    <mergeCell ref="B57:B66"/>
    <mergeCell ref="D58:D65"/>
    <mergeCell ref="E58:E65"/>
    <mergeCell ref="G58:G65"/>
    <mergeCell ref="H58:H65"/>
    <mergeCell ref="I58:I65"/>
    <mergeCell ref="J58:J65"/>
    <mergeCell ref="D66:D75"/>
    <mergeCell ref="E66:E75"/>
    <mergeCell ref="B47:B56"/>
    <mergeCell ref="D48:D57"/>
    <mergeCell ref="E48:E57"/>
    <mergeCell ref="G48:G57"/>
    <mergeCell ref="H48:H57"/>
    <mergeCell ref="I48:I57"/>
    <mergeCell ref="D37:D47"/>
    <mergeCell ref="E37:E47"/>
    <mergeCell ref="G37:G47"/>
    <mergeCell ref="H37:H47"/>
    <mergeCell ref="I37:I47"/>
    <mergeCell ref="J37:J47"/>
    <mergeCell ref="G66:G75"/>
    <mergeCell ref="H66:H75"/>
    <mergeCell ref="I66:I75"/>
    <mergeCell ref="J66:J75"/>
    <mergeCell ref="B67:B76"/>
    <mergeCell ref="D76:D83"/>
    <mergeCell ref="E76:E83"/>
    <mergeCell ref="G76:G83"/>
    <mergeCell ref="H76:H83"/>
    <mergeCell ref="I76:I83"/>
    <mergeCell ref="J76:J83"/>
    <mergeCell ref="B77:B86"/>
    <mergeCell ref="D84:D93"/>
    <mergeCell ref="E84:E93"/>
    <mergeCell ref="G84:G93"/>
    <mergeCell ref="H84:H93"/>
    <mergeCell ref="I84:I93"/>
    <mergeCell ref="J84:J93"/>
    <mergeCell ref="B87:B96"/>
    <mergeCell ref="D94:D101"/>
    <mergeCell ref="E94:E101"/>
    <mergeCell ref="G94:G101"/>
    <mergeCell ref="H94:H101"/>
    <mergeCell ref="I94:I101"/>
    <mergeCell ref="J94:J101"/>
    <mergeCell ref="B97:B106"/>
    <mergeCell ref="D102:D103"/>
    <mergeCell ref="J102:J103"/>
    <mergeCell ref="D104:D108"/>
    <mergeCell ref="E104:E108"/>
    <mergeCell ref="G104:G108"/>
    <mergeCell ref="H104:H108"/>
    <mergeCell ref="I104:I108"/>
    <mergeCell ref="J104:J108"/>
    <mergeCell ref="B107:B116"/>
    <mergeCell ref="D109:D116"/>
    <mergeCell ref="E109:E116"/>
    <mergeCell ref="G109:G116"/>
    <mergeCell ref="H109:H116"/>
    <mergeCell ref="I109:I116"/>
    <mergeCell ref="B125:J125"/>
    <mergeCell ref="J109:J116"/>
    <mergeCell ref="B117:B124"/>
    <mergeCell ref="D117:D124"/>
    <mergeCell ref="E117:E124"/>
    <mergeCell ref="G117:G124"/>
    <mergeCell ref="H117:H124"/>
    <mergeCell ref="I117:I124"/>
    <mergeCell ref="J117:J124"/>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7256F-930C-4963-AECC-C24D6AF36976}">
  <dimension ref="A1:AJ107"/>
  <sheetViews>
    <sheetView topLeftCell="F99" zoomScale="80" zoomScaleNormal="80" workbookViewId="0">
      <selection activeCell="N21" sqref="N21"/>
    </sheetView>
  </sheetViews>
  <sheetFormatPr baseColWidth="10" defaultColWidth="11.42578125" defaultRowHeight="15.75" customHeight="1" x14ac:dyDescent="0.25"/>
  <cols>
    <col min="1" max="1" width="7.140625" style="1" customWidth="1"/>
    <col min="2" max="5" width="20.7109375" style="1" customWidth="1"/>
    <col min="6" max="6" width="40.42578125" style="1" customWidth="1"/>
    <col min="7" max="7" width="77.28515625" style="1" customWidth="1"/>
    <col min="8" max="8" width="9.7109375" style="2" bestFit="1" customWidth="1"/>
    <col min="9" max="9" width="25.28515625" style="1" bestFit="1" customWidth="1"/>
    <col min="10" max="10" width="25" style="1" bestFit="1" customWidth="1"/>
    <col min="11" max="11" width="17.42578125" style="1" bestFit="1" customWidth="1"/>
    <col min="12" max="12" width="18.42578125" style="1" bestFit="1" customWidth="1"/>
    <col min="13" max="13" width="18" style="1" bestFit="1" customWidth="1"/>
    <col min="14" max="14" width="18.42578125" style="1" bestFit="1" customWidth="1"/>
    <col min="15" max="15" width="22.42578125" style="1" customWidth="1"/>
    <col min="16" max="16" width="25.42578125" style="1" bestFit="1" customWidth="1"/>
    <col min="17" max="17" width="18.42578125" style="1" bestFit="1" customWidth="1"/>
    <col min="18" max="18" width="15.42578125" style="1" bestFit="1" customWidth="1"/>
    <col min="19" max="19" width="15.42578125" style="1" customWidth="1"/>
    <col min="20" max="20" width="22.42578125" style="1" customWidth="1"/>
    <col min="21" max="21" width="27.140625" style="1" bestFit="1" customWidth="1"/>
    <col min="22" max="22" width="18.42578125" style="1" bestFit="1" customWidth="1"/>
    <col min="23" max="23" width="15.42578125" style="1" bestFit="1" customWidth="1"/>
    <col min="24" max="24" width="15.42578125" style="1" customWidth="1"/>
    <col min="25" max="25" width="22.42578125" style="1" customWidth="1"/>
    <col min="26" max="26" width="27.7109375" style="1" bestFit="1" customWidth="1"/>
    <col min="27" max="27" width="18.42578125" style="1" bestFit="1" customWidth="1"/>
    <col min="28" max="28" width="15.42578125" style="1" bestFit="1" customWidth="1"/>
    <col min="29" max="29" width="15.42578125" style="1" customWidth="1"/>
    <col min="30" max="30" width="22.42578125" style="1" customWidth="1"/>
    <col min="31" max="31" width="27.7109375" style="1" bestFit="1" customWidth="1"/>
    <col min="32" max="32" width="29.28515625" style="1" bestFit="1" customWidth="1"/>
    <col min="33" max="33" width="27.140625" style="31" bestFit="1" customWidth="1"/>
    <col min="34" max="34" width="21.7109375" style="1" hidden="1" customWidth="1"/>
    <col min="35" max="16384" width="11.42578125" style="1"/>
  </cols>
  <sheetData>
    <row r="1" spans="1:36" ht="49.35" customHeight="1" thickBot="1" x14ac:dyDescent="0.3">
      <c r="A1" s="280" t="s">
        <v>0</v>
      </c>
      <c r="B1" s="281"/>
      <c r="C1" s="281"/>
      <c r="D1" s="281"/>
      <c r="E1" s="281"/>
      <c r="F1" s="282"/>
      <c r="G1" s="282"/>
      <c r="H1" s="282"/>
      <c r="I1" s="282"/>
      <c r="J1" s="282"/>
      <c r="K1" s="283"/>
      <c r="L1" s="284" t="s">
        <v>1</v>
      </c>
      <c r="M1" s="285"/>
      <c r="N1" s="285"/>
      <c r="O1" s="285"/>
      <c r="P1" s="286"/>
      <c r="Q1" s="287" t="s">
        <v>2</v>
      </c>
      <c r="R1" s="288"/>
      <c r="S1" s="288"/>
      <c r="T1" s="288"/>
      <c r="U1" s="289"/>
      <c r="V1" s="290" t="s">
        <v>3</v>
      </c>
      <c r="W1" s="291"/>
      <c r="X1" s="291"/>
      <c r="Y1" s="291"/>
      <c r="Z1" s="292"/>
      <c r="AA1" s="293" t="s">
        <v>4</v>
      </c>
      <c r="AB1" s="294"/>
      <c r="AC1" s="294"/>
      <c r="AD1" s="294"/>
      <c r="AE1" s="294"/>
      <c r="AF1" s="294"/>
      <c r="AG1" s="294"/>
    </row>
    <row r="2" spans="1:36" ht="49.35" customHeight="1" x14ac:dyDescent="0.25">
      <c r="A2" s="20" t="s">
        <v>5</v>
      </c>
      <c r="B2" s="20" t="s">
        <v>6</v>
      </c>
      <c r="C2" s="20" t="s">
        <v>7</v>
      </c>
      <c r="D2" s="20" t="s">
        <v>8</v>
      </c>
      <c r="E2" s="20" t="s">
        <v>9</v>
      </c>
      <c r="F2" s="20" t="s">
        <v>10</v>
      </c>
      <c r="G2" s="20" t="s">
        <v>11</v>
      </c>
      <c r="H2" s="20" t="s">
        <v>12</v>
      </c>
      <c r="I2" s="20" t="s">
        <v>13</v>
      </c>
      <c r="J2" s="20" t="s">
        <v>14</v>
      </c>
      <c r="K2" s="20" t="s">
        <v>13</v>
      </c>
      <c r="L2" s="21" t="s">
        <v>15</v>
      </c>
      <c r="M2" s="22" t="s">
        <v>16</v>
      </c>
      <c r="N2" s="21" t="s">
        <v>17</v>
      </c>
      <c r="O2" s="21" t="s">
        <v>18</v>
      </c>
      <c r="P2" s="21" t="s">
        <v>19</v>
      </c>
      <c r="Q2" s="23" t="s">
        <v>15</v>
      </c>
      <c r="R2" s="24" t="s">
        <v>16</v>
      </c>
      <c r="S2" s="23" t="s">
        <v>17</v>
      </c>
      <c r="T2" s="23" t="s">
        <v>18</v>
      </c>
      <c r="U2" s="23" t="s">
        <v>19</v>
      </c>
      <c r="V2" s="25" t="s">
        <v>15</v>
      </c>
      <c r="W2" s="26" t="s">
        <v>16</v>
      </c>
      <c r="X2" s="25" t="s">
        <v>17</v>
      </c>
      <c r="Y2" s="25" t="s">
        <v>18</v>
      </c>
      <c r="Z2" s="25" t="s">
        <v>19</v>
      </c>
      <c r="AA2" s="27" t="s">
        <v>20</v>
      </c>
      <c r="AB2" s="27" t="s">
        <v>21</v>
      </c>
      <c r="AC2" s="27" t="s">
        <v>22</v>
      </c>
      <c r="AD2" s="27" t="s">
        <v>23</v>
      </c>
      <c r="AE2" s="27" t="s">
        <v>24</v>
      </c>
      <c r="AF2" s="27" t="s">
        <v>25</v>
      </c>
      <c r="AG2" s="27" t="s">
        <v>26</v>
      </c>
    </row>
    <row r="3" spans="1:36" ht="105" x14ac:dyDescent="0.25">
      <c r="A3" s="14">
        <v>1</v>
      </c>
      <c r="B3" s="276" t="s">
        <v>27</v>
      </c>
      <c r="C3" s="279" t="s">
        <v>28</v>
      </c>
      <c r="D3" s="279" t="s">
        <v>29</v>
      </c>
      <c r="E3" s="279" t="s">
        <v>30</v>
      </c>
      <c r="F3" s="279" t="s">
        <v>31</v>
      </c>
      <c r="G3" s="38" t="s">
        <v>32</v>
      </c>
      <c r="H3" s="35">
        <v>500</v>
      </c>
      <c r="I3" s="35" t="s">
        <v>33</v>
      </c>
      <c r="J3" s="279">
        <v>30</v>
      </c>
      <c r="K3" s="279" t="s">
        <v>34</v>
      </c>
      <c r="L3" s="64">
        <v>83475</v>
      </c>
      <c r="M3" s="65">
        <f>+L3*19%</f>
        <v>15860.25</v>
      </c>
      <c r="N3" s="69">
        <f>+M3+L3</f>
        <v>99335.25</v>
      </c>
      <c r="O3" s="7">
        <f>H3*L3</f>
        <v>41737500</v>
      </c>
      <c r="P3" s="7">
        <f>N3*H3</f>
        <v>49667625</v>
      </c>
      <c r="Q3" s="64">
        <v>80000</v>
      </c>
      <c r="R3" s="65">
        <f t="shared" ref="R3:R21" si="0">+Q3*0.19</f>
        <v>15200</v>
      </c>
      <c r="S3" s="69">
        <f t="shared" ref="S3:S21" si="1">+Q3+R3</f>
        <v>95200</v>
      </c>
      <c r="T3" s="7">
        <f>Q3*H3</f>
        <v>40000000</v>
      </c>
      <c r="U3" s="7">
        <f>S3*H3</f>
        <v>47600000</v>
      </c>
      <c r="V3" s="7">
        <v>75000</v>
      </c>
      <c r="W3" s="7">
        <v>14250</v>
      </c>
      <c r="X3" s="7">
        <v>89250</v>
      </c>
      <c r="Y3" s="7">
        <f>V3*H3</f>
        <v>37500000</v>
      </c>
      <c r="Z3" s="7">
        <f>X3*H3</f>
        <v>44625000</v>
      </c>
      <c r="AA3" s="7">
        <f t="shared" ref="AA3:AA20" si="2">AVERAGE(L3,Q3,V3)</f>
        <v>79491.666666666672</v>
      </c>
      <c r="AB3" s="7">
        <f t="shared" ref="AB3:AB20" si="3">AVERAGE(M3,R3,W3)</f>
        <v>15103.416666666666</v>
      </c>
      <c r="AC3" s="7">
        <f t="shared" ref="AC3:AC20" si="4">AVERAGE(N3,S3,X3)</f>
        <v>94595.083333333328</v>
      </c>
      <c r="AD3" s="7">
        <f t="shared" ref="AD3:AD20" si="5">AVERAGE(O3,T3,Y3)</f>
        <v>39745833.333333336</v>
      </c>
      <c r="AE3" s="7">
        <f t="shared" ref="AE3:AE19" si="6">AVERAGE(P3,U3,Z3)</f>
        <v>47297541.666666664</v>
      </c>
      <c r="AF3" s="127">
        <f>_xlfn.STDEV.P(P3,U3,Z3)</f>
        <v>2069722.6070512177</v>
      </c>
      <c r="AG3" s="128">
        <f t="shared" ref="AG3:AG21" si="7">AF3/AE3</f>
        <v>4.3759623314838618E-2</v>
      </c>
    </row>
    <row r="4" spans="1:36" ht="120" x14ac:dyDescent="0.25">
      <c r="A4" s="14">
        <v>2</v>
      </c>
      <c r="B4" s="277"/>
      <c r="C4" s="279"/>
      <c r="D4" s="279"/>
      <c r="E4" s="279"/>
      <c r="F4" s="279"/>
      <c r="G4" s="39" t="s">
        <v>35</v>
      </c>
      <c r="H4" s="35">
        <v>500</v>
      </c>
      <c r="I4" s="35" t="s">
        <v>36</v>
      </c>
      <c r="J4" s="279"/>
      <c r="K4" s="279"/>
      <c r="L4" s="66">
        <v>890.4</v>
      </c>
      <c r="M4" s="65">
        <f t="shared" ref="M4:M21" si="8">+L4*19%</f>
        <v>169.17599999999999</v>
      </c>
      <c r="N4" s="69">
        <f t="shared" ref="N4:N21" si="9">+M4+L4</f>
        <v>1059.576</v>
      </c>
      <c r="O4" s="7">
        <f t="shared" ref="O4:O21" si="10">H4*L4</f>
        <v>445200</v>
      </c>
      <c r="P4" s="7">
        <f t="shared" ref="P4:P21" si="11">N4*H4</f>
        <v>529788</v>
      </c>
      <c r="Q4" s="78">
        <v>800</v>
      </c>
      <c r="R4" s="65">
        <f t="shared" si="0"/>
        <v>152</v>
      </c>
      <c r="S4" s="69">
        <f t="shared" si="1"/>
        <v>952</v>
      </c>
      <c r="T4" s="7">
        <f t="shared" ref="T4:T21" si="12">Q4*H4</f>
        <v>400000</v>
      </c>
      <c r="U4" s="7">
        <f t="shared" ref="U4:U21" si="13">S4*H4</f>
        <v>476000</v>
      </c>
      <c r="V4" s="7">
        <v>800</v>
      </c>
      <c r="W4" s="7">
        <v>152</v>
      </c>
      <c r="X4" s="7">
        <v>952</v>
      </c>
      <c r="Y4" s="7">
        <f t="shared" ref="Y4:Y21" si="14">V4*H4</f>
        <v>400000</v>
      </c>
      <c r="Z4" s="7">
        <f t="shared" ref="Z4:Z21" si="15">X4*H4</f>
        <v>476000</v>
      </c>
      <c r="AA4" s="7">
        <f t="shared" si="2"/>
        <v>830.13333333333333</v>
      </c>
      <c r="AB4" s="7">
        <f t="shared" si="3"/>
        <v>157.72533333333334</v>
      </c>
      <c r="AC4" s="7">
        <f t="shared" si="4"/>
        <v>987.85866666666664</v>
      </c>
      <c r="AD4" s="7">
        <f t="shared" si="5"/>
        <v>415066.66666666669</v>
      </c>
      <c r="AE4" s="7">
        <f t="shared" si="6"/>
        <v>493929.33333333331</v>
      </c>
      <c r="AF4" s="127">
        <f t="shared" ref="AF4:AF19" si="16">_xlfn.STDEV.P(P4,U4,Z4)</f>
        <v>25355.906364308015</v>
      </c>
      <c r="AG4" s="128">
        <f t="shared" si="7"/>
        <v>5.1335089157776986E-2</v>
      </c>
    </row>
    <row r="5" spans="1:36" ht="30" x14ac:dyDescent="0.25">
      <c r="A5" s="14">
        <v>3</v>
      </c>
      <c r="B5" s="277"/>
      <c r="C5" s="279"/>
      <c r="D5" s="279"/>
      <c r="E5" s="279"/>
      <c r="F5" s="279"/>
      <c r="G5" s="40" t="s">
        <v>37</v>
      </c>
      <c r="H5" s="152">
        <v>200</v>
      </c>
      <c r="I5" s="35" t="s">
        <v>36</v>
      </c>
      <c r="J5" s="279"/>
      <c r="K5" s="279"/>
      <c r="L5" s="66">
        <v>1669.5</v>
      </c>
      <c r="M5" s="65">
        <f t="shared" si="8"/>
        <v>317.20499999999998</v>
      </c>
      <c r="N5" s="69">
        <f t="shared" si="9"/>
        <v>1986.7049999999999</v>
      </c>
      <c r="O5" s="7">
        <f t="shared" si="10"/>
        <v>333900</v>
      </c>
      <c r="P5" s="7">
        <f t="shared" si="11"/>
        <v>397341</v>
      </c>
      <c r="Q5" s="78">
        <v>1500</v>
      </c>
      <c r="R5" s="65">
        <f t="shared" si="0"/>
        <v>285</v>
      </c>
      <c r="S5" s="69">
        <f t="shared" si="1"/>
        <v>1785</v>
      </c>
      <c r="T5" s="7">
        <f t="shared" si="12"/>
        <v>300000</v>
      </c>
      <c r="U5" s="7">
        <f t="shared" si="13"/>
        <v>357000</v>
      </c>
      <c r="V5" s="7">
        <v>1500</v>
      </c>
      <c r="W5" s="7">
        <v>285</v>
      </c>
      <c r="X5" s="7">
        <v>1785</v>
      </c>
      <c r="Y5" s="7">
        <f t="shared" si="14"/>
        <v>300000</v>
      </c>
      <c r="Z5" s="7">
        <f t="shared" si="15"/>
        <v>357000</v>
      </c>
      <c r="AA5" s="7">
        <f t="shared" si="2"/>
        <v>1556.5</v>
      </c>
      <c r="AB5" s="7">
        <f t="shared" si="3"/>
        <v>295.73499999999996</v>
      </c>
      <c r="AC5" s="7">
        <f t="shared" si="4"/>
        <v>1852.2349999999999</v>
      </c>
      <c r="AD5" s="7">
        <f t="shared" si="5"/>
        <v>311300</v>
      </c>
      <c r="AE5" s="7">
        <f t="shared" si="6"/>
        <v>370447</v>
      </c>
      <c r="AF5" s="127">
        <f t="shared" si="16"/>
        <v>19016.929773231008</v>
      </c>
      <c r="AG5" s="128">
        <f t="shared" si="7"/>
        <v>5.1335089157776979E-2</v>
      </c>
    </row>
    <row r="6" spans="1:36" ht="30" x14ac:dyDescent="0.25">
      <c r="A6" s="14">
        <v>4</v>
      </c>
      <c r="B6" s="277"/>
      <c r="C6" s="279"/>
      <c r="D6" s="279"/>
      <c r="E6" s="279"/>
      <c r="F6" s="279"/>
      <c r="G6" s="41" t="s">
        <v>38</v>
      </c>
      <c r="H6" s="35">
        <v>200</v>
      </c>
      <c r="I6" s="35" t="s">
        <v>36</v>
      </c>
      <c r="J6" s="279"/>
      <c r="K6" s="279"/>
      <c r="L6" s="66">
        <v>2226</v>
      </c>
      <c r="M6" s="65">
        <f t="shared" si="8"/>
        <v>422.94</v>
      </c>
      <c r="N6" s="69">
        <f t="shared" si="9"/>
        <v>2648.94</v>
      </c>
      <c r="O6" s="7">
        <f t="shared" si="10"/>
        <v>445200</v>
      </c>
      <c r="P6" s="7">
        <f t="shared" si="11"/>
        <v>529788</v>
      </c>
      <c r="Q6" s="78">
        <v>2200</v>
      </c>
      <c r="R6" s="65">
        <f t="shared" si="0"/>
        <v>418</v>
      </c>
      <c r="S6" s="69">
        <f t="shared" si="1"/>
        <v>2618</v>
      </c>
      <c r="T6" s="7">
        <f t="shared" si="12"/>
        <v>440000</v>
      </c>
      <c r="U6" s="7">
        <f t="shared" si="13"/>
        <v>523600</v>
      </c>
      <c r="V6" s="7">
        <v>2000</v>
      </c>
      <c r="W6" s="7">
        <v>380</v>
      </c>
      <c r="X6" s="7">
        <v>2380</v>
      </c>
      <c r="Y6" s="7">
        <f t="shared" si="14"/>
        <v>400000</v>
      </c>
      <c r="Z6" s="7">
        <f t="shared" si="15"/>
        <v>476000</v>
      </c>
      <c r="AA6" s="7">
        <f t="shared" si="2"/>
        <v>2142</v>
      </c>
      <c r="AB6" s="7">
        <f t="shared" si="3"/>
        <v>406.98</v>
      </c>
      <c r="AC6" s="7">
        <f t="shared" si="4"/>
        <v>2548.98</v>
      </c>
      <c r="AD6" s="7">
        <f t="shared" si="5"/>
        <v>428400</v>
      </c>
      <c r="AE6" s="7">
        <f t="shared" si="6"/>
        <v>509796</v>
      </c>
      <c r="AF6" s="127">
        <f t="shared" si="16"/>
        <v>24030.536795225082</v>
      </c>
      <c r="AG6" s="128">
        <f t="shared" si="7"/>
        <v>4.7137554620328682E-2</v>
      </c>
    </row>
    <row r="7" spans="1:36" ht="375" x14ac:dyDescent="0.25">
      <c r="A7" s="14">
        <v>5</v>
      </c>
      <c r="B7" s="277"/>
      <c r="C7" s="35" t="s">
        <v>39</v>
      </c>
      <c r="D7" s="35" t="s">
        <v>40</v>
      </c>
      <c r="E7" s="35" t="s">
        <v>41</v>
      </c>
      <c r="F7" s="35" t="s">
        <v>42</v>
      </c>
      <c r="G7" s="42" t="s">
        <v>43</v>
      </c>
      <c r="H7" s="35">
        <v>450</v>
      </c>
      <c r="I7" s="35" t="s">
        <v>44</v>
      </c>
      <c r="J7" s="35">
        <v>12</v>
      </c>
      <c r="K7" s="6" t="s">
        <v>45</v>
      </c>
      <c r="L7" s="66">
        <v>556.5</v>
      </c>
      <c r="M7" s="65">
        <f t="shared" si="8"/>
        <v>105.735</v>
      </c>
      <c r="N7" s="69">
        <f t="shared" si="9"/>
        <v>662.23500000000001</v>
      </c>
      <c r="O7" s="7">
        <f t="shared" si="10"/>
        <v>250425</v>
      </c>
      <c r="P7" s="7">
        <f t="shared" si="11"/>
        <v>298005.75</v>
      </c>
      <c r="Q7" s="78">
        <v>474</v>
      </c>
      <c r="R7" s="65">
        <f t="shared" si="0"/>
        <v>90.06</v>
      </c>
      <c r="S7" s="69">
        <f t="shared" si="1"/>
        <v>564.05999999999995</v>
      </c>
      <c r="T7" s="7">
        <f t="shared" si="12"/>
        <v>213300</v>
      </c>
      <c r="U7" s="7">
        <f t="shared" si="13"/>
        <v>253826.99999999997</v>
      </c>
      <c r="V7" s="7">
        <v>500</v>
      </c>
      <c r="W7" s="7">
        <v>95</v>
      </c>
      <c r="X7" s="7">
        <v>595</v>
      </c>
      <c r="Y7" s="7">
        <f t="shared" si="14"/>
        <v>225000</v>
      </c>
      <c r="Z7" s="7">
        <f t="shared" si="15"/>
        <v>267750</v>
      </c>
      <c r="AA7" s="7">
        <f t="shared" si="2"/>
        <v>510.16666666666669</v>
      </c>
      <c r="AB7" s="7">
        <f t="shared" si="3"/>
        <v>96.931666666666672</v>
      </c>
      <c r="AC7" s="7">
        <f t="shared" si="4"/>
        <v>607.09833333333336</v>
      </c>
      <c r="AD7" s="7">
        <f t="shared" si="5"/>
        <v>229575</v>
      </c>
      <c r="AE7" s="7">
        <f t="shared" si="6"/>
        <v>273194.25</v>
      </c>
      <c r="AF7" s="127">
        <f t="shared" si="16"/>
        <v>18442.168734316481</v>
      </c>
      <c r="AG7" s="128">
        <f t="shared" si="7"/>
        <v>6.7505698726515947E-2</v>
      </c>
    </row>
    <row r="8" spans="1:36" ht="75" x14ac:dyDescent="0.25">
      <c r="A8" s="14">
        <v>6</v>
      </c>
      <c r="B8" s="277"/>
      <c r="C8" s="279" t="s">
        <v>46</v>
      </c>
      <c r="D8" s="279" t="s">
        <v>47</v>
      </c>
      <c r="E8" s="279" t="s">
        <v>48</v>
      </c>
      <c r="F8" s="279" t="s">
        <v>49</v>
      </c>
      <c r="G8" s="42" t="s">
        <v>50</v>
      </c>
      <c r="H8" s="35">
        <v>15</v>
      </c>
      <c r="I8" s="35" t="s">
        <v>44</v>
      </c>
      <c r="J8" s="279" t="s">
        <v>48</v>
      </c>
      <c r="K8" s="6"/>
      <c r="L8" s="66">
        <v>3116400</v>
      </c>
      <c r="M8" s="65">
        <f t="shared" si="8"/>
        <v>592116</v>
      </c>
      <c r="N8" s="69">
        <f t="shared" si="9"/>
        <v>3708516</v>
      </c>
      <c r="O8" s="7">
        <f t="shared" si="10"/>
        <v>46746000</v>
      </c>
      <c r="P8" s="7">
        <f t="shared" si="11"/>
        <v>55627740</v>
      </c>
      <c r="Q8" s="78">
        <v>2830489</v>
      </c>
      <c r="R8" s="65">
        <f t="shared" si="0"/>
        <v>537792.91</v>
      </c>
      <c r="S8" s="69">
        <f t="shared" si="1"/>
        <v>3368281.91</v>
      </c>
      <c r="T8" s="7">
        <f t="shared" si="12"/>
        <v>42457335</v>
      </c>
      <c r="U8" s="7">
        <f t="shared" si="13"/>
        <v>50524228.650000006</v>
      </c>
      <c r="V8" s="7">
        <v>2800000</v>
      </c>
      <c r="W8" s="7">
        <v>532000</v>
      </c>
      <c r="X8" s="7">
        <v>3332000</v>
      </c>
      <c r="Y8" s="7">
        <f t="shared" si="14"/>
        <v>42000000</v>
      </c>
      <c r="Z8" s="7">
        <f t="shared" si="15"/>
        <v>49980000</v>
      </c>
      <c r="AA8" s="7">
        <f t="shared" si="2"/>
        <v>2915629.6666666665</v>
      </c>
      <c r="AB8" s="7">
        <f t="shared" si="3"/>
        <v>553969.63666666672</v>
      </c>
      <c r="AC8" s="7">
        <f t="shared" si="4"/>
        <v>3469599.3033333332</v>
      </c>
      <c r="AD8" s="7">
        <f t="shared" si="5"/>
        <v>43734445</v>
      </c>
      <c r="AE8" s="7">
        <f t="shared" si="6"/>
        <v>52043989.550000004</v>
      </c>
      <c r="AF8" s="127">
        <f t="shared" si="16"/>
        <v>2543815.5949644619</v>
      </c>
      <c r="AG8" s="128">
        <f t="shared" si="7"/>
        <v>4.8878182033307661E-2</v>
      </c>
      <c r="AI8" s="1">
        <f>350*6</f>
        <v>2100</v>
      </c>
      <c r="AJ8" s="1">
        <f>350*3</f>
        <v>1050</v>
      </c>
    </row>
    <row r="9" spans="1:36" ht="45" x14ac:dyDescent="0.25">
      <c r="A9" s="14">
        <v>7</v>
      </c>
      <c r="B9" s="277"/>
      <c r="C9" s="279"/>
      <c r="D9" s="279"/>
      <c r="E9" s="279"/>
      <c r="F9" s="279"/>
      <c r="G9" s="42" t="s">
        <v>51</v>
      </c>
      <c r="H9" s="152">
        <v>450</v>
      </c>
      <c r="I9" s="35" t="s">
        <v>44</v>
      </c>
      <c r="J9" s="279"/>
      <c r="K9" s="6"/>
      <c r="L9" s="67">
        <v>779.1</v>
      </c>
      <c r="M9" s="65">
        <f t="shared" si="8"/>
        <v>148.029</v>
      </c>
      <c r="N9" s="69">
        <f t="shared" si="9"/>
        <v>927.12900000000002</v>
      </c>
      <c r="O9" s="7">
        <f t="shared" si="10"/>
        <v>350595</v>
      </c>
      <c r="P9" s="7">
        <f t="shared" si="11"/>
        <v>417208.05</v>
      </c>
      <c r="Q9" s="78">
        <v>750</v>
      </c>
      <c r="R9" s="65">
        <f t="shared" si="0"/>
        <v>142.5</v>
      </c>
      <c r="S9" s="69">
        <f t="shared" si="1"/>
        <v>892.5</v>
      </c>
      <c r="T9" s="7">
        <f t="shared" si="12"/>
        <v>337500</v>
      </c>
      <c r="U9" s="7">
        <f t="shared" si="13"/>
        <v>401625</v>
      </c>
      <c r="V9" s="7">
        <v>700</v>
      </c>
      <c r="W9" s="7">
        <v>133</v>
      </c>
      <c r="X9" s="7">
        <v>833</v>
      </c>
      <c r="Y9" s="7">
        <f t="shared" si="14"/>
        <v>315000</v>
      </c>
      <c r="Z9" s="7">
        <f t="shared" si="15"/>
        <v>374850</v>
      </c>
      <c r="AA9" s="7">
        <f t="shared" si="2"/>
        <v>743.0333333333333</v>
      </c>
      <c r="AB9" s="7">
        <f t="shared" si="3"/>
        <v>141.17633333333333</v>
      </c>
      <c r="AC9" s="7">
        <f t="shared" si="4"/>
        <v>884.20966666666664</v>
      </c>
      <c r="AD9" s="7">
        <f t="shared" si="5"/>
        <v>334365</v>
      </c>
      <c r="AE9" s="7">
        <f t="shared" si="6"/>
        <v>397894.35000000003</v>
      </c>
      <c r="AF9" s="127">
        <f t="shared" si="16"/>
        <v>17492.653925148119</v>
      </c>
      <c r="AG9" s="128">
        <f t="shared" si="7"/>
        <v>4.3963061865915205E-2</v>
      </c>
      <c r="AH9" s="1">
        <f>450/15</f>
        <v>30</v>
      </c>
    </row>
    <row r="10" spans="1:36" ht="180" x14ac:dyDescent="0.25">
      <c r="A10" s="14">
        <v>8</v>
      </c>
      <c r="B10" s="277"/>
      <c r="C10" s="295" t="s">
        <v>52</v>
      </c>
      <c r="D10" s="295" t="s">
        <v>53</v>
      </c>
      <c r="E10" s="295" t="s">
        <v>54</v>
      </c>
      <c r="F10" s="295" t="s">
        <v>55</v>
      </c>
      <c r="G10" s="40" t="s">
        <v>56</v>
      </c>
      <c r="H10" s="35">
        <v>1200</v>
      </c>
      <c r="I10" s="35" t="s">
        <v>44</v>
      </c>
      <c r="J10" s="279" t="s">
        <v>54</v>
      </c>
      <c r="K10" s="6"/>
      <c r="L10" s="66">
        <v>111300</v>
      </c>
      <c r="M10" s="65">
        <f t="shared" si="8"/>
        <v>21147</v>
      </c>
      <c r="N10" s="69">
        <f t="shared" si="9"/>
        <v>132447</v>
      </c>
      <c r="O10" s="7">
        <f t="shared" si="10"/>
        <v>133560000</v>
      </c>
      <c r="P10" s="7">
        <f t="shared" si="11"/>
        <v>158936400</v>
      </c>
      <c r="Q10" s="78">
        <v>102349</v>
      </c>
      <c r="R10" s="65">
        <f t="shared" si="0"/>
        <v>19446.310000000001</v>
      </c>
      <c r="S10" s="69">
        <f t="shared" si="1"/>
        <v>121795.31</v>
      </c>
      <c r="T10" s="7">
        <f t="shared" si="12"/>
        <v>122818800</v>
      </c>
      <c r="U10" s="7">
        <f t="shared" si="13"/>
        <v>146154372</v>
      </c>
      <c r="V10" s="7">
        <v>100000</v>
      </c>
      <c r="W10" s="7">
        <v>19000</v>
      </c>
      <c r="X10" s="7">
        <v>119000</v>
      </c>
      <c r="Y10" s="7">
        <f t="shared" si="14"/>
        <v>120000000</v>
      </c>
      <c r="Z10" s="7">
        <f t="shared" si="15"/>
        <v>142800000</v>
      </c>
      <c r="AA10" s="7">
        <f t="shared" si="2"/>
        <v>104549.66666666667</v>
      </c>
      <c r="AB10" s="7">
        <f t="shared" si="3"/>
        <v>19864.436666666665</v>
      </c>
      <c r="AC10" s="7">
        <f t="shared" si="4"/>
        <v>124414.10333333333</v>
      </c>
      <c r="AD10" s="7">
        <f t="shared" si="5"/>
        <v>125459600</v>
      </c>
      <c r="AE10" s="7">
        <f t="shared" si="6"/>
        <v>149296924</v>
      </c>
      <c r="AF10" s="127">
        <f t="shared" si="16"/>
        <v>6952341.3823223608</v>
      </c>
      <c r="AG10" s="128">
        <f t="shared" si="7"/>
        <v>4.6567211139074513E-2</v>
      </c>
      <c r="AI10" s="1">
        <f>450*12</f>
        <v>5400</v>
      </c>
    </row>
    <row r="11" spans="1:36" ht="75" x14ac:dyDescent="0.25">
      <c r="A11" s="14">
        <v>9</v>
      </c>
      <c r="B11" s="277"/>
      <c r="C11" s="296"/>
      <c r="D11" s="296"/>
      <c r="E11" s="296"/>
      <c r="F11" s="296"/>
      <c r="G11" s="40" t="s">
        <v>57</v>
      </c>
      <c r="H11" s="35">
        <v>200</v>
      </c>
      <c r="I11" s="35" t="s">
        <v>44</v>
      </c>
      <c r="J11" s="279"/>
      <c r="K11" s="6"/>
      <c r="L11" s="68">
        <v>5565</v>
      </c>
      <c r="M11" s="65">
        <f t="shared" si="8"/>
        <v>1057.3499999999999</v>
      </c>
      <c r="N11" s="69">
        <f t="shared" si="9"/>
        <v>6622.35</v>
      </c>
      <c r="O11" s="7">
        <f t="shared" si="10"/>
        <v>1113000</v>
      </c>
      <c r="P11" s="7">
        <f t="shared" si="11"/>
        <v>1324470</v>
      </c>
      <c r="Q11" s="78">
        <v>5000</v>
      </c>
      <c r="R11" s="65">
        <f t="shared" si="0"/>
        <v>950</v>
      </c>
      <c r="S11" s="69">
        <f t="shared" si="1"/>
        <v>5950</v>
      </c>
      <c r="T11" s="7">
        <f t="shared" si="12"/>
        <v>1000000</v>
      </c>
      <c r="U11" s="7">
        <f t="shared" si="13"/>
        <v>1190000</v>
      </c>
      <c r="V11" s="7">
        <v>5000</v>
      </c>
      <c r="W11" s="7">
        <v>950</v>
      </c>
      <c r="X11" s="7">
        <v>5950</v>
      </c>
      <c r="Y11" s="7">
        <f t="shared" si="14"/>
        <v>1000000</v>
      </c>
      <c r="Z11" s="7">
        <f t="shared" si="15"/>
        <v>1190000</v>
      </c>
      <c r="AA11" s="7">
        <f t="shared" si="2"/>
        <v>5188.333333333333</v>
      </c>
      <c r="AB11" s="7">
        <f t="shared" si="3"/>
        <v>985.7833333333333</v>
      </c>
      <c r="AC11" s="7">
        <f t="shared" si="4"/>
        <v>6174.1166666666659</v>
      </c>
      <c r="AD11" s="7">
        <f t="shared" si="5"/>
        <v>1037666.6666666666</v>
      </c>
      <c r="AE11" s="7">
        <f t="shared" si="6"/>
        <v>1234823.3333333333</v>
      </c>
      <c r="AF11" s="127">
        <f t="shared" si="16"/>
        <v>63389.765910770038</v>
      </c>
      <c r="AG11" s="128">
        <f t="shared" si="7"/>
        <v>5.1335089157776993E-2</v>
      </c>
    </row>
    <row r="12" spans="1:36" x14ac:dyDescent="0.25">
      <c r="A12" s="5">
        <v>10</v>
      </c>
      <c r="B12" s="278"/>
      <c r="C12" s="296"/>
      <c r="D12" s="297"/>
      <c r="E12" s="297"/>
      <c r="F12" s="297"/>
      <c r="G12" s="40" t="s">
        <v>58</v>
      </c>
      <c r="H12" s="35">
        <v>2</v>
      </c>
      <c r="I12" s="35" t="s">
        <v>59</v>
      </c>
      <c r="J12" s="279"/>
      <c r="K12" s="6"/>
      <c r="L12" s="68">
        <v>3339000</v>
      </c>
      <c r="M12" s="65">
        <f t="shared" si="8"/>
        <v>634410</v>
      </c>
      <c r="N12" s="69">
        <f t="shared" si="9"/>
        <v>3973410</v>
      </c>
      <c r="O12" s="7">
        <f t="shared" si="10"/>
        <v>6678000</v>
      </c>
      <c r="P12" s="7">
        <f t="shared" si="11"/>
        <v>7946820</v>
      </c>
      <c r="Q12" s="78">
        <v>3500000</v>
      </c>
      <c r="R12" s="65">
        <f t="shared" si="0"/>
        <v>665000</v>
      </c>
      <c r="S12" s="69">
        <f t="shared" si="1"/>
        <v>4165000</v>
      </c>
      <c r="T12" s="7">
        <f t="shared" si="12"/>
        <v>7000000</v>
      </c>
      <c r="U12" s="7">
        <f t="shared" si="13"/>
        <v>8330000</v>
      </c>
      <c r="V12" s="7">
        <v>3000000</v>
      </c>
      <c r="W12" s="7">
        <v>570000</v>
      </c>
      <c r="X12" s="7">
        <v>3570000</v>
      </c>
      <c r="Y12" s="7">
        <f t="shared" si="14"/>
        <v>6000000</v>
      </c>
      <c r="Z12" s="7">
        <f t="shared" si="15"/>
        <v>7140000</v>
      </c>
      <c r="AA12" s="7">
        <f t="shared" si="2"/>
        <v>3279666.6666666665</v>
      </c>
      <c r="AB12" s="7">
        <f t="shared" si="3"/>
        <v>623136.66666666663</v>
      </c>
      <c r="AC12" s="7">
        <f t="shared" si="4"/>
        <v>3902803.3333333335</v>
      </c>
      <c r="AD12" s="7">
        <f t="shared" si="5"/>
        <v>6559333.333333333</v>
      </c>
      <c r="AE12" s="7">
        <f t="shared" si="6"/>
        <v>7805606.666666667</v>
      </c>
      <c r="AF12" s="127">
        <f t="shared" si="16"/>
        <v>495971.03687838686</v>
      </c>
      <c r="AG12" s="128">
        <f t="shared" si="7"/>
        <v>6.3540357342933868E-2</v>
      </c>
    </row>
    <row r="13" spans="1:36" ht="270" x14ac:dyDescent="0.25">
      <c r="A13" s="14">
        <v>11</v>
      </c>
      <c r="B13" s="63" t="s">
        <v>60</v>
      </c>
      <c r="C13" s="47" t="s">
        <v>61</v>
      </c>
      <c r="D13" s="47" t="s">
        <v>62</v>
      </c>
      <c r="E13" s="37" t="s">
        <v>63</v>
      </c>
      <c r="F13" s="37">
        <v>350</v>
      </c>
      <c r="G13" s="42" t="s">
        <v>64</v>
      </c>
      <c r="H13" s="35">
        <v>6</v>
      </c>
      <c r="I13" s="35" t="s">
        <v>65</v>
      </c>
      <c r="J13" s="35">
        <v>350</v>
      </c>
      <c r="K13" s="4" t="s">
        <v>66</v>
      </c>
      <c r="L13" s="66">
        <v>5008500</v>
      </c>
      <c r="M13" s="65">
        <f t="shared" si="8"/>
        <v>951615</v>
      </c>
      <c r="N13" s="69">
        <f t="shared" si="9"/>
        <v>5960115</v>
      </c>
      <c r="O13" s="7">
        <f t="shared" si="10"/>
        <v>30051000</v>
      </c>
      <c r="P13" s="7">
        <f t="shared" si="11"/>
        <v>35760690</v>
      </c>
      <c r="Q13" s="78">
        <v>4500000</v>
      </c>
      <c r="R13" s="65">
        <f t="shared" si="0"/>
        <v>855000</v>
      </c>
      <c r="S13" s="69">
        <f t="shared" si="1"/>
        <v>5355000</v>
      </c>
      <c r="T13" s="7">
        <f t="shared" si="12"/>
        <v>27000000</v>
      </c>
      <c r="U13" s="7">
        <f t="shared" si="13"/>
        <v>32130000</v>
      </c>
      <c r="V13" s="7">
        <v>4500000</v>
      </c>
      <c r="W13" s="7">
        <v>855000</v>
      </c>
      <c r="X13" s="7">
        <v>5355000</v>
      </c>
      <c r="Y13" s="7">
        <f t="shared" si="14"/>
        <v>27000000</v>
      </c>
      <c r="Z13" s="7">
        <f t="shared" si="15"/>
        <v>32130000</v>
      </c>
      <c r="AA13" s="7">
        <f t="shared" si="2"/>
        <v>4669500</v>
      </c>
      <c r="AB13" s="7">
        <f t="shared" si="3"/>
        <v>887205</v>
      </c>
      <c r="AC13" s="7">
        <f t="shared" si="4"/>
        <v>5556705</v>
      </c>
      <c r="AD13" s="7">
        <f t="shared" si="5"/>
        <v>28017000</v>
      </c>
      <c r="AE13" s="7">
        <f t="shared" si="6"/>
        <v>33340230</v>
      </c>
      <c r="AF13" s="127">
        <f t="shared" si="16"/>
        <v>1711523.6795907908</v>
      </c>
      <c r="AG13" s="128">
        <f t="shared" si="7"/>
        <v>5.1335089157776979E-2</v>
      </c>
    </row>
    <row r="14" spans="1:36" ht="165" x14ac:dyDescent="0.25">
      <c r="A14" s="5">
        <v>12</v>
      </c>
      <c r="B14" s="358" t="s">
        <v>67</v>
      </c>
      <c r="C14" s="279" t="s">
        <v>68</v>
      </c>
      <c r="D14" s="279" t="s">
        <v>69</v>
      </c>
      <c r="E14" s="279" t="s">
        <v>70</v>
      </c>
      <c r="F14" s="279" t="s">
        <v>71</v>
      </c>
      <c r="G14" s="43" t="s">
        <v>72</v>
      </c>
      <c r="H14" s="35">
        <v>10</v>
      </c>
      <c r="I14" s="35" t="s">
        <v>73</v>
      </c>
      <c r="J14" s="279" t="s">
        <v>70</v>
      </c>
      <c r="K14" s="4"/>
      <c r="L14" s="66">
        <v>10017000</v>
      </c>
      <c r="M14" s="65">
        <f t="shared" si="8"/>
        <v>1903230</v>
      </c>
      <c r="N14" s="69">
        <f t="shared" si="9"/>
        <v>11920230</v>
      </c>
      <c r="O14" s="7">
        <f t="shared" si="10"/>
        <v>100170000</v>
      </c>
      <c r="P14" s="7">
        <f t="shared" si="11"/>
        <v>119202300</v>
      </c>
      <c r="Q14" s="78">
        <v>9646509</v>
      </c>
      <c r="R14" s="65">
        <f t="shared" si="0"/>
        <v>1832836.71</v>
      </c>
      <c r="S14" s="69">
        <f t="shared" si="1"/>
        <v>11479345.710000001</v>
      </c>
      <c r="T14" s="7">
        <f t="shared" si="12"/>
        <v>96465090</v>
      </c>
      <c r="U14" s="7">
        <f t="shared" si="13"/>
        <v>114793457.10000001</v>
      </c>
      <c r="V14" s="7">
        <v>9000000</v>
      </c>
      <c r="W14" s="7">
        <v>1710000</v>
      </c>
      <c r="X14" s="7">
        <v>10710000</v>
      </c>
      <c r="Y14" s="7">
        <f t="shared" si="14"/>
        <v>90000000</v>
      </c>
      <c r="Z14" s="7">
        <f t="shared" si="15"/>
        <v>107100000</v>
      </c>
      <c r="AA14" s="7">
        <f t="shared" si="2"/>
        <v>9554503</v>
      </c>
      <c r="AB14" s="7">
        <f t="shared" si="3"/>
        <v>1815355.57</v>
      </c>
      <c r="AC14" s="7">
        <f t="shared" si="4"/>
        <v>11369858.57</v>
      </c>
      <c r="AD14" s="7">
        <f t="shared" si="5"/>
        <v>95545030</v>
      </c>
      <c r="AE14" s="7">
        <f t="shared" si="6"/>
        <v>113698585.7</v>
      </c>
      <c r="AF14" s="127">
        <f t="shared" si="16"/>
        <v>5001031.4842309272</v>
      </c>
      <c r="AG14" s="128">
        <f t="shared" si="7"/>
        <v>4.3984992895394717E-2</v>
      </c>
    </row>
    <row r="15" spans="1:36" ht="105" x14ac:dyDescent="0.25">
      <c r="A15" s="14">
        <v>13</v>
      </c>
      <c r="B15" s="359"/>
      <c r="C15" s="279"/>
      <c r="D15" s="279"/>
      <c r="E15" s="279"/>
      <c r="F15" s="279"/>
      <c r="G15" s="42" t="s">
        <v>123</v>
      </c>
      <c r="H15" s="35">
        <v>10</v>
      </c>
      <c r="I15" s="35" t="s">
        <v>44</v>
      </c>
      <c r="J15" s="279"/>
      <c r="K15" s="4"/>
      <c r="L15" s="66">
        <v>9121294.6999999993</v>
      </c>
      <c r="M15" s="65">
        <f t="shared" si="8"/>
        <v>1733045.9929999998</v>
      </c>
      <c r="N15" s="69">
        <f t="shared" si="9"/>
        <v>10854340.693</v>
      </c>
      <c r="O15" s="7">
        <f t="shared" si="10"/>
        <v>91212947</v>
      </c>
      <c r="P15" s="7">
        <f t="shared" si="11"/>
        <v>108543406.93000001</v>
      </c>
      <c r="Q15" s="78">
        <v>8250304</v>
      </c>
      <c r="R15" s="65">
        <f t="shared" si="0"/>
        <v>1567557.76</v>
      </c>
      <c r="S15" s="69">
        <f t="shared" si="1"/>
        <v>9817861.7599999998</v>
      </c>
      <c r="T15" s="7">
        <f t="shared" si="12"/>
        <v>82503040</v>
      </c>
      <c r="U15" s="7">
        <f t="shared" si="13"/>
        <v>98178617.599999994</v>
      </c>
      <c r="V15" s="7">
        <v>8195233</v>
      </c>
      <c r="W15" s="7">
        <v>1557094</v>
      </c>
      <c r="X15" s="7">
        <v>9752328</v>
      </c>
      <c r="Y15" s="7">
        <f t="shared" si="14"/>
        <v>81952330</v>
      </c>
      <c r="Z15" s="7">
        <f t="shared" si="15"/>
        <v>97523280</v>
      </c>
      <c r="AA15" s="7">
        <f t="shared" si="2"/>
        <v>8522277.2333333325</v>
      </c>
      <c r="AB15" s="7">
        <f t="shared" si="3"/>
        <v>1619232.5843333332</v>
      </c>
      <c r="AC15" s="7">
        <f t="shared" si="4"/>
        <v>10141510.151000001</v>
      </c>
      <c r="AD15" s="7">
        <f t="shared" si="5"/>
        <v>85222772.333333328</v>
      </c>
      <c r="AE15" s="7">
        <f t="shared" si="6"/>
        <v>101415101.50999999</v>
      </c>
      <c r="AF15" s="127">
        <f t="shared" si="16"/>
        <v>5047568.4220618904</v>
      </c>
      <c r="AG15" s="128">
        <f t="shared" si="7"/>
        <v>4.9771368828775239E-2</v>
      </c>
    </row>
    <row r="16" spans="1:36" ht="60" x14ac:dyDescent="0.25">
      <c r="A16" s="5">
        <v>14</v>
      </c>
      <c r="B16" s="359"/>
      <c r="C16" s="279"/>
      <c r="D16" s="279"/>
      <c r="E16" s="279"/>
      <c r="F16" s="279"/>
      <c r="G16" s="42" t="s">
        <v>169</v>
      </c>
      <c r="H16" s="35">
        <v>50</v>
      </c>
      <c r="I16" s="35" t="s">
        <v>44</v>
      </c>
      <c r="J16" s="279"/>
      <c r="K16" s="4"/>
      <c r="L16" s="66">
        <v>1446900</v>
      </c>
      <c r="M16" s="65">
        <f t="shared" si="8"/>
        <v>274911</v>
      </c>
      <c r="N16" s="69">
        <f t="shared" si="9"/>
        <v>1721811</v>
      </c>
      <c r="O16" s="7">
        <f t="shared" si="10"/>
        <v>72345000</v>
      </c>
      <c r="P16" s="7">
        <f t="shared" si="11"/>
        <v>86090550</v>
      </c>
      <c r="Q16" s="78">
        <v>1307356</v>
      </c>
      <c r="R16" s="65">
        <f t="shared" si="0"/>
        <v>248397.64</v>
      </c>
      <c r="S16" s="69">
        <f t="shared" si="1"/>
        <v>1555753.6400000001</v>
      </c>
      <c r="T16" s="7">
        <f t="shared" si="12"/>
        <v>65367800</v>
      </c>
      <c r="U16" s="7">
        <f t="shared" si="13"/>
        <v>77787682</v>
      </c>
      <c r="V16" s="7">
        <v>1300000</v>
      </c>
      <c r="W16" s="7">
        <v>247000</v>
      </c>
      <c r="X16" s="7">
        <v>1547000</v>
      </c>
      <c r="Y16" s="7">
        <f t="shared" si="14"/>
        <v>65000000</v>
      </c>
      <c r="Z16" s="7">
        <f t="shared" si="15"/>
        <v>77350000</v>
      </c>
      <c r="AA16" s="7">
        <f t="shared" si="2"/>
        <v>1351418.6666666667</v>
      </c>
      <c r="AB16" s="7">
        <f t="shared" si="3"/>
        <v>256769.54666666666</v>
      </c>
      <c r="AC16" s="7">
        <f t="shared" si="4"/>
        <v>1608188.2133333336</v>
      </c>
      <c r="AD16" s="7">
        <f t="shared" si="5"/>
        <v>67570933.333333328</v>
      </c>
      <c r="AE16" s="7">
        <f t="shared" si="6"/>
        <v>80409410.666666672</v>
      </c>
      <c r="AF16" s="127">
        <f t="shared" si="16"/>
        <v>4021144.0724285864</v>
      </c>
      <c r="AG16" s="128">
        <f t="shared" si="7"/>
        <v>5.0008376371492698E-2</v>
      </c>
    </row>
    <row r="17" spans="1:34" ht="75" x14ac:dyDescent="0.25">
      <c r="A17" s="14">
        <v>15</v>
      </c>
      <c r="B17" s="359"/>
      <c r="C17" s="279"/>
      <c r="D17" s="279"/>
      <c r="E17" s="279"/>
      <c r="F17" s="279"/>
      <c r="G17" s="42" t="s">
        <v>125</v>
      </c>
      <c r="H17" s="35">
        <v>10</v>
      </c>
      <c r="I17" s="35" t="s">
        <v>44</v>
      </c>
      <c r="J17" s="279"/>
      <c r="K17" s="4"/>
      <c r="L17" s="66">
        <v>2352065.7999999998</v>
      </c>
      <c r="M17" s="65">
        <f t="shared" si="8"/>
        <v>446892.50199999998</v>
      </c>
      <c r="N17" s="69">
        <f t="shared" si="9"/>
        <v>2798958.3019999997</v>
      </c>
      <c r="O17" s="7">
        <f t="shared" si="10"/>
        <v>23520658</v>
      </c>
      <c r="P17" s="7">
        <f t="shared" si="11"/>
        <v>27989583.019999996</v>
      </c>
      <c r="Q17" s="78">
        <v>4442471</v>
      </c>
      <c r="R17" s="65">
        <f t="shared" si="0"/>
        <v>844069.49</v>
      </c>
      <c r="S17" s="69">
        <f t="shared" si="1"/>
        <v>5286540.49</v>
      </c>
      <c r="T17" s="7">
        <f t="shared" si="12"/>
        <v>44424710</v>
      </c>
      <c r="U17" s="7">
        <f t="shared" si="13"/>
        <v>52865404.900000006</v>
      </c>
      <c r="V17" s="7">
        <v>2113267</v>
      </c>
      <c r="W17" s="7">
        <v>401521</v>
      </c>
      <c r="X17" s="7">
        <v>2514787</v>
      </c>
      <c r="Y17" s="7">
        <f t="shared" si="14"/>
        <v>21132670</v>
      </c>
      <c r="Z17" s="7">
        <f t="shared" si="15"/>
        <v>25147870</v>
      </c>
      <c r="AA17" s="7">
        <f t="shared" si="2"/>
        <v>2969267.9333333336</v>
      </c>
      <c r="AB17" s="7">
        <f t="shared" si="3"/>
        <v>564160.99733333336</v>
      </c>
      <c r="AC17" s="7">
        <f t="shared" si="4"/>
        <v>3533428.597333333</v>
      </c>
      <c r="AD17" s="7">
        <f t="shared" si="5"/>
        <v>29692679.333333332</v>
      </c>
      <c r="AE17" s="7">
        <f t="shared" si="6"/>
        <v>35334285.973333336</v>
      </c>
      <c r="AF17" s="127">
        <f t="shared" si="16"/>
        <v>12450540.318602161</v>
      </c>
      <c r="AG17" s="128">
        <f t="shared" si="7"/>
        <v>0.35236428232902572</v>
      </c>
    </row>
    <row r="18" spans="1:34" ht="30" x14ac:dyDescent="0.25">
      <c r="A18" s="5">
        <v>16</v>
      </c>
      <c r="B18" s="359"/>
      <c r="C18" s="279"/>
      <c r="D18" s="279"/>
      <c r="E18" s="279"/>
      <c r="F18" s="279"/>
      <c r="G18" s="42" t="s">
        <v>126</v>
      </c>
      <c r="H18" s="35">
        <v>150</v>
      </c>
      <c r="I18" s="35" t="s">
        <v>44</v>
      </c>
      <c r="J18" s="279"/>
      <c r="K18" s="4"/>
      <c r="L18" s="66">
        <v>4279.4849999999997</v>
      </c>
      <c r="M18" s="65">
        <f t="shared" si="8"/>
        <v>813.10214999999994</v>
      </c>
      <c r="N18" s="69">
        <f t="shared" si="9"/>
        <v>5092.5871499999994</v>
      </c>
      <c r="O18" s="7">
        <f t="shared" si="10"/>
        <v>641922.75</v>
      </c>
      <c r="P18" s="7">
        <f t="shared" si="11"/>
        <v>763888.07249999989</v>
      </c>
      <c r="Q18" s="78">
        <v>5711</v>
      </c>
      <c r="R18" s="65">
        <f t="shared" si="0"/>
        <v>1085.0899999999999</v>
      </c>
      <c r="S18" s="69">
        <f t="shared" si="1"/>
        <v>6796.09</v>
      </c>
      <c r="T18" s="7">
        <f t="shared" si="12"/>
        <v>856650</v>
      </c>
      <c r="U18" s="7">
        <f t="shared" si="13"/>
        <v>1019413.5</v>
      </c>
      <c r="V18" s="7">
        <v>3845</v>
      </c>
      <c r="W18" s="7">
        <v>731</v>
      </c>
      <c r="X18" s="7">
        <v>4576</v>
      </c>
      <c r="Y18" s="7">
        <f t="shared" si="14"/>
        <v>576750</v>
      </c>
      <c r="Z18" s="7">
        <f t="shared" si="15"/>
        <v>686400</v>
      </c>
      <c r="AA18" s="7">
        <f t="shared" si="2"/>
        <v>4611.8283333333338</v>
      </c>
      <c r="AB18" s="7">
        <f t="shared" si="3"/>
        <v>876.39738333333332</v>
      </c>
      <c r="AC18" s="7">
        <f t="shared" si="4"/>
        <v>5488.2257166666668</v>
      </c>
      <c r="AD18" s="7">
        <f t="shared" si="5"/>
        <v>691774.25</v>
      </c>
      <c r="AE18" s="7">
        <f t="shared" si="6"/>
        <v>823233.85749999993</v>
      </c>
      <c r="AF18" s="127">
        <f t="shared" si="16"/>
        <v>142281.26942436286</v>
      </c>
      <c r="AG18" s="128">
        <f t="shared" si="7"/>
        <v>0.17283214013627091</v>
      </c>
    </row>
    <row r="19" spans="1:34" ht="30" x14ac:dyDescent="0.25">
      <c r="A19" s="14">
        <v>17</v>
      </c>
      <c r="B19" s="359"/>
      <c r="C19" s="279"/>
      <c r="D19" s="279"/>
      <c r="E19" s="279"/>
      <c r="F19" s="279"/>
      <c r="G19" s="42" t="s">
        <v>171</v>
      </c>
      <c r="H19" s="35">
        <v>300</v>
      </c>
      <c r="I19" s="35" t="s">
        <v>44</v>
      </c>
      <c r="J19" s="279"/>
      <c r="K19" s="4"/>
      <c r="L19" s="66">
        <v>12876.853500000001</v>
      </c>
      <c r="M19" s="65">
        <f t="shared" si="8"/>
        <v>2446.6021650000002</v>
      </c>
      <c r="N19" s="69">
        <f t="shared" si="9"/>
        <v>15323.455665000001</v>
      </c>
      <c r="O19" s="7">
        <f t="shared" si="10"/>
        <v>3863056.0500000003</v>
      </c>
      <c r="P19" s="7">
        <f t="shared" si="11"/>
        <v>4597036.6995000001</v>
      </c>
      <c r="Q19" s="78">
        <v>9139</v>
      </c>
      <c r="R19" s="65">
        <f t="shared" si="0"/>
        <v>1736.41</v>
      </c>
      <c r="S19" s="69">
        <f t="shared" si="1"/>
        <v>10875.41</v>
      </c>
      <c r="T19" s="7">
        <f t="shared" si="12"/>
        <v>2741700</v>
      </c>
      <c r="U19" s="7">
        <f t="shared" si="13"/>
        <v>3262623</v>
      </c>
      <c r="V19" s="7">
        <v>11570</v>
      </c>
      <c r="W19" s="7">
        <v>2198</v>
      </c>
      <c r="X19" s="7">
        <v>13768</v>
      </c>
      <c r="Y19" s="7">
        <f t="shared" si="14"/>
        <v>3471000</v>
      </c>
      <c r="Z19" s="7">
        <f t="shared" si="15"/>
        <v>4130400</v>
      </c>
      <c r="AA19" s="7">
        <f t="shared" si="2"/>
        <v>11195.2845</v>
      </c>
      <c r="AB19" s="7">
        <f t="shared" si="3"/>
        <v>2127.0040549999999</v>
      </c>
      <c r="AC19" s="7">
        <f t="shared" si="4"/>
        <v>13322.288555000001</v>
      </c>
      <c r="AD19" s="7">
        <f t="shared" si="5"/>
        <v>3358585.35</v>
      </c>
      <c r="AE19" s="7">
        <f t="shared" si="6"/>
        <v>3996686.5665000002</v>
      </c>
      <c r="AF19" s="127">
        <f t="shared" si="16"/>
        <v>552916.17331930075</v>
      </c>
      <c r="AG19" s="128">
        <f t="shared" si="7"/>
        <v>0.13834364144384317</v>
      </c>
    </row>
    <row r="20" spans="1:34" ht="45" x14ac:dyDescent="0.25">
      <c r="A20" s="5">
        <v>18</v>
      </c>
      <c r="B20" s="359"/>
      <c r="C20" s="279"/>
      <c r="D20" s="279"/>
      <c r="E20" s="279"/>
      <c r="F20" s="279"/>
      <c r="G20" s="42" t="s">
        <v>172</v>
      </c>
      <c r="H20" s="35">
        <v>10</v>
      </c>
      <c r="I20" s="35" t="s">
        <v>44</v>
      </c>
      <c r="J20" s="279"/>
      <c r="K20" s="4"/>
      <c r="L20" s="66">
        <v>1780800</v>
      </c>
      <c r="M20" s="65">
        <f t="shared" si="8"/>
        <v>338352</v>
      </c>
      <c r="N20" s="69">
        <f t="shared" si="9"/>
        <v>2119152</v>
      </c>
      <c r="O20" s="7">
        <f t="shared" si="10"/>
        <v>17808000</v>
      </c>
      <c r="P20" s="69">
        <v>2119152</v>
      </c>
      <c r="Q20" s="78">
        <v>2600000</v>
      </c>
      <c r="R20" s="65">
        <f t="shared" si="0"/>
        <v>494000</v>
      </c>
      <c r="S20" s="69">
        <f t="shared" si="1"/>
        <v>3094000</v>
      </c>
      <c r="T20" s="7">
        <f t="shared" si="12"/>
        <v>26000000</v>
      </c>
      <c r="U20" s="7">
        <f t="shared" si="13"/>
        <v>30940000</v>
      </c>
      <c r="V20" s="7">
        <v>1600000</v>
      </c>
      <c r="W20" s="7">
        <v>304000</v>
      </c>
      <c r="X20" s="7">
        <v>1904000</v>
      </c>
      <c r="Y20" s="7">
        <f t="shared" si="14"/>
        <v>16000000</v>
      </c>
      <c r="Z20" s="7">
        <f t="shared" si="15"/>
        <v>19040000</v>
      </c>
      <c r="AA20" s="7">
        <f t="shared" si="2"/>
        <v>1993600</v>
      </c>
      <c r="AB20" s="7">
        <f t="shared" si="3"/>
        <v>378784</v>
      </c>
      <c r="AC20" s="7">
        <f t="shared" si="4"/>
        <v>2372384</v>
      </c>
      <c r="AD20" s="7">
        <f t="shared" si="5"/>
        <v>19936000</v>
      </c>
      <c r="AE20" s="7">
        <f>AVERAGE(P20,Z20)</f>
        <v>10579576</v>
      </c>
      <c r="AF20" s="127">
        <f>_xlfn.STDEV.P(P20,Z20)</f>
        <v>8460424</v>
      </c>
      <c r="AG20" s="128">
        <f t="shared" si="7"/>
        <v>0.79969405201115806</v>
      </c>
    </row>
    <row r="21" spans="1:34" ht="45" x14ac:dyDescent="0.25">
      <c r="A21" s="14">
        <v>19</v>
      </c>
      <c r="B21" s="360"/>
      <c r="C21" s="279"/>
      <c r="D21" s="279"/>
      <c r="E21" s="279"/>
      <c r="F21" s="279"/>
      <c r="G21" s="42" t="s">
        <v>173</v>
      </c>
      <c r="H21" s="35">
        <v>10</v>
      </c>
      <c r="I21" s="35" t="s">
        <v>44</v>
      </c>
      <c r="J21" s="279"/>
      <c r="K21" s="4"/>
      <c r="L21" s="66">
        <v>181049.55882352943</v>
      </c>
      <c r="M21" s="65">
        <f t="shared" si="8"/>
        <v>34399.416176470593</v>
      </c>
      <c r="N21" s="69">
        <f t="shared" si="9"/>
        <v>215448.97500000003</v>
      </c>
      <c r="O21" s="7">
        <f t="shared" si="10"/>
        <v>1810495.5882352942</v>
      </c>
      <c r="P21" s="7">
        <f t="shared" si="11"/>
        <v>2154489.7500000005</v>
      </c>
      <c r="Q21" s="78">
        <v>247509</v>
      </c>
      <c r="R21" s="65">
        <f t="shared" si="0"/>
        <v>47026.71</v>
      </c>
      <c r="S21" s="69">
        <f t="shared" si="1"/>
        <v>294535.71000000002</v>
      </c>
      <c r="T21" s="7">
        <f t="shared" si="12"/>
        <v>2475090</v>
      </c>
      <c r="U21" s="7">
        <f t="shared" si="13"/>
        <v>2945357.1</v>
      </c>
      <c r="V21" s="7">
        <v>162668</v>
      </c>
      <c r="W21" s="7">
        <v>30907</v>
      </c>
      <c r="X21" s="7">
        <v>193575</v>
      </c>
      <c r="Y21" s="7">
        <f t="shared" si="14"/>
        <v>1626680</v>
      </c>
      <c r="Z21" s="7">
        <f t="shared" si="15"/>
        <v>1935750</v>
      </c>
      <c r="AA21" s="7">
        <f t="shared" ref="AA21" si="17">AVERAGE(L21,Q21,V21)</f>
        <v>197075.51960784313</v>
      </c>
      <c r="AB21" s="7">
        <f t="shared" ref="AB21" si="18">AVERAGE(M21,R21,W21)</f>
        <v>37444.375392156864</v>
      </c>
      <c r="AC21" s="7">
        <f t="shared" ref="AC21" si="19">AVERAGE(N21,S21,X21)</f>
        <v>234519.89500000002</v>
      </c>
      <c r="AD21" s="7">
        <f t="shared" ref="AD21" si="20">AVERAGE(O21,T21,Y21)</f>
        <v>1970755.1960784316</v>
      </c>
      <c r="AE21" s="7">
        <f t="shared" ref="AE21" si="21">AVERAGE(P21,U21,Z21)</f>
        <v>2345198.9500000002</v>
      </c>
      <c r="AF21" s="127">
        <f>_xlfn.STDEV.P(P21,U21,Z21)</f>
        <v>433669.70789306314</v>
      </c>
      <c r="AG21" s="128">
        <f t="shared" si="7"/>
        <v>0.18491808888668618</v>
      </c>
    </row>
    <row r="22" spans="1:34" ht="36.4" customHeight="1" x14ac:dyDescent="0.25">
      <c r="A22" s="33"/>
      <c r="B22" s="33"/>
      <c r="C22" s="33"/>
      <c r="D22" s="33"/>
      <c r="E22" s="33"/>
      <c r="F22" s="10"/>
      <c r="G22" s="9"/>
      <c r="H22" s="9"/>
      <c r="I22" s="9"/>
      <c r="J22" s="33"/>
      <c r="K22" s="9"/>
      <c r="L22" s="11"/>
      <c r="M22" s="11"/>
      <c r="N22" s="11"/>
      <c r="O22" s="12"/>
      <c r="P22" s="12">
        <f>SUM(P3:P21)</f>
        <v>662896282.27199996</v>
      </c>
      <c r="Q22" s="11"/>
      <c r="R22" s="11"/>
      <c r="S22" s="11"/>
      <c r="T22" s="12"/>
      <c r="U22" s="12">
        <f>SUM(U3:U21)</f>
        <v>669733207.85000002</v>
      </c>
      <c r="V22" s="11"/>
      <c r="W22" s="11"/>
      <c r="X22" s="11"/>
      <c r="Y22" s="12"/>
      <c r="Z22" s="12">
        <f>SUM(Z3:Z21)</f>
        <v>612730300</v>
      </c>
      <c r="AA22" s="11"/>
      <c r="AB22" s="11"/>
      <c r="AC22" s="11"/>
      <c r="AD22" s="12"/>
      <c r="AE22" s="12">
        <f>SUM(AE3:AE14)</f>
        <v>406762961.84999996</v>
      </c>
      <c r="AF22" s="12"/>
      <c r="AG22" s="29"/>
    </row>
    <row r="23" spans="1:34" x14ac:dyDescent="0.25">
      <c r="A23" s="3"/>
      <c r="B23" s="3"/>
      <c r="C23" s="3"/>
      <c r="D23" s="3"/>
      <c r="E23" s="3"/>
      <c r="F23" s="3"/>
      <c r="G23" s="3"/>
      <c r="H23" s="3"/>
      <c r="I23" s="3"/>
      <c r="J23" s="3"/>
      <c r="K23" s="3"/>
      <c r="L23" s="3"/>
      <c r="M23" s="3"/>
      <c r="N23" s="3"/>
      <c r="O23" s="3"/>
      <c r="P23" s="79">
        <f>P22+$J$96</f>
        <v>1373944282.2719998</v>
      </c>
      <c r="Q23" s="3"/>
      <c r="R23" s="3"/>
      <c r="S23" s="3"/>
      <c r="T23" s="3"/>
      <c r="U23" s="79">
        <f>U22+$J$96</f>
        <v>1380781207.8499999</v>
      </c>
      <c r="V23" s="3"/>
      <c r="W23" s="3"/>
      <c r="X23" s="3"/>
      <c r="Y23" s="3"/>
      <c r="Z23" s="79">
        <f>Z22+$J$96</f>
        <v>1323778300</v>
      </c>
      <c r="AA23" s="3"/>
      <c r="AB23" s="3"/>
      <c r="AC23" s="3"/>
      <c r="AD23" s="3"/>
      <c r="AE23" s="79" t="e">
        <f>AE22+J96+N100+N106</f>
        <v>#REF!</v>
      </c>
      <c r="AF23" s="153"/>
      <c r="AG23" s="154"/>
      <c r="AH23" s="233">
        <v>1305484000</v>
      </c>
    </row>
    <row r="24" spans="1:34" x14ac:dyDescent="0.25">
      <c r="AG24" s="234"/>
      <c r="AH24" s="147" t="e">
        <f>+AH23-AE23</f>
        <v>#REF!</v>
      </c>
    </row>
    <row r="25" spans="1:34" ht="165" customHeight="1" x14ac:dyDescent="0.25">
      <c r="A25" s="235"/>
      <c r="C25" s="48"/>
      <c r="D25" s="49"/>
      <c r="E25" s="49"/>
      <c r="F25" s="49" t="s">
        <v>74</v>
      </c>
      <c r="G25" s="49" t="s">
        <v>75</v>
      </c>
      <c r="H25" s="50" t="s">
        <v>76</v>
      </c>
      <c r="I25" s="51" t="s">
        <v>77</v>
      </c>
      <c r="J25" s="52" t="s">
        <v>78</v>
      </c>
      <c r="K25" s="70" t="s">
        <v>79</v>
      </c>
      <c r="L25" s="53"/>
      <c r="M25" s="53"/>
      <c r="AG25" s="234"/>
    </row>
    <row r="26" spans="1:34" ht="19.149999999999999" customHeight="1" x14ac:dyDescent="0.25">
      <c r="C26" s="301" t="s">
        <v>80</v>
      </c>
      <c r="D26" s="295" t="s">
        <v>81</v>
      </c>
      <c r="E26" s="295">
        <v>1</v>
      </c>
      <c r="F26" s="295" t="s">
        <v>82</v>
      </c>
      <c r="G26" s="176" t="s">
        <v>83</v>
      </c>
      <c r="H26" s="295">
        <v>1</v>
      </c>
      <c r="I26" s="304">
        <v>8</v>
      </c>
      <c r="J26" s="298">
        <v>8000000</v>
      </c>
      <c r="K26" s="298">
        <f>J26*I26*H26</f>
        <v>64000000</v>
      </c>
      <c r="L26" s="71"/>
      <c r="M26" s="71"/>
      <c r="AG26" s="234"/>
    </row>
    <row r="27" spans="1:34" ht="39.4" customHeight="1" x14ac:dyDescent="0.25">
      <c r="C27" s="302"/>
      <c r="D27" s="296"/>
      <c r="E27" s="296"/>
      <c r="F27" s="296"/>
      <c r="G27" s="177" t="s">
        <v>84</v>
      </c>
      <c r="H27" s="296"/>
      <c r="I27" s="305"/>
      <c r="J27" s="299"/>
      <c r="K27" s="299"/>
      <c r="L27" s="71"/>
      <c r="M27" s="71"/>
      <c r="AG27" s="234"/>
    </row>
    <row r="28" spans="1:34" ht="18" customHeight="1" x14ac:dyDescent="0.25">
      <c r="C28" s="302"/>
      <c r="D28" s="296"/>
      <c r="E28" s="296"/>
      <c r="F28" s="296"/>
      <c r="G28" s="176" t="s">
        <v>85</v>
      </c>
      <c r="H28" s="296"/>
      <c r="I28" s="305"/>
      <c r="J28" s="299"/>
      <c r="K28" s="299"/>
      <c r="L28" s="71"/>
      <c r="M28" s="71"/>
      <c r="AG28" s="234"/>
    </row>
    <row r="29" spans="1:34" ht="39.4" customHeight="1" x14ac:dyDescent="0.25">
      <c r="C29" s="302"/>
      <c r="D29" s="296"/>
      <c r="E29" s="296"/>
      <c r="F29" s="296"/>
      <c r="G29" s="177" t="s">
        <v>86</v>
      </c>
      <c r="H29" s="296"/>
      <c r="I29" s="305"/>
      <c r="J29" s="299"/>
      <c r="K29" s="299"/>
      <c r="L29" s="71"/>
      <c r="M29" s="71"/>
      <c r="AG29" s="234"/>
    </row>
    <row r="30" spans="1:34" ht="18" customHeight="1" x14ac:dyDescent="0.25">
      <c r="C30" s="302"/>
      <c r="D30" s="296"/>
      <c r="E30" s="296"/>
      <c r="F30" s="296"/>
      <c r="G30" s="176" t="s">
        <v>87</v>
      </c>
      <c r="H30" s="296"/>
      <c r="I30" s="305"/>
      <c r="J30" s="299"/>
      <c r="K30" s="299"/>
      <c r="L30" s="71"/>
      <c r="M30" s="71"/>
      <c r="AG30" s="234"/>
    </row>
    <row r="31" spans="1:34" ht="39.4" customHeight="1" x14ac:dyDescent="0.25">
      <c r="C31" s="302"/>
      <c r="D31" s="296"/>
      <c r="E31" s="296"/>
      <c r="F31" s="296"/>
      <c r="G31" s="177" t="s">
        <v>88</v>
      </c>
      <c r="H31" s="296"/>
      <c r="I31" s="305"/>
      <c r="J31" s="299"/>
      <c r="K31" s="299"/>
      <c r="L31" s="71"/>
      <c r="M31" s="71"/>
      <c r="AG31" s="1"/>
    </row>
    <row r="32" spans="1:34" ht="19.899999999999999" customHeight="1" x14ac:dyDescent="0.25">
      <c r="C32" s="303"/>
      <c r="D32" s="296"/>
      <c r="E32" s="297"/>
      <c r="F32" s="297"/>
      <c r="G32" s="178" t="s">
        <v>89</v>
      </c>
      <c r="H32" s="297"/>
      <c r="I32" s="306"/>
      <c r="J32" s="300"/>
      <c r="K32" s="300"/>
      <c r="L32" s="71"/>
      <c r="M32" s="71"/>
      <c r="AG32" s="1"/>
    </row>
    <row r="33" spans="3:33" ht="15.4" customHeight="1" x14ac:dyDescent="0.25">
      <c r="C33" s="301" t="s">
        <v>80</v>
      </c>
      <c r="D33" s="296"/>
      <c r="E33" s="295">
        <v>2</v>
      </c>
      <c r="F33" s="295" t="s">
        <v>90</v>
      </c>
      <c r="G33" s="176" t="s">
        <v>83</v>
      </c>
      <c r="H33" s="295">
        <v>1</v>
      </c>
      <c r="I33" s="304">
        <v>8</v>
      </c>
      <c r="J33" s="298">
        <v>3381000</v>
      </c>
      <c r="K33" s="298">
        <f>J33*I33*H33</f>
        <v>27048000</v>
      </c>
      <c r="L33" s="71"/>
      <c r="M33" s="71"/>
      <c r="AG33" s="1"/>
    </row>
    <row r="34" spans="3:33" ht="35.65" customHeight="1" x14ac:dyDescent="0.25">
      <c r="C34" s="302"/>
      <c r="D34" s="296"/>
      <c r="E34" s="296"/>
      <c r="F34" s="296"/>
      <c r="G34" s="177" t="s">
        <v>91</v>
      </c>
      <c r="H34" s="296"/>
      <c r="I34" s="305"/>
      <c r="J34" s="299"/>
      <c r="K34" s="299"/>
      <c r="L34" s="72"/>
      <c r="M34" s="72"/>
      <c r="AG34" s="1"/>
    </row>
    <row r="35" spans="3:33" ht="22.9" customHeight="1" x14ac:dyDescent="0.25">
      <c r="C35" s="302"/>
      <c r="D35" s="296"/>
      <c r="E35" s="296"/>
      <c r="F35" s="296"/>
      <c r="G35" s="176" t="s">
        <v>85</v>
      </c>
      <c r="H35" s="296"/>
      <c r="I35" s="305"/>
      <c r="J35" s="299"/>
      <c r="K35" s="299"/>
      <c r="L35" s="72"/>
      <c r="M35" s="72"/>
      <c r="AG35" s="1"/>
    </row>
    <row r="36" spans="3:33" ht="35.65" customHeight="1" x14ac:dyDescent="0.25">
      <c r="C36" s="302"/>
      <c r="D36" s="296"/>
      <c r="E36" s="296"/>
      <c r="F36" s="296"/>
      <c r="G36" s="177" t="s">
        <v>92</v>
      </c>
      <c r="H36" s="296"/>
      <c r="I36" s="305"/>
      <c r="J36" s="299"/>
      <c r="K36" s="299"/>
      <c r="L36" s="72"/>
      <c r="M36" s="72"/>
      <c r="AG36" s="1"/>
    </row>
    <row r="37" spans="3:33" ht="24.4" customHeight="1" x14ac:dyDescent="0.25">
      <c r="C37" s="302"/>
      <c r="D37" s="296"/>
      <c r="E37" s="296"/>
      <c r="F37" s="296"/>
      <c r="G37" s="176" t="s">
        <v>87</v>
      </c>
      <c r="H37" s="296"/>
      <c r="I37" s="305"/>
      <c r="J37" s="299"/>
      <c r="K37" s="299"/>
      <c r="L37" s="72"/>
      <c r="M37" s="72"/>
      <c r="AG37" s="1"/>
    </row>
    <row r="38" spans="3:33" ht="35.65" customHeight="1" x14ac:dyDescent="0.25">
      <c r="C38" s="302"/>
      <c r="D38" s="296"/>
      <c r="E38" s="296"/>
      <c r="F38" s="296"/>
      <c r="G38" s="179" t="s">
        <v>93</v>
      </c>
      <c r="H38" s="296"/>
      <c r="I38" s="305"/>
      <c r="J38" s="299"/>
      <c r="K38" s="299"/>
      <c r="L38" s="72"/>
      <c r="M38" s="72"/>
      <c r="AG38" s="234"/>
    </row>
    <row r="39" spans="3:33" ht="17.649999999999999" customHeight="1" x14ac:dyDescent="0.25">
      <c r="C39" s="303"/>
      <c r="D39" s="296"/>
      <c r="E39" s="297"/>
      <c r="F39" s="297"/>
      <c r="G39" s="178" t="s">
        <v>89</v>
      </c>
      <c r="H39" s="297"/>
      <c r="I39" s="306"/>
      <c r="J39" s="300"/>
      <c r="K39" s="300"/>
      <c r="L39" s="72"/>
      <c r="M39" s="72"/>
      <c r="AG39" s="234"/>
    </row>
    <row r="40" spans="3:33" ht="20.65" customHeight="1" x14ac:dyDescent="0.25">
      <c r="C40" s="301" t="s">
        <v>94</v>
      </c>
      <c r="D40" s="296"/>
      <c r="E40" s="295">
        <v>3</v>
      </c>
      <c r="F40" s="295" t="s">
        <v>95</v>
      </c>
      <c r="G40" s="176" t="s">
        <v>83</v>
      </c>
      <c r="H40" s="295">
        <v>2</v>
      </c>
      <c r="I40" s="307">
        <v>3</v>
      </c>
      <c r="J40" s="298">
        <v>5000000</v>
      </c>
      <c r="K40" s="298">
        <f>J40*I40*H40</f>
        <v>30000000</v>
      </c>
      <c r="L40" s="72"/>
      <c r="M40" s="72"/>
      <c r="AG40" s="234"/>
    </row>
    <row r="41" spans="3:33" ht="35.65" customHeight="1" x14ac:dyDescent="0.25">
      <c r="C41" s="302"/>
      <c r="D41" s="296"/>
      <c r="E41" s="296"/>
      <c r="F41" s="296"/>
      <c r="G41" s="177" t="s">
        <v>96</v>
      </c>
      <c r="H41" s="296"/>
      <c r="I41" s="308"/>
      <c r="J41" s="299"/>
      <c r="K41" s="299"/>
      <c r="L41" s="72"/>
      <c r="M41" s="72"/>
      <c r="AG41" s="234"/>
    </row>
    <row r="42" spans="3:33" ht="18.399999999999999" customHeight="1" x14ac:dyDescent="0.25">
      <c r="C42" s="302"/>
      <c r="D42" s="296"/>
      <c r="E42" s="296"/>
      <c r="F42" s="296"/>
      <c r="G42" s="176" t="s">
        <v>85</v>
      </c>
      <c r="H42" s="296"/>
      <c r="I42" s="308"/>
      <c r="J42" s="299"/>
      <c r="K42" s="299"/>
      <c r="L42" s="72"/>
      <c r="M42" s="72"/>
      <c r="AG42" s="234"/>
    </row>
    <row r="43" spans="3:33" ht="35.65" customHeight="1" x14ac:dyDescent="0.25">
      <c r="C43" s="302"/>
      <c r="D43" s="296"/>
      <c r="E43" s="296"/>
      <c r="F43" s="296"/>
      <c r="G43" s="177" t="s">
        <v>97</v>
      </c>
      <c r="H43" s="296"/>
      <c r="I43" s="308"/>
      <c r="J43" s="299"/>
      <c r="K43" s="299"/>
      <c r="L43" s="72"/>
      <c r="M43" s="72"/>
      <c r="AG43" s="234"/>
    </row>
    <row r="44" spans="3:33" ht="15.4" customHeight="1" x14ac:dyDescent="0.25">
      <c r="C44" s="302"/>
      <c r="D44" s="296"/>
      <c r="E44" s="296"/>
      <c r="F44" s="296"/>
      <c r="G44" s="176" t="s">
        <v>87</v>
      </c>
      <c r="H44" s="296"/>
      <c r="I44" s="308"/>
      <c r="J44" s="299"/>
      <c r="K44" s="299"/>
      <c r="L44" s="72"/>
      <c r="M44" s="72"/>
      <c r="AG44" s="234"/>
    </row>
    <row r="45" spans="3:33" ht="35.65" customHeight="1" x14ac:dyDescent="0.25">
      <c r="C45" s="302"/>
      <c r="D45" s="296"/>
      <c r="E45" s="297"/>
      <c r="F45" s="297"/>
      <c r="G45" s="180" t="s">
        <v>98</v>
      </c>
      <c r="H45" s="297"/>
      <c r="I45" s="309"/>
      <c r="J45" s="300"/>
      <c r="K45" s="300"/>
      <c r="L45" s="72"/>
      <c r="M45" s="72"/>
      <c r="AG45" s="234"/>
    </row>
    <row r="46" spans="3:33" ht="22.9" customHeight="1" x14ac:dyDescent="0.25">
      <c r="C46" s="302"/>
      <c r="D46" s="296"/>
      <c r="E46" s="295">
        <v>4</v>
      </c>
      <c r="F46" s="295" t="s">
        <v>99</v>
      </c>
      <c r="G46" s="176" t="s">
        <v>83</v>
      </c>
      <c r="H46" s="295">
        <v>2</v>
      </c>
      <c r="I46" s="307">
        <v>3</v>
      </c>
      <c r="J46" s="298">
        <v>5000000</v>
      </c>
      <c r="K46" s="298">
        <f>J46*I46*H46</f>
        <v>30000000</v>
      </c>
      <c r="L46" s="72"/>
      <c r="M46" s="72"/>
      <c r="AG46" s="234"/>
    </row>
    <row r="47" spans="3:33" ht="35.65" customHeight="1" x14ac:dyDescent="0.25">
      <c r="C47" s="302"/>
      <c r="D47" s="296"/>
      <c r="E47" s="296"/>
      <c r="F47" s="296"/>
      <c r="G47" s="177" t="s">
        <v>100</v>
      </c>
      <c r="H47" s="296"/>
      <c r="I47" s="308"/>
      <c r="J47" s="299"/>
      <c r="K47" s="299"/>
      <c r="L47" s="72"/>
      <c r="M47" s="72"/>
      <c r="AG47" s="234"/>
    </row>
    <row r="48" spans="3:33" ht="26.65" customHeight="1" x14ac:dyDescent="0.25">
      <c r="C48" s="302"/>
      <c r="D48" s="296"/>
      <c r="E48" s="296"/>
      <c r="F48" s="296"/>
      <c r="G48" s="176" t="s">
        <v>85</v>
      </c>
      <c r="H48" s="296"/>
      <c r="I48" s="308"/>
      <c r="J48" s="299"/>
      <c r="K48" s="299"/>
      <c r="L48" s="72"/>
      <c r="M48" s="72"/>
      <c r="AG48" s="234"/>
    </row>
    <row r="49" spans="3:13" ht="35.65" customHeight="1" x14ac:dyDescent="0.25">
      <c r="C49" s="302"/>
      <c r="D49" s="296"/>
      <c r="E49" s="296"/>
      <c r="F49" s="296"/>
      <c r="G49" s="177" t="s">
        <v>97</v>
      </c>
      <c r="H49" s="296"/>
      <c r="I49" s="308"/>
      <c r="J49" s="299"/>
      <c r="K49" s="299"/>
      <c r="L49" s="72"/>
      <c r="M49" s="72"/>
    </row>
    <row r="50" spans="3:13" ht="20.65" customHeight="1" x14ac:dyDescent="0.25">
      <c r="C50" s="302"/>
      <c r="D50" s="296"/>
      <c r="E50" s="296"/>
      <c r="F50" s="296"/>
      <c r="G50" s="176" t="s">
        <v>87</v>
      </c>
      <c r="H50" s="296"/>
      <c r="I50" s="308"/>
      <c r="J50" s="299"/>
      <c r="K50" s="299"/>
      <c r="L50" s="72"/>
      <c r="M50" s="72"/>
    </row>
    <row r="51" spans="3:13" ht="35.65" customHeight="1" x14ac:dyDescent="0.25">
      <c r="C51" s="303"/>
      <c r="D51" s="296"/>
      <c r="E51" s="297"/>
      <c r="F51" s="297"/>
      <c r="G51" s="180" t="s">
        <v>101</v>
      </c>
      <c r="H51" s="297"/>
      <c r="I51" s="309"/>
      <c r="J51" s="300"/>
      <c r="K51" s="300"/>
      <c r="L51" s="72"/>
      <c r="M51" s="72"/>
    </row>
    <row r="52" spans="3:13" ht="35.65" customHeight="1" x14ac:dyDescent="0.25">
      <c r="C52" s="301" t="s">
        <v>102</v>
      </c>
      <c r="D52" s="296"/>
      <c r="E52" s="295">
        <v>5</v>
      </c>
      <c r="F52" s="295" t="s">
        <v>95</v>
      </c>
      <c r="G52" s="176" t="s">
        <v>83</v>
      </c>
      <c r="H52" s="310">
        <v>3</v>
      </c>
      <c r="I52" s="307">
        <v>5</v>
      </c>
      <c r="J52" s="298">
        <v>5000000</v>
      </c>
      <c r="K52" s="298">
        <f>J52*I52*H52</f>
        <v>75000000</v>
      </c>
      <c r="L52" s="72"/>
      <c r="M52" s="72"/>
    </row>
    <row r="53" spans="3:13" ht="35.65" customHeight="1" x14ac:dyDescent="0.25">
      <c r="C53" s="302"/>
      <c r="D53" s="296"/>
      <c r="E53" s="296"/>
      <c r="F53" s="296"/>
      <c r="G53" s="177" t="s">
        <v>96</v>
      </c>
      <c r="H53" s="311"/>
      <c r="I53" s="308"/>
      <c r="J53" s="299"/>
      <c r="K53" s="299"/>
      <c r="L53" s="72"/>
      <c r="M53" s="72"/>
    </row>
    <row r="54" spans="3:13" ht="35.65" customHeight="1" x14ac:dyDescent="0.25">
      <c r="C54" s="302"/>
      <c r="D54" s="296"/>
      <c r="E54" s="296"/>
      <c r="F54" s="296"/>
      <c r="G54" s="176" t="s">
        <v>85</v>
      </c>
      <c r="H54" s="311"/>
      <c r="I54" s="308"/>
      <c r="J54" s="299"/>
      <c r="K54" s="299"/>
      <c r="L54" s="72"/>
      <c r="M54" s="72"/>
    </row>
    <row r="55" spans="3:13" ht="35.65" customHeight="1" x14ac:dyDescent="0.25">
      <c r="C55" s="302"/>
      <c r="D55" s="296"/>
      <c r="E55" s="296"/>
      <c r="F55" s="296"/>
      <c r="G55" s="177" t="s">
        <v>97</v>
      </c>
      <c r="H55" s="311"/>
      <c r="I55" s="308"/>
      <c r="J55" s="299"/>
      <c r="K55" s="299"/>
      <c r="L55" s="72"/>
      <c r="M55" s="72"/>
    </row>
    <row r="56" spans="3:13" ht="35.65" customHeight="1" x14ac:dyDescent="0.25">
      <c r="C56" s="302"/>
      <c r="D56" s="296"/>
      <c r="E56" s="296"/>
      <c r="F56" s="296"/>
      <c r="G56" s="176" t="s">
        <v>87</v>
      </c>
      <c r="H56" s="311"/>
      <c r="I56" s="308"/>
      <c r="J56" s="299"/>
      <c r="K56" s="299"/>
      <c r="L56" s="72"/>
      <c r="M56" s="72"/>
    </row>
    <row r="57" spans="3:13" ht="35.65" customHeight="1" x14ac:dyDescent="0.25">
      <c r="C57" s="302"/>
      <c r="D57" s="296"/>
      <c r="E57" s="297"/>
      <c r="F57" s="297"/>
      <c r="G57" s="180" t="s">
        <v>98</v>
      </c>
      <c r="H57" s="312"/>
      <c r="I57" s="309"/>
      <c r="J57" s="300"/>
      <c r="K57" s="300"/>
      <c r="L57" s="72"/>
      <c r="M57" s="72"/>
    </row>
    <row r="58" spans="3:13" ht="35.65" customHeight="1" x14ac:dyDescent="0.25">
      <c r="C58" s="302"/>
      <c r="D58" s="296"/>
      <c r="E58" s="295">
        <v>6</v>
      </c>
      <c r="F58" s="295" t="s">
        <v>99</v>
      </c>
      <c r="G58" s="176" t="s">
        <v>83</v>
      </c>
      <c r="H58" s="310">
        <v>3</v>
      </c>
      <c r="I58" s="307">
        <v>5</v>
      </c>
      <c r="J58" s="298">
        <v>5000000</v>
      </c>
      <c r="K58" s="298">
        <f>J58*I58*H58</f>
        <v>75000000</v>
      </c>
      <c r="L58" s="72"/>
      <c r="M58" s="72"/>
    </row>
    <row r="59" spans="3:13" ht="35.65" customHeight="1" x14ac:dyDescent="0.25">
      <c r="C59" s="302"/>
      <c r="D59" s="296"/>
      <c r="E59" s="296"/>
      <c r="F59" s="296"/>
      <c r="G59" s="177" t="s">
        <v>100</v>
      </c>
      <c r="H59" s="311"/>
      <c r="I59" s="308"/>
      <c r="J59" s="299"/>
      <c r="K59" s="299"/>
      <c r="L59" s="72"/>
      <c r="M59" s="72"/>
    </row>
    <row r="60" spans="3:13" ht="35.65" customHeight="1" x14ac:dyDescent="0.25">
      <c r="C60" s="302"/>
      <c r="D60" s="296"/>
      <c r="E60" s="296"/>
      <c r="F60" s="296"/>
      <c r="G60" s="176" t="s">
        <v>85</v>
      </c>
      <c r="H60" s="311"/>
      <c r="I60" s="308"/>
      <c r="J60" s="299"/>
      <c r="K60" s="299"/>
      <c r="L60" s="72"/>
      <c r="M60" s="72"/>
    </row>
    <row r="61" spans="3:13" ht="35.65" customHeight="1" x14ac:dyDescent="0.25">
      <c r="C61" s="302"/>
      <c r="D61" s="296"/>
      <c r="E61" s="296"/>
      <c r="F61" s="296"/>
      <c r="G61" s="177" t="s">
        <v>97</v>
      </c>
      <c r="H61" s="311"/>
      <c r="I61" s="308"/>
      <c r="J61" s="299"/>
      <c r="K61" s="299"/>
      <c r="L61" s="72"/>
      <c r="M61" s="72"/>
    </row>
    <row r="62" spans="3:13" ht="35.65" customHeight="1" x14ac:dyDescent="0.25">
      <c r="C62" s="302"/>
      <c r="D62" s="296"/>
      <c r="E62" s="296"/>
      <c r="F62" s="296"/>
      <c r="G62" s="176" t="s">
        <v>87</v>
      </c>
      <c r="H62" s="311"/>
      <c r="I62" s="308"/>
      <c r="J62" s="299"/>
      <c r="K62" s="299"/>
      <c r="L62" s="72"/>
      <c r="M62" s="72"/>
    </row>
    <row r="63" spans="3:13" ht="35.65" customHeight="1" x14ac:dyDescent="0.25">
      <c r="C63" s="303"/>
      <c r="D63" s="296"/>
      <c r="E63" s="297"/>
      <c r="F63" s="297"/>
      <c r="G63" s="180" t="s">
        <v>101</v>
      </c>
      <c r="H63" s="312"/>
      <c r="I63" s="309"/>
      <c r="J63" s="300"/>
      <c r="K63" s="300"/>
      <c r="L63" s="72"/>
      <c r="M63" s="72"/>
    </row>
    <row r="64" spans="3:13" ht="15.4" customHeight="1" x14ac:dyDescent="0.25">
      <c r="C64" s="301" t="s">
        <v>103</v>
      </c>
      <c r="D64" s="296"/>
      <c r="E64" s="295">
        <v>7</v>
      </c>
      <c r="F64" s="295" t="s">
        <v>95</v>
      </c>
      <c r="G64" s="176" t="s">
        <v>83</v>
      </c>
      <c r="H64" s="295">
        <v>4</v>
      </c>
      <c r="I64" s="304">
        <v>4</v>
      </c>
      <c r="J64" s="298">
        <v>5000000</v>
      </c>
      <c r="K64" s="298">
        <f>J64*I64*H64</f>
        <v>80000000</v>
      </c>
      <c r="L64" s="72"/>
      <c r="M64" s="72"/>
    </row>
    <row r="65" spans="3:13" ht="35.65" customHeight="1" x14ac:dyDescent="0.25">
      <c r="C65" s="302"/>
      <c r="D65" s="296"/>
      <c r="E65" s="296"/>
      <c r="F65" s="296"/>
      <c r="G65" s="177" t="s">
        <v>96</v>
      </c>
      <c r="H65" s="296"/>
      <c r="I65" s="305"/>
      <c r="J65" s="299"/>
      <c r="K65" s="299"/>
      <c r="L65" s="72"/>
      <c r="M65" s="72"/>
    </row>
    <row r="66" spans="3:13" x14ac:dyDescent="0.25">
      <c r="C66" s="302"/>
      <c r="D66" s="296"/>
      <c r="E66" s="296"/>
      <c r="F66" s="296"/>
      <c r="G66" s="176" t="s">
        <v>85</v>
      </c>
      <c r="H66" s="296"/>
      <c r="I66" s="305"/>
      <c r="J66" s="299"/>
      <c r="K66" s="299"/>
      <c r="L66" s="72"/>
      <c r="M66" s="72"/>
    </row>
    <row r="67" spans="3:13" ht="35.65" customHeight="1" x14ac:dyDescent="0.25">
      <c r="C67" s="302"/>
      <c r="D67" s="296"/>
      <c r="E67" s="296"/>
      <c r="F67" s="296"/>
      <c r="G67" s="177" t="s">
        <v>97</v>
      </c>
      <c r="H67" s="296"/>
      <c r="I67" s="305"/>
      <c r="J67" s="299"/>
      <c r="K67" s="299"/>
      <c r="L67" s="72"/>
      <c r="M67" s="72"/>
    </row>
    <row r="68" spans="3:13" x14ac:dyDescent="0.25">
      <c r="C68" s="302"/>
      <c r="D68" s="296"/>
      <c r="E68" s="296"/>
      <c r="F68" s="296"/>
      <c r="G68" s="176" t="s">
        <v>87</v>
      </c>
      <c r="H68" s="296"/>
      <c r="I68" s="305"/>
      <c r="J68" s="299"/>
      <c r="K68" s="299"/>
      <c r="L68" s="72"/>
      <c r="M68" s="72"/>
    </row>
    <row r="69" spans="3:13" ht="35.65" customHeight="1" x14ac:dyDescent="0.25">
      <c r="C69" s="302"/>
      <c r="D69" s="296"/>
      <c r="E69" s="297"/>
      <c r="F69" s="297"/>
      <c r="G69" s="180" t="s">
        <v>98</v>
      </c>
      <c r="H69" s="297"/>
      <c r="I69" s="306"/>
      <c r="J69" s="300"/>
      <c r="K69" s="300"/>
      <c r="L69" s="72"/>
      <c r="M69" s="72"/>
    </row>
    <row r="70" spans="3:13" ht="15.75" customHeight="1" x14ac:dyDescent="0.25">
      <c r="C70" s="302"/>
      <c r="D70" s="296"/>
      <c r="E70" s="295">
        <v>8</v>
      </c>
      <c r="F70" s="295" t="s">
        <v>99</v>
      </c>
      <c r="G70" s="176" t="s">
        <v>83</v>
      </c>
      <c r="H70" s="295">
        <v>4</v>
      </c>
      <c r="I70" s="304">
        <v>4</v>
      </c>
      <c r="J70" s="298">
        <v>5000000</v>
      </c>
      <c r="K70" s="298">
        <f>J70*I70*H70</f>
        <v>80000000</v>
      </c>
      <c r="L70" s="72"/>
      <c r="M70" s="72"/>
    </row>
    <row r="71" spans="3:13" ht="35.65" customHeight="1" x14ac:dyDescent="0.25">
      <c r="C71" s="302"/>
      <c r="D71" s="296"/>
      <c r="E71" s="296"/>
      <c r="F71" s="296"/>
      <c r="G71" s="177" t="s">
        <v>100</v>
      </c>
      <c r="H71" s="296"/>
      <c r="I71" s="305"/>
      <c r="J71" s="299"/>
      <c r="K71" s="299"/>
      <c r="L71" s="72"/>
      <c r="M71" s="72"/>
    </row>
    <row r="72" spans="3:13" x14ac:dyDescent="0.25">
      <c r="C72" s="302"/>
      <c r="D72" s="296"/>
      <c r="E72" s="296"/>
      <c r="F72" s="296"/>
      <c r="G72" s="176" t="s">
        <v>85</v>
      </c>
      <c r="H72" s="296"/>
      <c r="I72" s="305"/>
      <c r="J72" s="299"/>
      <c r="K72" s="299"/>
      <c r="L72" s="72"/>
      <c r="M72" s="72"/>
    </row>
    <row r="73" spans="3:13" ht="35.65" customHeight="1" x14ac:dyDescent="0.25">
      <c r="C73" s="302"/>
      <c r="D73" s="296"/>
      <c r="E73" s="296"/>
      <c r="F73" s="296"/>
      <c r="G73" s="177" t="s">
        <v>97</v>
      </c>
      <c r="H73" s="296"/>
      <c r="I73" s="305"/>
      <c r="J73" s="299"/>
      <c r="K73" s="299"/>
      <c r="L73" s="72"/>
      <c r="M73" s="72"/>
    </row>
    <row r="74" spans="3:13" x14ac:dyDescent="0.25">
      <c r="C74" s="302"/>
      <c r="D74" s="296"/>
      <c r="E74" s="296"/>
      <c r="F74" s="296"/>
      <c r="G74" s="176" t="s">
        <v>87</v>
      </c>
      <c r="H74" s="296"/>
      <c r="I74" s="305"/>
      <c r="J74" s="299"/>
      <c r="K74" s="299"/>
      <c r="L74" s="72"/>
      <c r="M74" s="72"/>
    </row>
    <row r="75" spans="3:13" ht="35.65" customHeight="1" x14ac:dyDescent="0.25">
      <c r="C75" s="303"/>
      <c r="D75" s="296"/>
      <c r="E75" s="297"/>
      <c r="F75" s="297"/>
      <c r="G75" s="180" t="s">
        <v>101</v>
      </c>
      <c r="H75" s="297"/>
      <c r="I75" s="306"/>
      <c r="J75" s="300"/>
      <c r="K75" s="300"/>
      <c r="L75" s="72"/>
      <c r="M75" s="72"/>
    </row>
    <row r="76" spans="3:13" ht="15.75" customHeight="1" x14ac:dyDescent="0.25">
      <c r="C76" s="301" t="s">
        <v>104</v>
      </c>
      <c r="D76" s="296"/>
      <c r="E76" s="295">
        <v>9</v>
      </c>
      <c r="F76" s="295" t="s">
        <v>105</v>
      </c>
      <c r="G76" s="176" t="s">
        <v>83</v>
      </c>
      <c r="H76" s="295">
        <v>2</v>
      </c>
      <c r="I76" s="307">
        <v>3</v>
      </c>
      <c r="J76" s="313">
        <v>5000000</v>
      </c>
      <c r="K76" s="298">
        <f>J76*I76*H76</f>
        <v>30000000</v>
      </c>
      <c r="L76" s="72"/>
      <c r="M76" s="72"/>
    </row>
    <row r="77" spans="3:13" ht="35.65" customHeight="1" x14ac:dyDescent="0.25">
      <c r="C77" s="302"/>
      <c r="D77" s="296"/>
      <c r="E77" s="296"/>
      <c r="F77" s="296"/>
      <c r="G77" s="177" t="s">
        <v>106</v>
      </c>
      <c r="H77" s="296"/>
      <c r="I77" s="308"/>
      <c r="J77" s="314"/>
      <c r="K77" s="299"/>
      <c r="L77" s="72"/>
      <c r="M77" s="72"/>
    </row>
    <row r="78" spans="3:13" x14ac:dyDescent="0.25">
      <c r="C78" s="302"/>
      <c r="D78" s="296"/>
      <c r="E78" s="296"/>
      <c r="F78" s="296"/>
      <c r="G78" s="176" t="s">
        <v>85</v>
      </c>
      <c r="H78" s="296"/>
      <c r="I78" s="308"/>
      <c r="J78" s="314"/>
      <c r="K78" s="299"/>
      <c r="L78" s="72"/>
      <c r="M78" s="72"/>
    </row>
    <row r="79" spans="3:13" ht="35.65" customHeight="1" x14ac:dyDescent="0.25">
      <c r="C79" s="302"/>
      <c r="D79" s="296"/>
      <c r="E79" s="296"/>
      <c r="F79" s="296"/>
      <c r="G79" s="177" t="s">
        <v>97</v>
      </c>
      <c r="H79" s="296"/>
      <c r="I79" s="308"/>
      <c r="J79" s="314"/>
      <c r="K79" s="299"/>
      <c r="L79" s="72"/>
      <c r="M79" s="72"/>
    </row>
    <row r="80" spans="3:13" x14ac:dyDescent="0.25">
      <c r="C80" s="302"/>
      <c r="D80" s="296"/>
      <c r="E80" s="296"/>
      <c r="F80" s="296"/>
      <c r="G80" s="176" t="s">
        <v>87</v>
      </c>
      <c r="H80" s="296"/>
      <c r="I80" s="308"/>
      <c r="J80" s="314"/>
      <c r="K80" s="299"/>
      <c r="L80" s="72"/>
      <c r="M80" s="72"/>
    </row>
    <row r="81" spans="3:13" ht="35.65" customHeight="1" x14ac:dyDescent="0.25">
      <c r="C81" s="303"/>
      <c r="D81" s="296"/>
      <c r="E81" s="297"/>
      <c r="F81" s="297"/>
      <c r="G81" s="180" t="s">
        <v>107</v>
      </c>
      <c r="H81" s="297"/>
      <c r="I81" s="309"/>
      <c r="J81" s="315"/>
      <c r="K81" s="300"/>
      <c r="L81" s="72"/>
      <c r="M81" s="72"/>
    </row>
    <row r="82" spans="3:13" ht="35.65" customHeight="1" x14ac:dyDescent="0.25">
      <c r="C82" s="301" t="s">
        <v>108</v>
      </c>
      <c r="D82" s="296"/>
      <c r="E82" s="295">
        <v>10</v>
      </c>
      <c r="F82" s="295" t="s">
        <v>109</v>
      </c>
      <c r="G82" s="176" t="s">
        <v>83</v>
      </c>
      <c r="H82" s="310">
        <v>4</v>
      </c>
      <c r="I82" s="307">
        <v>5.5</v>
      </c>
      <c r="J82" s="298">
        <v>5000000</v>
      </c>
      <c r="K82" s="298">
        <f>J82*I82*H82</f>
        <v>110000000</v>
      </c>
      <c r="L82" s="72"/>
      <c r="M82" s="72"/>
    </row>
    <row r="83" spans="3:13" ht="35.65" customHeight="1" x14ac:dyDescent="0.25">
      <c r="C83" s="302"/>
      <c r="D83" s="296"/>
      <c r="E83" s="296"/>
      <c r="F83" s="296"/>
      <c r="G83" s="177" t="s">
        <v>96</v>
      </c>
      <c r="H83" s="311"/>
      <c r="I83" s="308"/>
      <c r="J83" s="299"/>
      <c r="K83" s="299"/>
      <c r="L83" s="72"/>
      <c r="M83" s="72"/>
    </row>
    <row r="84" spans="3:13" ht="35.65" customHeight="1" x14ac:dyDescent="0.25">
      <c r="C84" s="302"/>
      <c r="D84" s="296"/>
      <c r="E84" s="296"/>
      <c r="F84" s="296"/>
      <c r="G84" s="176" t="s">
        <v>85</v>
      </c>
      <c r="H84" s="311"/>
      <c r="I84" s="308"/>
      <c r="J84" s="299"/>
      <c r="K84" s="299"/>
      <c r="L84" s="72"/>
      <c r="M84" s="182"/>
    </row>
    <row r="85" spans="3:13" ht="35.65" customHeight="1" x14ac:dyDescent="0.25">
      <c r="C85" s="302"/>
      <c r="D85" s="296"/>
      <c r="E85" s="296"/>
      <c r="F85" s="296"/>
      <c r="G85" s="177" t="s">
        <v>97</v>
      </c>
      <c r="H85" s="311"/>
      <c r="I85" s="308"/>
      <c r="J85" s="299"/>
      <c r="K85" s="299"/>
      <c r="L85" s="72"/>
      <c r="M85" s="72"/>
    </row>
    <row r="86" spans="3:13" ht="35.65" customHeight="1" x14ac:dyDescent="0.25">
      <c r="C86" s="302"/>
      <c r="D86" s="296"/>
      <c r="E86" s="296"/>
      <c r="F86" s="296"/>
      <c r="G86" s="176" t="s">
        <v>87</v>
      </c>
      <c r="H86" s="311"/>
      <c r="I86" s="308"/>
      <c r="J86" s="299"/>
      <c r="K86" s="299"/>
      <c r="L86" s="72"/>
      <c r="M86" s="72"/>
    </row>
    <row r="87" spans="3:13" ht="35.65" customHeight="1" x14ac:dyDescent="0.25">
      <c r="C87" s="303"/>
      <c r="D87" s="296"/>
      <c r="E87" s="297"/>
      <c r="F87" s="297"/>
      <c r="G87" s="180" t="s">
        <v>110</v>
      </c>
      <c r="H87" s="312"/>
      <c r="I87" s="309"/>
      <c r="J87" s="300"/>
      <c r="K87" s="300"/>
      <c r="L87" s="72"/>
      <c r="M87" s="72"/>
    </row>
    <row r="88" spans="3:13" x14ac:dyDescent="0.25">
      <c r="C88" s="301" t="s">
        <v>108</v>
      </c>
      <c r="D88" s="296"/>
      <c r="E88" s="295">
        <v>11</v>
      </c>
      <c r="F88" s="295" t="s">
        <v>111</v>
      </c>
      <c r="G88" s="176" t="s">
        <v>83</v>
      </c>
      <c r="H88" s="310">
        <v>4</v>
      </c>
      <c r="I88" s="307">
        <v>5.5</v>
      </c>
      <c r="J88" s="298">
        <v>5000000</v>
      </c>
      <c r="K88" s="298">
        <f>J88*I88*H88</f>
        <v>110000000</v>
      </c>
      <c r="L88" s="72"/>
      <c r="M88" s="72"/>
    </row>
    <row r="89" spans="3:13" ht="35.65" customHeight="1" x14ac:dyDescent="0.25">
      <c r="C89" s="302"/>
      <c r="D89" s="296"/>
      <c r="E89" s="296"/>
      <c r="F89" s="296"/>
      <c r="G89" s="177" t="s">
        <v>100</v>
      </c>
      <c r="H89" s="311"/>
      <c r="I89" s="308"/>
      <c r="J89" s="299"/>
      <c r="K89" s="299"/>
      <c r="L89" s="72"/>
      <c r="M89" s="72"/>
    </row>
    <row r="90" spans="3:13" x14ac:dyDescent="0.25">
      <c r="C90" s="302"/>
      <c r="D90" s="296"/>
      <c r="E90" s="296"/>
      <c r="F90" s="296"/>
      <c r="G90" s="176" t="s">
        <v>85</v>
      </c>
      <c r="H90" s="311"/>
      <c r="I90" s="308"/>
      <c r="J90" s="299"/>
      <c r="K90" s="299"/>
      <c r="L90" s="72"/>
      <c r="M90" s="72"/>
    </row>
    <row r="91" spans="3:13" ht="35.65" customHeight="1" x14ac:dyDescent="0.25">
      <c r="C91" s="302"/>
      <c r="D91" s="296"/>
      <c r="E91" s="296"/>
      <c r="F91" s="296"/>
      <c r="G91" s="177" t="s">
        <v>97</v>
      </c>
      <c r="H91" s="311"/>
      <c r="I91" s="308"/>
      <c r="J91" s="299"/>
      <c r="K91" s="299"/>
      <c r="L91" s="72"/>
      <c r="M91" s="72"/>
    </row>
    <row r="92" spans="3:13" x14ac:dyDescent="0.25">
      <c r="C92" s="302"/>
      <c r="D92" s="296"/>
      <c r="E92" s="296"/>
      <c r="F92" s="296"/>
      <c r="G92" s="176" t="s">
        <v>87</v>
      </c>
      <c r="H92" s="311"/>
      <c r="I92" s="308"/>
      <c r="J92" s="299"/>
      <c r="K92" s="299"/>
      <c r="L92" s="72"/>
      <c r="M92" s="72"/>
    </row>
    <row r="93" spans="3:13" ht="35.65" customHeight="1" x14ac:dyDescent="0.25">
      <c r="C93" s="303"/>
      <c r="D93" s="297"/>
      <c r="E93" s="297"/>
      <c r="F93" s="297"/>
      <c r="G93" s="181" t="s">
        <v>112</v>
      </c>
      <c r="H93" s="312"/>
      <c r="I93" s="309"/>
      <c r="J93" s="300"/>
      <c r="K93" s="300"/>
      <c r="L93" s="72"/>
      <c r="M93" s="72"/>
    </row>
    <row r="94" spans="3:13" ht="65.25" customHeight="1" x14ac:dyDescent="0.25">
      <c r="C94" s="316" t="s">
        <v>113</v>
      </c>
      <c r="D94" s="317"/>
      <c r="E94" s="317"/>
      <c r="F94" s="317"/>
      <c r="G94" s="317"/>
      <c r="H94" s="317"/>
      <c r="I94" s="317"/>
      <c r="J94" s="317"/>
      <c r="K94" s="317"/>
    </row>
    <row r="96" spans="3:13" ht="20.25" customHeight="1" x14ac:dyDescent="0.25">
      <c r="I96" s="76" t="s">
        <v>114</v>
      </c>
      <c r="J96" s="77">
        <f>SUM(K26:K93)</f>
        <v>711048000</v>
      </c>
    </row>
    <row r="99" spans="3:14" ht="15.75" customHeight="1" x14ac:dyDescent="0.25">
      <c r="G99" s="164" t="s">
        <v>115</v>
      </c>
      <c r="H99" s="164" t="s">
        <v>12</v>
      </c>
      <c r="I99" s="164" t="s">
        <v>116</v>
      </c>
      <c r="J99" s="164" t="s">
        <v>117</v>
      </c>
      <c r="K99" s="164" t="s">
        <v>118</v>
      </c>
      <c r="L99" s="164" t="s">
        <v>119</v>
      </c>
      <c r="M99" s="164" t="s">
        <v>18</v>
      </c>
      <c r="N99" s="164" t="s">
        <v>19</v>
      </c>
    </row>
    <row r="100" spans="3:14" ht="15.75" customHeight="1" x14ac:dyDescent="0.25">
      <c r="C100" s="318" t="s">
        <v>120</v>
      </c>
      <c r="D100" s="319"/>
      <c r="E100" s="319"/>
      <c r="F100" s="320"/>
      <c r="G100" s="42" t="s">
        <v>281</v>
      </c>
      <c r="H100" s="174">
        <v>1</v>
      </c>
      <c r="I100" s="174" t="s">
        <v>44</v>
      </c>
      <c r="J100" s="163">
        <f>3450000/1.19</f>
        <v>2899159.6638655462</v>
      </c>
      <c r="K100" s="163">
        <f>J100*19%</f>
        <v>550840.33613445377</v>
      </c>
      <c r="L100" s="163">
        <f>J100+K100</f>
        <v>3450000</v>
      </c>
      <c r="M100" s="175">
        <f>J100*H100</f>
        <v>2899159.6638655462</v>
      </c>
      <c r="N100" s="175">
        <f>L100*H100</f>
        <v>3450000</v>
      </c>
    </row>
    <row r="101" spans="3:14" ht="105" x14ac:dyDescent="0.25">
      <c r="C101" s="321" t="s">
        <v>122</v>
      </c>
      <c r="D101" s="321"/>
      <c r="E101" s="321"/>
      <c r="F101" s="321"/>
      <c r="G101" s="42" t="s">
        <v>123</v>
      </c>
      <c r="H101" s="172">
        <v>10</v>
      </c>
      <c r="I101" s="236" t="s">
        <v>124</v>
      </c>
      <c r="J101" s="237">
        <v>8195233.333333333</v>
      </c>
      <c r="K101" s="237">
        <v>1557094.3333333333</v>
      </c>
      <c r="L101" s="237">
        <v>9752327.666666666</v>
      </c>
      <c r="M101" s="175">
        <f t="shared" ref="M101" si="22">J101*H101</f>
        <v>81952333.333333328</v>
      </c>
      <c r="N101" s="175">
        <f t="shared" ref="N101" si="23">L101*H101</f>
        <v>97523276.666666657</v>
      </c>
    </row>
    <row r="102" spans="3:14" ht="45" x14ac:dyDescent="0.25">
      <c r="C102" s="321"/>
      <c r="D102" s="321"/>
      <c r="E102" s="321"/>
      <c r="F102" s="321"/>
      <c r="G102" s="42" t="str">
        <f>PROPER("CARPA PAGODA DE 4X4 CON LATERALES  INCLUYE INSTALACIÓN, TRASPORTE Y ENTREGA EN EL LUGAR REQUERIDO, MONTAJE Y DESMONTAJE DE LA MISMA (JORNADA ENTRE 4 A 6 HORAS - DÍA)")</f>
        <v>Carpa Pagoda De 4X4 Con Laterales  Incluye Instalación, Trasporte Y Entrega En El Lugar Requerido, Montaje Y Desmontaje De La Misma (Jornada Entre 4 A 6 Horas - Día)</v>
      </c>
      <c r="H102" s="172">
        <v>50</v>
      </c>
      <c r="I102" s="236" t="s">
        <v>124</v>
      </c>
      <c r="J102" s="237" t="e">
        <f>AVERAGE(#REF!,#REF!,#REF!)</f>
        <v>#REF!</v>
      </c>
      <c r="K102" s="173" t="e">
        <f>J102*19%</f>
        <v>#REF!</v>
      </c>
      <c r="L102" s="173" t="e">
        <f>J102+K102</f>
        <v>#REF!</v>
      </c>
      <c r="M102" s="175" t="e">
        <f t="shared" ref="M102" si="24">J102*H102</f>
        <v>#REF!</v>
      </c>
      <c r="N102" s="175" t="e">
        <f t="shared" ref="N102" si="25">L102*H102</f>
        <v>#REF!</v>
      </c>
    </row>
    <row r="103" spans="3:14" ht="75" x14ac:dyDescent="0.25">
      <c r="C103" s="321"/>
      <c r="D103" s="321"/>
      <c r="E103" s="321"/>
      <c r="F103" s="321"/>
      <c r="G103" s="42" t="s">
        <v>125</v>
      </c>
      <c r="H103" s="35">
        <v>10</v>
      </c>
      <c r="I103" s="35" t="s">
        <v>44</v>
      </c>
      <c r="J103" s="237" t="e">
        <f>AVERAGE(#REF!,#REF!,#REF!)</f>
        <v>#REF!</v>
      </c>
      <c r="K103" s="173" t="e">
        <f>J103*19%</f>
        <v>#REF!</v>
      </c>
      <c r="L103" s="173" t="e">
        <f>J103+K103</f>
        <v>#REF!</v>
      </c>
      <c r="M103" s="175" t="e">
        <f t="shared" ref="M103" si="26">J103*H103</f>
        <v>#REF!</v>
      </c>
      <c r="N103" s="175" t="e">
        <f t="shared" ref="N103" si="27">L103*H103</f>
        <v>#REF!</v>
      </c>
    </row>
    <row r="104" spans="3:14" ht="30" x14ac:dyDescent="0.25">
      <c r="C104" s="321"/>
      <c r="D104" s="321"/>
      <c r="E104" s="321"/>
      <c r="F104" s="321"/>
      <c r="G104" s="42" t="s">
        <v>126</v>
      </c>
      <c r="H104" s="35">
        <v>150</v>
      </c>
      <c r="I104" s="35" t="s">
        <v>44</v>
      </c>
      <c r="J104" s="237" t="e">
        <f>AVERAGE(#REF!,#REF!,#REF!)</f>
        <v>#REF!</v>
      </c>
      <c r="K104" s="173" t="e">
        <f>J104*19%</f>
        <v>#REF!</v>
      </c>
      <c r="L104" s="173" t="e">
        <f>J104+K104</f>
        <v>#REF!</v>
      </c>
      <c r="M104" s="175" t="e">
        <f t="shared" ref="M104" si="28">J104*H104</f>
        <v>#REF!</v>
      </c>
      <c r="N104" s="175" t="e">
        <f t="shared" ref="N104" si="29">L104*H104</f>
        <v>#REF!</v>
      </c>
    </row>
    <row r="105" spans="3:14" ht="45" x14ac:dyDescent="0.25">
      <c r="C105" s="321"/>
      <c r="D105" s="321"/>
      <c r="E105" s="321"/>
      <c r="F105" s="321"/>
      <c r="G105" s="42" t="s">
        <v>127</v>
      </c>
      <c r="H105" s="35">
        <v>300</v>
      </c>
      <c r="I105" s="35" t="s">
        <v>44</v>
      </c>
      <c r="J105" s="237" t="e">
        <f>AVERAGE(#REF!,#REF!,#REF!)</f>
        <v>#REF!</v>
      </c>
      <c r="K105" s="173" t="e">
        <f>J105*19%</f>
        <v>#REF!</v>
      </c>
      <c r="L105" s="173" t="e">
        <f>J105+K105</f>
        <v>#REF!</v>
      </c>
      <c r="M105" s="175" t="e">
        <f t="shared" ref="M105" si="30">J105*H105</f>
        <v>#REF!</v>
      </c>
      <c r="N105" s="175" t="e">
        <f t="shared" ref="N105" si="31">L105*H105</f>
        <v>#REF!</v>
      </c>
    </row>
    <row r="106" spans="3:14" ht="15.75" customHeight="1" x14ac:dyDescent="0.25">
      <c r="N106" s="145" t="e">
        <f>SUM(N101:N105)</f>
        <v>#REF!</v>
      </c>
    </row>
    <row r="107" spans="3:14" x14ac:dyDescent="0.25">
      <c r="H107" s="1"/>
    </row>
  </sheetData>
  <mergeCells count="106">
    <mergeCell ref="C101:F105"/>
    <mergeCell ref="E8:E9"/>
    <mergeCell ref="F8:F9"/>
    <mergeCell ref="K3:K6"/>
    <mergeCell ref="C40:C51"/>
    <mergeCell ref="C52:C63"/>
    <mergeCell ref="C64:C75"/>
    <mergeCell ref="C88:C93"/>
    <mergeCell ref="E76:E81"/>
    <mergeCell ref="J76:J81"/>
    <mergeCell ref="J64:J69"/>
    <mergeCell ref="E70:E75"/>
    <mergeCell ref="J70:J75"/>
    <mergeCell ref="E64:E69"/>
    <mergeCell ref="E40:E45"/>
    <mergeCell ref="J52:J57"/>
    <mergeCell ref="E58:E63"/>
    <mergeCell ref="J58:J63"/>
    <mergeCell ref="J40:J45"/>
    <mergeCell ref="E46:E51"/>
    <mergeCell ref="J46:J51"/>
    <mergeCell ref="D26:D93"/>
    <mergeCell ref="C94:K94"/>
    <mergeCell ref="H88:H93"/>
    <mergeCell ref="Q1:U1"/>
    <mergeCell ref="V1:Z1"/>
    <mergeCell ref="AA1:AG1"/>
    <mergeCell ref="A1:K1"/>
    <mergeCell ref="L1:P1"/>
    <mergeCell ref="B3:B12"/>
    <mergeCell ref="B14:B21"/>
    <mergeCell ref="C3:C6"/>
    <mergeCell ref="C8:C9"/>
    <mergeCell ref="C10:C12"/>
    <mergeCell ref="C14:C21"/>
    <mergeCell ref="E10:E12"/>
    <mergeCell ref="F10:F12"/>
    <mergeCell ref="E14:E21"/>
    <mergeCell ref="F14:F21"/>
    <mergeCell ref="D3:D6"/>
    <mergeCell ref="D8:D9"/>
    <mergeCell ref="D10:D12"/>
    <mergeCell ref="D14:D21"/>
    <mergeCell ref="E3:E6"/>
    <mergeCell ref="F3:F6"/>
    <mergeCell ref="J3:J6"/>
    <mergeCell ref="J8:J9"/>
    <mergeCell ref="J10:J12"/>
    <mergeCell ref="J14:J21"/>
    <mergeCell ref="C76:C81"/>
    <mergeCell ref="H76:H81"/>
    <mergeCell ref="C82:C87"/>
    <mergeCell ref="H82:H87"/>
    <mergeCell ref="H64:H69"/>
    <mergeCell ref="H70:H75"/>
    <mergeCell ref="H52:H57"/>
    <mergeCell ref="H58:H63"/>
    <mergeCell ref="C26:C32"/>
    <mergeCell ref="H26:H32"/>
    <mergeCell ref="C33:C39"/>
    <mergeCell ref="H33:H39"/>
    <mergeCell ref="H40:H45"/>
    <mergeCell ref="H46:H51"/>
    <mergeCell ref="E88:E93"/>
    <mergeCell ref="J88:J93"/>
    <mergeCell ref="E82:E87"/>
    <mergeCell ref="J33:J39"/>
    <mergeCell ref="E33:E39"/>
    <mergeCell ref="J26:J32"/>
    <mergeCell ref="F88:F93"/>
    <mergeCell ref="F82:F87"/>
    <mergeCell ref="F76:F81"/>
    <mergeCell ref="F70:F75"/>
    <mergeCell ref="F64:F69"/>
    <mergeCell ref="F58:F63"/>
    <mergeCell ref="F52:F57"/>
    <mergeCell ref="F46:F51"/>
    <mergeCell ref="F40:F45"/>
    <mergeCell ref="F33:F39"/>
    <mergeCell ref="F26:F32"/>
    <mergeCell ref="J82:J87"/>
    <mergeCell ref="E52:E57"/>
    <mergeCell ref="C100:F100"/>
    <mergeCell ref="K33:K39"/>
    <mergeCell ref="K26:K32"/>
    <mergeCell ref="I88:I93"/>
    <mergeCell ref="I82:I87"/>
    <mergeCell ref="I76:I81"/>
    <mergeCell ref="I70:I75"/>
    <mergeCell ref="I64:I69"/>
    <mergeCell ref="I58:I63"/>
    <mergeCell ref="I52:I57"/>
    <mergeCell ref="I46:I51"/>
    <mergeCell ref="I40:I45"/>
    <mergeCell ref="I33:I39"/>
    <mergeCell ref="I26:I32"/>
    <mergeCell ref="K88:K93"/>
    <mergeCell ref="K82:K87"/>
    <mergeCell ref="K76:K81"/>
    <mergeCell ref="K70:K75"/>
    <mergeCell ref="K64:K69"/>
    <mergeCell ref="K58:K63"/>
    <mergeCell ref="K52:K57"/>
    <mergeCell ref="K46:K51"/>
    <mergeCell ref="K40:K45"/>
    <mergeCell ref="E26:E32"/>
  </mergeCell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D6EBE-D69F-4DFD-B814-8FD4FDD710E6}">
  <dimension ref="C2:H10"/>
  <sheetViews>
    <sheetView workbookViewId="0">
      <selection activeCell="A7" sqref="A7"/>
    </sheetView>
  </sheetViews>
  <sheetFormatPr baseColWidth="10" defaultColWidth="11.42578125" defaultRowHeight="15" x14ac:dyDescent="0.25"/>
  <cols>
    <col min="3" max="3" width="15.7109375" bestFit="1" customWidth="1"/>
    <col min="4" max="4" width="17.42578125" bestFit="1" customWidth="1"/>
    <col min="5" max="5" width="18.42578125" bestFit="1" customWidth="1"/>
    <col min="6" max="6" width="13.42578125" bestFit="1" customWidth="1"/>
    <col min="7" max="7" width="17.42578125" bestFit="1" customWidth="1"/>
  </cols>
  <sheetData>
    <row r="2" spans="3:8" ht="15.75" x14ac:dyDescent="0.25">
      <c r="C2" s="167" t="s">
        <v>6</v>
      </c>
      <c r="D2" s="167" t="s">
        <v>282</v>
      </c>
      <c r="E2" s="168" t="s">
        <v>283</v>
      </c>
      <c r="F2" s="168" t="s">
        <v>284</v>
      </c>
      <c r="G2" s="168" t="s">
        <v>285</v>
      </c>
      <c r="H2" s="168" t="s">
        <v>286</v>
      </c>
    </row>
    <row r="3" spans="3:8" ht="15.75" x14ac:dyDescent="0.25">
      <c r="C3" s="241">
        <v>1</v>
      </c>
      <c r="D3" s="242">
        <v>0</v>
      </c>
      <c r="E3" s="169">
        <f>E10/5</f>
        <v>18209600</v>
      </c>
      <c r="F3" s="242">
        <f>2700000/4</f>
        <v>675000</v>
      </c>
      <c r="G3" s="243">
        <f>D3+E3+F3</f>
        <v>18884600</v>
      </c>
      <c r="H3" s="170">
        <f>G3/$G$8</f>
        <v>1.3932712555281966E-2</v>
      </c>
    </row>
    <row r="4" spans="3:8" ht="15.75" x14ac:dyDescent="0.25">
      <c r="C4" s="241">
        <v>2</v>
      </c>
      <c r="D4" s="242">
        <f>SUM('Estudio de mercado'!AE3:AE12)</f>
        <v>259724146.15000001</v>
      </c>
      <c r="E4" s="244">
        <f>SUM('Estudio de mercado'!K40:K81)+E10/5</f>
        <v>418209600</v>
      </c>
      <c r="F4" s="242">
        <f t="shared" ref="F4:F6" si="0">2700000/4</f>
        <v>675000</v>
      </c>
      <c r="G4" s="243">
        <f t="shared" ref="G4:G7" si="1">D4+E4+F4</f>
        <v>678608746.14999998</v>
      </c>
      <c r="H4" s="170">
        <f t="shared" ref="H4:H7" si="2">G4/$G$8</f>
        <v>0.50066512383679074</v>
      </c>
    </row>
    <row r="5" spans="3:8" ht="15.75" x14ac:dyDescent="0.25">
      <c r="C5" s="241">
        <v>3</v>
      </c>
      <c r="D5" s="242">
        <f>'Estudio de mercado'!AE13</f>
        <v>33340230</v>
      </c>
      <c r="E5" s="244">
        <f>'Estudio de mercado'!K82+'Estudio de mercado'!K88+E10/5</f>
        <v>238209600</v>
      </c>
      <c r="F5" s="242">
        <f t="shared" si="0"/>
        <v>675000</v>
      </c>
      <c r="G5" s="243">
        <f t="shared" si="1"/>
        <v>272224830</v>
      </c>
      <c r="H5" s="170">
        <f t="shared" si="2"/>
        <v>0.20084250165746159</v>
      </c>
    </row>
    <row r="6" spans="3:8" ht="15.75" x14ac:dyDescent="0.25">
      <c r="C6" s="241">
        <v>4</v>
      </c>
      <c r="D6" s="245">
        <f>'Estudio de mercado'!AE14+'Estudio de mercado'!AE15+'Estudio de mercado'!AE16+'Estudio de mercado'!AE17+'Estudio de mercado'!AE18+'Estudio de mercado'!AE19+'Estudio de mercado'!AE20+'Estudio de mercado'!AE21</f>
        <v>348602079.22400004</v>
      </c>
      <c r="E6" s="242">
        <f>E10/5</f>
        <v>18209600</v>
      </c>
      <c r="F6" s="242">
        <f t="shared" si="0"/>
        <v>675000</v>
      </c>
      <c r="G6" s="243">
        <f t="shared" si="1"/>
        <v>367486679.22400004</v>
      </c>
      <c r="H6" s="170">
        <f t="shared" si="2"/>
        <v>0.27112495205210074</v>
      </c>
    </row>
    <row r="7" spans="3:8" ht="15.75" x14ac:dyDescent="0.25">
      <c r="C7" s="241">
        <v>5</v>
      </c>
      <c r="D7" s="242">
        <v>0</v>
      </c>
      <c r="E7" s="242">
        <f>E10/5</f>
        <v>18209600</v>
      </c>
      <c r="F7" s="242">
        <v>0</v>
      </c>
      <c r="G7" s="243">
        <f t="shared" si="1"/>
        <v>18209600</v>
      </c>
      <c r="H7" s="170">
        <f t="shared" si="2"/>
        <v>1.3434709898364938E-2</v>
      </c>
    </row>
    <row r="8" spans="3:8" ht="15.75" x14ac:dyDescent="0.25">
      <c r="C8" s="165" t="s">
        <v>285</v>
      </c>
      <c r="D8" s="166">
        <f t="shared" ref="D8:F8" si="3">SUM(D3:D7)</f>
        <v>641666455.37400007</v>
      </c>
      <c r="E8" s="166">
        <f t="shared" si="3"/>
        <v>711048000</v>
      </c>
      <c r="F8" s="166">
        <f t="shared" si="3"/>
        <v>2700000</v>
      </c>
      <c r="G8" s="166">
        <f>SUM(G3:G7)</f>
        <v>1355414455.3740001</v>
      </c>
      <c r="H8" s="171">
        <f>SUM(H3:H7)</f>
        <v>0.99999999999999989</v>
      </c>
    </row>
    <row r="10" spans="3:8" ht="15.75" hidden="1" x14ac:dyDescent="0.25">
      <c r="E10" s="242">
        <f>'Estudio de mercado'!K26+'Estudio de mercado'!K33</f>
        <v>91048000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9B1CB-0CF9-4CD7-AD75-E49FE2FF4852}">
  <dimension ref="A1:N57"/>
  <sheetViews>
    <sheetView tabSelected="1" zoomScale="70" zoomScaleNormal="70" workbookViewId="0">
      <selection activeCell="C46" sqref="C46"/>
    </sheetView>
  </sheetViews>
  <sheetFormatPr baseColWidth="10" defaultColWidth="11.42578125" defaultRowHeight="15.75" customHeight="1" x14ac:dyDescent="0.25"/>
  <cols>
    <col min="1" max="1" width="26.7109375" style="189" customWidth="1"/>
    <col min="2" max="2" width="26.28515625" style="189" customWidth="1"/>
    <col min="3" max="3" width="130" style="194" customWidth="1"/>
    <col min="4" max="5" width="20.7109375" style="189" customWidth="1"/>
    <col min="6" max="6" width="26" style="189" customWidth="1"/>
    <col min="7" max="7" width="22" style="189" customWidth="1"/>
    <col min="8" max="8" width="22.7109375" style="190" customWidth="1"/>
    <col min="9" max="9" width="27.7109375" style="189" customWidth="1"/>
    <col min="10" max="10" width="30.7109375" style="256" customWidth="1"/>
    <col min="11" max="11" width="30" style="189" bestFit="1" customWidth="1"/>
    <col min="12" max="12" width="17.140625" style="189" customWidth="1"/>
    <col min="13" max="13" width="23.140625" style="189" customWidth="1"/>
    <col min="14" max="14" width="27" style="189" customWidth="1"/>
    <col min="15" max="16384" width="11.42578125" style="189"/>
  </cols>
  <sheetData>
    <row r="1" spans="1:14" ht="49.35" customHeight="1" x14ac:dyDescent="0.25">
      <c r="A1" s="460" t="s">
        <v>287</v>
      </c>
      <c r="B1" s="461"/>
      <c r="C1" s="461"/>
      <c r="D1" s="461"/>
      <c r="E1" s="461"/>
      <c r="F1" s="461"/>
      <c r="G1" s="461"/>
      <c r="H1" s="461"/>
      <c r="I1" s="461"/>
      <c r="J1" s="250"/>
      <c r="K1" s="201"/>
      <c r="L1" s="201"/>
      <c r="M1" s="201"/>
      <c r="N1" s="201"/>
    </row>
    <row r="2" spans="1:14" ht="49.35" customHeight="1" x14ac:dyDescent="0.25">
      <c r="A2" s="457" t="s">
        <v>458</v>
      </c>
      <c r="B2" s="459"/>
      <c r="C2" s="459"/>
      <c r="D2" s="459"/>
      <c r="E2" s="459"/>
      <c r="F2" s="459"/>
      <c r="G2" s="459"/>
      <c r="H2" s="459"/>
      <c r="I2" s="459"/>
      <c r="J2" s="251"/>
      <c r="K2" s="202"/>
      <c r="L2" s="202"/>
      <c r="M2" s="202"/>
      <c r="N2" s="202"/>
    </row>
    <row r="3" spans="1:14" s="199" customFormat="1" ht="27" customHeight="1" x14ac:dyDescent="0.25">
      <c r="A3" s="198"/>
      <c r="B3" s="198"/>
      <c r="C3" s="198"/>
      <c r="D3" s="198"/>
      <c r="E3" s="198"/>
      <c r="F3" s="198"/>
      <c r="G3" s="198"/>
      <c r="H3" s="198"/>
      <c r="I3" s="200"/>
      <c r="J3" s="252"/>
      <c r="K3" s="203"/>
      <c r="L3" s="203"/>
      <c r="M3" s="203"/>
      <c r="N3" s="203"/>
    </row>
    <row r="4" spans="1:14" s="199" customFormat="1" ht="22.9" customHeight="1" x14ac:dyDescent="0.25">
      <c r="A4" s="204"/>
      <c r="B4" s="204"/>
      <c r="C4" s="204"/>
      <c r="D4" s="204"/>
      <c r="E4" s="204"/>
      <c r="F4" s="205"/>
      <c r="G4" s="206"/>
      <c r="H4" s="206"/>
      <c r="I4" s="207"/>
      <c r="J4" s="252"/>
      <c r="K4" s="203"/>
      <c r="L4" s="203"/>
      <c r="M4" s="203"/>
      <c r="N4" s="203"/>
    </row>
    <row r="5" spans="1:14" ht="37.9" customHeight="1" x14ac:dyDescent="0.25">
      <c r="A5" s="457" t="s">
        <v>345</v>
      </c>
      <c r="B5" s="459"/>
      <c r="C5" s="459"/>
      <c r="D5" s="459"/>
      <c r="E5" s="459"/>
      <c r="F5" s="459"/>
      <c r="G5" s="459"/>
      <c r="H5" s="459"/>
      <c r="I5" s="459"/>
      <c r="J5" s="253"/>
      <c r="K5" s="193"/>
      <c r="L5" s="193"/>
      <c r="M5" s="193"/>
      <c r="N5" s="193"/>
    </row>
    <row r="6" spans="1:14" ht="25.15" customHeight="1" thickBot="1" x14ac:dyDescent="0.3">
      <c r="A6" s="191"/>
      <c r="B6" s="191"/>
      <c r="C6" s="191"/>
      <c r="D6" s="191"/>
      <c r="E6" s="191"/>
      <c r="F6" s="191"/>
      <c r="G6" s="191"/>
      <c r="H6" s="191"/>
      <c r="I6" s="192"/>
      <c r="J6" s="253"/>
      <c r="K6" s="193"/>
      <c r="L6" s="193"/>
      <c r="M6" s="193"/>
      <c r="N6" s="193"/>
    </row>
    <row r="7" spans="1:14" ht="90" customHeight="1" thickBot="1" x14ac:dyDescent="0.3">
      <c r="A7" s="248" t="s">
        <v>288</v>
      </c>
      <c r="B7" s="267" t="s">
        <v>289</v>
      </c>
      <c r="C7" s="247" t="s">
        <v>290</v>
      </c>
      <c r="D7" s="225" t="s">
        <v>44</v>
      </c>
      <c r="E7" s="226" t="s">
        <v>12</v>
      </c>
      <c r="F7" s="228" t="s">
        <v>291</v>
      </c>
      <c r="G7" s="195" t="s">
        <v>292</v>
      </c>
      <c r="H7" s="196" t="s">
        <v>163</v>
      </c>
      <c r="I7" s="197" t="s">
        <v>164</v>
      </c>
      <c r="J7" s="253"/>
      <c r="K7" s="193"/>
      <c r="L7" s="193"/>
      <c r="M7" s="193"/>
      <c r="N7" s="193"/>
    </row>
    <row r="8" spans="1:14" ht="30.75" thickBot="1" x14ac:dyDescent="0.3">
      <c r="A8" s="227">
        <v>1</v>
      </c>
      <c r="B8" s="249" t="s">
        <v>353</v>
      </c>
      <c r="C8" s="246" t="s">
        <v>354</v>
      </c>
      <c r="D8" s="229" t="s">
        <v>362</v>
      </c>
      <c r="E8" s="229">
        <v>40</v>
      </c>
      <c r="F8" s="269">
        <v>575.56333333333339</v>
      </c>
      <c r="G8" s="263"/>
      <c r="H8" s="263"/>
      <c r="I8" s="263"/>
      <c r="J8" s="254"/>
      <c r="K8" s="193"/>
      <c r="L8" s="193"/>
      <c r="M8" s="193"/>
      <c r="N8" s="193"/>
    </row>
    <row r="9" spans="1:14" ht="57" thickBot="1" x14ac:dyDescent="0.3">
      <c r="A9" s="227">
        <v>2</v>
      </c>
      <c r="B9" s="268" t="s">
        <v>355</v>
      </c>
      <c r="C9" s="219" t="s">
        <v>356</v>
      </c>
      <c r="D9" s="229" t="s">
        <v>65</v>
      </c>
      <c r="E9" s="229">
        <v>5</v>
      </c>
      <c r="F9" s="269">
        <v>2000000</v>
      </c>
      <c r="G9" s="263"/>
      <c r="H9" s="263"/>
      <c r="I9" s="263"/>
      <c r="J9" s="254"/>
      <c r="K9" s="230"/>
      <c r="L9" s="193"/>
      <c r="M9" s="231"/>
      <c r="N9" s="230"/>
    </row>
    <row r="10" spans="1:14" ht="75.75" customHeight="1" thickBot="1" x14ac:dyDescent="0.3">
      <c r="A10" s="227">
        <v>3</v>
      </c>
      <c r="B10" s="249" t="s">
        <v>364</v>
      </c>
      <c r="C10" s="246" t="s">
        <v>365</v>
      </c>
      <c r="D10" s="229" t="s">
        <v>44</v>
      </c>
      <c r="E10" s="229">
        <v>1</v>
      </c>
      <c r="F10" s="269">
        <v>5786379.165</v>
      </c>
      <c r="G10" s="263"/>
      <c r="H10" s="263"/>
      <c r="I10" s="263"/>
      <c r="J10" s="254"/>
      <c r="K10" s="193"/>
      <c r="L10" s="193"/>
      <c r="M10" s="193"/>
      <c r="N10" s="193"/>
    </row>
    <row r="11" spans="1:14" ht="49.5" customHeight="1" thickBot="1" x14ac:dyDescent="0.3">
      <c r="A11" s="227">
        <v>4</v>
      </c>
      <c r="B11" s="249" t="s">
        <v>357</v>
      </c>
      <c r="C11" s="246" t="s">
        <v>366</v>
      </c>
      <c r="D11" s="229" t="s">
        <v>362</v>
      </c>
      <c r="E11" s="229">
        <v>125</v>
      </c>
      <c r="F11" s="269">
        <v>14580</v>
      </c>
      <c r="G11" s="263"/>
      <c r="H11" s="263"/>
      <c r="I11" s="263"/>
      <c r="J11" s="254"/>
      <c r="K11" s="193"/>
      <c r="L11" s="193"/>
      <c r="M11" s="193"/>
      <c r="N11" s="193"/>
    </row>
    <row r="12" spans="1:14" ht="63.75" customHeight="1" thickBot="1" x14ac:dyDescent="0.3">
      <c r="A12" s="227">
        <v>5</v>
      </c>
      <c r="B12" s="249" t="s">
        <v>358</v>
      </c>
      <c r="C12" s="246" t="s">
        <v>359</v>
      </c>
      <c r="D12" s="229" t="s">
        <v>362</v>
      </c>
      <c r="E12" s="229">
        <v>150</v>
      </c>
      <c r="F12" s="269">
        <v>6584.666666666667</v>
      </c>
      <c r="G12" s="263"/>
      <c r="H12" s="263"/>
      <c r="I12" s="263"/>
      <c r="J12" s="254"/>
      <c r="K12" s="193"/>
      <c r="L12" s="193"/>
      <c r="M12" s="193"/>
      <c r="N12" s="193"/>
    </row>
    <row r="13" spans="1:14" ht="59.25" customHeight="1" thickBot="1" x14ac:dyDescent="0.3">
      <c r="A13" s="227">
        <v>6</v>
      </c>
      <c r="B13" s="249" t="s">
        <v>360</v>
      </c>
      <c r="C13" s="246" t="s">
        <v>361</v>
      </c>
      <c r="D13" s="229" t="s">
        <v>363</v>
      </c>
      <c r="E13" s="229">
        <v>1</v>
      </c>
      <c r="F13" s="269">
        <v>1473224.3633333333</v>
      </c>
      <c r="G13" s="263"/>
      <c r="H13" s="263"/>
      <c r="I13" s="263"/>
      <c r="J13" s="254"/>
      <c r="K13" s="193"/>
      <c r="L13" s="193"/>
      <c r="M13" s="193"/>
      <c r="N13" s="193"/>
    </row>
    <row r="14" spans="1:14" ht="86.25" customHeight="1" thickBot="1" x14ac:dyDescent="0.3">
      <c r="A14" s="227" t="s">
        <v>376</v>
      </c>
      <c r="B14" s="249" t="s">
        <v>402</v>
      </c>
      <c r="C14" s="246" t="s">
        <v>403</v>
      </c>
      <c r="D14" s="229" t="s">
        <v>44</v>
      </c>
      <c r="E14" s="229">
        <v>1</v>
      </c>
      <c r="F14" s="269">
        <v>5389747</v>
      </c>
      <c r="G14" s="263"/>
      <c r="H14" s="263"/>
      <c r="I14" s="263"/>
      <c r="J14" s="254"/>
      <c r="K14" s="193"/>
      <c r="L14" s="193"/>
      <c r="M14" s="193"/>
      <c r="N14" s="193"/>
    </row>
    <row r="15" spans="1:14" ht="110.25" customHeight="1" thickBot="1" x14ac:dyDescent="0.3">
      <c r="A15" s="227" t="s">
        <v>377</v>
      </c>
      <c r="B15" s="249" t="s">
        <v>404</v>
      </c>
      <c r="C15" s="246" t="s">
        <v>405</v>
      </c>
      <c r="D15" s="229" t="s">
        <v>44</v>
      </c>
      <c r="E15" s="229">
        <v>1</v>
      </c>
      <c r="F15" s="269">
        <v>3283603</v>
      </c>
      <c r="G15" s="263"/>
      <c r="H15" s="263"/>
      <c r="I15" s="263"/>
      <c r="J15" s="254"/>
      <c r="K15" s="193"/>
      <c r="L15" s="193"/>
      <c r="M15" s="193"/>
      <c r="N15" s="193"/>
    </row>
    <row r="16" spans="1:14" ht="83.25" customHeight="1" thickBot="1" x14ac:dyDescent="0.3">
      <c r="A16" s="227" t="s">
        <v>378</v>
      </c>
      <c r="B16" s="249" t="s">
        <v>406</v>
      </c>
      <c r="C16" s="246" t="s">
        <v>407</v>
      </c>
      <c r="D16" s="229" t="s">
        <v>44</v>
      </c>
      <c r="E16" s="229">
        <v>1</v>
      </c>
      <c r="F16" s="269">
        <v>2932889</v>
      </c>
      <c r="G16" s="263"/>
      <c r="H16" s="263"/>
      <c r="I16" s="263"/>
      <c r="J16" s="254"/>
      <c r="K16" s="193"/>
      <c r="L16" s="193"/>
      <c r="M16" s="193"/>
      <c r="N16" s="193"/>
    </row>
    <row r="17" spans="1:14" ht="107.25" customHeight="1" thickBot="1" x14ac:dyDescent="0.3">
      <c r="A17" s="227" t="s">
        <v>379</v>
      </c>
      <c r="B17" s="249" t="s">
        <v>408</v>
      </c>
      <c r="C17" s="246" t="s">
        <v>409</v>
      </c>
      <c r="D17" s="229" t="s">
        <v>44</v>
      </c>
      <c r="E17" s="229">
        <v>1</v>
      </c>
      <c r="F17" s="269">
        <v>9021500</v>
      </c>
      <c r="G17" s="263"/>
      <c r="H17" s="263"/>
      <c r="I17" s="263"/>
      <c r="J17" s="254"/>
      <c r="K17" s="193"/>
      <c r="L17" s="193"/>
      <c r="M17" s="193"/>
      <c r="N17" s="193"/>
    </row>
    <row r="18" spans="1:14" ht="59.25" customHeight="1" thickBot="1" x14ac:dyDescent="0.3">
      <c r="A18" s="227" t="s">
        <v>380</v>
      </c>
      <c r="B18" s="249" t="s">
        <v>410</v>
      </c>
      <c r="C18" s="246" t="s">
        <v>411</v>
      </c>
      <c r="D18" s="229" t="s">
        <v>44</v>
      </c>
      <c r="E18" s="229">
        <v>1</v>
      </c>
      <c r="F18" s="269">
        <v>2292358</v>
      </c>
      <c r="G18" s="263"/>
      <c r="H18" s="263"/>
      <c r="I18" s="263"/>
      <c r="J18" s="254"/>
      <c r="K18" s="193"/>
      <c r="L18" s="193"/>
      <c r="M18" s="193"/>
      <c r="N18" s="193"/>
    </row>
    <row r="19" spans="1:14" ht="78" customHeight="1" thickBot="1" x14ac:dyDescent="0.3">
      <c r="A19" s="227" t="s">
        <v>381</v>
      </c>
      <c r="B19" s="249" t="s">
        <v>412</v>
      </c>
      <c r="C19" s="246" t="s">
        <v>413</v>
      </c>
      <c r="D19" s="229" t="s">
        <v>44</v>
      </c>
      <c r="E19" s="229">
        <v>1</v>
      </c>
      <c r="F19" s="269">
        <v>538420</v>
      </c>
      <c r="G19" s="263"/>
      <c r="H19" s="263"/>
      <c r="I19" s="263"/>
      <c r="J19" s="254"/>
      <c r="K19" s="193"/>
      <c r="L19" s="193"/>
      <c r="M19" s="193"/>
      <c r="N19" s="193"/>
    </row>
    <row r="20" spans="1:14" ht="59.25" customHeight="1" thickBot="1" x14ac:dyDescent="0.3">
      <c r="A20" s="227" t="s">
        <v>382</v>
      </c>
      <c r="B20" s="249" t="s">
        <v>414</v>
      </c>
      <c r="C20" s="246" t="s">
        <v>415</v>
      </c>
      <c r="D20" s="229" t="s">
        <v>44</v>
      </c>
      <c r="E20" s="229">
        <v>1</v>
      </c>
      <c r="F20" s="269">
        <v>2877480</v>
      </c>
      <c r="G20" s="263"/>
      <c r="H20" s="263"/>
      <c r="I20" s="263"/>
      <c r="J20" s="254"/>
      <c r="K20" s="193"/>
      <c r="L20" s="193"/>
      <c r="M20" s="193"/>
      <c r="N20" s="193"/>
    </row>
    <row r="21" spans="1:14" ht="59.25" customHeight="1" thickBot="1" x14ac:dyDescent="0.3">
      <c r="A21" s="227" t="s">
        <v>383</v>
      </c>
      <c r="B21" s="249" t="s">
        <v>416</v>
      </c>
      <c r="C21" s="246" t="s">
        <v>417</v>
      </c>
      <c r="D21" s="229" t="s">
        <v>44</v>
      </c>
      <c r="E21" s="229">
        <v>1</v>
      </c>
      <c r="F21" s="269">
        <v>282027</v>
      </c>
      <c r="G21" s="263"/>
      <c r="H21" s="263"/>
      <c r="I21" s="263"/>
      <c r="J21" s="254"/>
      <c r="K21" s="193"/>
      <c r="L21" s="193"/>
      <c r="M21" s="193"/>
      <c r="N21" s="193"/>
    </row>
    <row r="22" spans="1:14" ht="59.25" customHeight="1" thickBot="1" x14ac:dyDescent="0.3">
      <c r="A22" s="227" t="s">
        <v>384</v>
      </c>
      <c r="B22" s="249" t="s">
        <v>418</v>
      </c>
      <c r="C22" s="246" t="s">
        <v>419</v>
      </c>
      <c r="D22" s="229" t="s">
        <v>44</v>
      </c>
      <c r="E22" s="229">
        <v>1</v>
      </c>
      <c r="F22" s="269">
        <v>2095872</v>
      </c>
      <c r="G22" s="263"/>
      <c r="H22" s="263"/>
      <c r="I22" s="263"/>
      <c r="J22" s="254"/>
      <c r="K22" s="193"/>
      <c r="L22" s="193"/>
      <c r="M22" s="193"/>
      <c r="N22" s="193"/>
    </row>
    <row r="23" spans="1:14" ht="59.25" customHeight="1" thickBot="1" x14ac:dyDescent="0.3">
      <c r="A23" s="227" t="s">
        <v>385</v>
      </c>
      <c r="B23" s="249" t="s">
        <v>420</v>
      </c>
      <c r="C23" s="246" t="s">
        <v>421</v>
      </c>
      <c r="D23" s="229" t="s">
        <v>44</v>
      </c>
      <c r="E23" s="229">
        <v>1</v>
      </c>
      <c r="F23" s="269">
        <v>2757333</v>
      </c>
      <c r="G23" s="263"/>
      <c r="H23" s="263"/>
      <c r="I23" s="263"/>
      <c r="J23" s="254"/>
      <c r="K23" s="193"/>
      <c r="L23" s="193"/>
      <c r="M23" s="193"/>
      <c r="N23" s="193"/>
    </row>
    <row r="24" spans="1:14" ht="150.75" customHeight="1" thickBot="1" x14ac:dyDescent="0.3">
      <c r="A24" s="227" t="s">
        <v>386</v>
      </c>
      <c r="B24" s="249" t="s">
        <v>422</v>
      </c>
      <c r="C24" s="246" t="s">
        <v>423</v>
      </c>
      <c r="D24" s="229" t="s">
        <v>44</v>
      </c>
      <c r="E24" s="229">
        <v>1</v>
      </c>
      <c r="F24" s="269">
        <v>6283734</v>
      </c>
      <c r="G24" s="263"/>
      <c r="H24" s="263"/>
      <c r="I24" s="263"/>
      <c r="J24" s="254"/>
      <c r="K24" s="193"/>
      <c r="L24" s="193"/>
      <c r="M24" s="193"/>
      <c r="N24" s="193"/>
    </row>
    <row r="25" spans="1:14" ht="59.25" customHeight="1" thickBot="1" x14ac:dyDescent="0.3">
      <c r="A25" s="227" t="s">
        <v>387</v>
      </c>
      <c r="B25" s="249" t="s">
        <v>424</v>
      </c>
      <c r="C25" s="246" t="s">
        <v>425</v>
      </c>
      <c r="D25" s="229" t="s">
        <v>44</v>
      </c>
      <c r="E25" s="229">
        <v>1</v>
      </c>
      <c r="F25" s="269">
        <v>1701700</v>
      </c>
      <c r="G25" s="263"/>
      <c r="H25" s="263"/>
      <c r="I25" s="263"/>
      <c r="J25" s="254"/>
      <c r="K25" s="193"/>
      <c r="L25" s="193"/>
      <c r="M25" s="193"/>
      <c r="N25" s="193"/>
    </row>
    <row r="26" spans="1:14" ht="161.25" customHeight="1" thickBot="1" x14ac:dyDescent="0.3">
      <c r="A26" s="227" t="s">
        <v>388</v>
      </c>
      <c r="B26" s="249" t="s">
        <v>426</v>
      </c>
      <c r="C26" s="246" t="s">
        <v>427</v>
      </c>
      <c r="D26" s="229" t="s">
        <v>44</v>
      </c>
      <c r="E26" s="229">
        <v>1</v>
      </c>
      <c r="F26" s="269">
        <v>3215000</v>
      </c>
      <c r="G26" s="263"/>
      <c r="H26" s="263"/>
      <c r="I26" s="263"/>
      <c r="J26" s="254"/>
      <c r="K26" s="193"/>
      <c r="L26" s="193"/>
      <c r="M26" s="193"/>
      <c r="N26" s="193"/>
    </row>
    <row r="27" spans="1:14" ht="201" customHeight="1" thickBot="1" x14ac:dyDescent="0.3">
      <c r="A27" s="227" t="s">
        <v>389</v>
      </c>
      <c r="B27" s="249" t="s">
        <v>428</v>
      </c>
      <c r="C27" s="246" t="s">
        <v>429</v>
      </c>
      <c r="D27" s="229" t="s">
        <v>44</v>
      </c>
      <c r="E27" s="229">
        <v>1</v>
      </c>
      <c r="F27" s="269">
        <v>2076550</v>
      </c>
      <c r="G27" s="263"/>
      <c r="H27" s="263"/>
      <c r="I27" s="263"/>
      <c r="J27" s="254"/>
      <c r="K27" s="193"/>
      <c r="L27" s="193"/>
      <c r="M27" s="193"/>
      <c r="N27" s="193"/>
    </row>
    <row r="28" spans="1:14" ht="59.25" customHeight="1" thickBot="1" x14ac:dyDescent="0.3">
      <c r="A28" s="227" t="s">
        <v>390</v>
      </c>
      <c r="B28" s="249" t="s">
        <v>430</v>
      </c>
      <c r="C28" s="246" t="s">
        <v>431</v>
      </c>
      <c r="D28" s="229" t="s">
        <v>44</v>
      </c>
      <c r="E28" s="229">
        <v>1</v>
      </c>
      <c r="F28" s="269">
        <v>852070</v>
      </c>
      <c r="G28" s="263"/>
      <c r="H28" s="263"/>
      <c r="I28" s="263"/>
      <c r="J28" s="254"/>
      <c r="K28" s="193"/>
      <c r="L28" s="193"/>
      <c r="M28" s="193"/>
      <c r="N28" s="193"/>
    </row>
    <row r="29" spans="1:14" ht="84.75" customHeight="1" thickBot="1" x14ac:dyDescent="0.3">
      <c r="A29" s="227" t="s">
        <v>391</v>
      </c>
      <c r="B29" s="249" t="s">
        <v>364</v>
      </c>
      <c r="C29" s="246" t="s">
        <v>432</v>
      </c>
      <c r="D29" s="229" t="s">
        <v>44</v>
      </c>
      <c r="E29" s="229">
        <v>1</v>
      </c>
      <c r="F29" s="269">
        <v>5786379</v>
      </c>
      <c r="G29" s="263"/>
      <c r="H29" s="263"/>
      <c r="I29" s="263"/>
      <c r="J29" s="254"/>
      <c r="K29" s="193"/>
      <c r="L29" s="193"/>
      <c r="M29" s="193"/>
      <c r="N29" s="193"/>
    </row>
    <row r="30" spans="1:14" ht="59.25" customHeight="1" thickBot="1" x14ac:dyDescent="0.3">
      <c r="A30" s="227" t="s">
        <v>392</v>
      </c>
      <c r="B30" s="249" t="s">
        <v>433</v>
      </c>
      <c r="C30" s="246" t="s">
        <v>434</v>
      </c>
      <c r="D30" s="229" t="s">
        <v>44</v>
      </c>
      <c r="E30" s="229">
        <v>1</v>
      </c>
      <c r="F30" s="269">
        <v>727209</v>
      </c>
      <c r="G30" s="263"/>
      <c r="H30" s="263"/>
      <c r="I30" s="263"/>
      <c r="J30" s="254"/>
      <c r="K30" s="193"/>
      <c r="L30" s="193"/>
      <c r="M30" s="193"/>
      <c r="N30" s="193"/>
    </row>
    <row r="31" spans="1:14" ht="59.25" customHeight="1" thickBot="1" x14ac:dyDescent="0.3">
      <c r="A31" s="227" t="s">
        <v>393</v>
      </c>
      <c r="B31" s="249" t="s">
        <v>435</v>
      </c>
      <c r="C31" s="246" t="s">
        <v>436</v>
      </c>
      <c r="D31" s="229" t="s">
        <v>44</v>
      </c>
      <c r="E31" s="229">
        <v>1</v>
      </c>
      <c r="F31" s="269">
        <v>2478100</v>
      </c>
      <c r="G31" s="263"/>
      <c r="H31" s="263"/>
      <c r="I31" s="263"/>
      <c r="J31" s="254"/>
      <c r="K31" s="193"/>
      <c r="L31" s="193"/>
      <c r="M31" s="193"/>
      <c r="N31" s="193"/>
    </row>
    <row r="32" spans="1:14" ht="59.25" customHeight="1" thickBot="1" x14ac:dyDescent="0.3">
      <c r="A32" s="227" t="s">
        <v>394</v>
      </c>
      <c r="B32" s="249" t="s">
        <v>437</v>
      </c>
      <c r="C32" s="246" t="s">
        <v>438</v>
      </c>
      <c r="D32" s="229" t="s">
        <v>44</v>
      </c>
      <c r="E32" s="229">
        <v>1</v>
      </c>
      <c r="F32" s="269">
        <v>1044300</v>
      </c>
      <c r="G32" s="263"/>
      <c r="H32" s="263"/>
      <c r="I32" s="263"/>
      <c r="J32" s="254"/>
      <c r="K32" s="193"/>
      <c r="L32" s="193"/>
      <c r="M32" s="193"/>
      <c r="N32" s="193"/>
    </row>
    <row r="33" spans="1:14" ht="59.25" customHeight="1" thickBot="1" x14ac:dyDescent="0.3">
      <c r="A33" s="227" t="s">
        <v>395</v>
      </c>
      <c r="B33" s="249" t="s">
        <v>439</v>
      </c>
      <c r="C33" s="246" t="s">
        <v>440</v>
      </c>
      <c r="D33" s="229" t="s">
        <v>44</v>
      </c>
      <c r="E33" s="229">
        <v>1</v>
      </c>
      <c r="F33" s="269">
        <v>51152</v>
      </c>
      <c r="G33" s="263"/>
      <c r="H33" s="263"/>
      <c r="I33" s="263"/>
      <c r="J33" s="254"/>
      <c r="K33" s="193"/>
      <c r="L33" s="193"/>
      <c r="M33" s="193"/>
      <c r="N33" s="193"/>
    </row>
    <row r="34" spans="1:14" ht="59.25" customHeight="1" thickBot="1" x14ac:dyDescent="0.3">
      <c r="A34" s="227" t="s">
        <v>396</v>
      </c>
      <c r="B34" s="249" t="s">
        <v>441</v>
      </c>
      <c r="C34" s="246" t="s">
        <v>442</v>
      </c>
      <c r="D34" s="229" t="s">
        <v>44</v>
      </c>
      <c r="E34" s="229">
        <v>1</v>
      </c>
      <c r="F34" s="269">
        <v>24480</v>
      </c>
      <c r="G34" s="263"/>
      <c r="H34" s="263"/>
      <c r="I34" s="263"/>
      <c r="J34" s="254"/>
      <c r="K34" s="193"/>
      <c r="L34" s="193"/>
      <c r="M34" s="193"/>
      <c r="N34" s="193"/>
    </row>
    <row r="35" spans="1:14" ht="59.25" customHeight="1" thickBot="1" x14ac:dyDescent="0.3">
      <c r="A35" s="227" t="s">
        <v>397</v>
      </c>
      <c r="B35" s="249" t="s">
        <v>443</v>
      </c>
      <c r="C35" s="246" t="s">
        <v>444</v>
      </c>
      <c r="D35" s="229" t="s">
        <v>44</v>
      </c>
      <c r="E35" s="229">
        <v>1</v>
      </c>
      <c r="F35" s="269">
        <v>251710</v>
      </c>
      <c r="G35" s="263"/>
      <c r="H35" s="263"/>
      <c r="I35" s="263"/>
      <c r="J35" s="254"/>
      <c r="K35" s="193"/>
      <c r="L35" s="193"/>
      <c r="M35" s="193"/>
      <c r="N35" s="193"/>
    </row>
    <row r="36" spans="1:14" ht="266.25" customHeight="1" thickBot="1" x14ac:dyDescent="0.3">
      <c r="A36" s="227" t="s">
        <v>398</v>
      </c>
      <c r="B36" s="249" t="s">
        <v>445</v>
      </c>
      <c r="C36" s="246" t="s">
        <v>446</v>
      </c>
      <c r="D36" s="229" t="s">
        <v>44</v>
      </c>
      <c r="E36" s="229">
        <v>1</v>
      </c>
      <c r="F36" s="269">
        <v>1246515.2210559999</v>
      </c>
      <c r="G36" s="263"/>
      <c r="H36" s="263"/>
      <c r="I36" s="263"/>
      <c r="J36" s="254"/>
      <c r="K36" s="193"/>
      <c r="L36" s="193"/>
      <c r="M36" s="193"/>
      <c r="N36" s="193"/>
    </row>
    <row r="37" spans="1:14" ht="82.5" customHeight="1" thickBot="1" x14ac:dyDescent="0.3">
      <c r="A37" s="227" t="s">
        <v>399</v>
      </c>
      <c r="B37" s="249" t="s">
        <v>447</v>
      </c>
      <c r="C37" s="246" t="s">
        <v>448</v>
      </c>
      <c r="D37" s="229" t="s">
        <v>44</v>
      </c>
      <c r="E37" s="229">
        <v>1</v>
      </c>
      <c r="F37" s="269">
        <v>1632004</v>
      </c>
      <c r="G37" s="263"/>
      <c r="H37" s="263"/>
      <c r="I37" s="263"/>
      <c r="J37" s="254"/>
      <c r="K37" s="193"/>
      <c r="L37" s="193"/>
      <c r="M37" s="193"/>
      <c r="N37" s="193"/>
    </row>
    <row r="38" spans="1:14" ht="59.25" customHeight="1" thickBot="1" x14ac:dyDescent="0.3">
      <c r="A38" s="227" t="s">
        <v>400</v>
      </c>
      <c r="B38" s="249" t="s">
        <v>449</v>
      </c>
      <c r="C38" s="246" t="s">
        <v>450</v>
      </c>
      <c r="D38" s="229" t="s">
        <v>44</v>
      </c>
      <c r="E38" s="229">
        <v>1</v>
      </c>
      <c r="F38" s="269">
        <v>1882588.8853333374</v>
      </c>
      <c r="G38" s="263"/>
      <c r="H38" s="263"/>
      <c r="I38" s="263"/>
      <c r="J38" s="254"/>
      <c r="K38" s="193"/>
      <c r="L38" s="193"/>
      <c r="M38" s="193"/>
      <c r="N38" s="193"/>
    </row>
    <row r="39" spans="1:14" ht="72.75" customHeight="1" thickBot="1" x14ac:dyDescent="0.3">
      <c r="A39" s="227" t="s">
        <v>401</v>
      </c>
      <c r="B39" s="249" t="s">
        <v>451</v>
      </c>
      <c r="C39" s="246" t="s">
        <v>452</v>
      </c>
      <c r="D39" s="229" t="s">
        <v>44</v>
      </c>
      <c r="E39" s="229">
        <v>1</v>
      </c>
      <c r="F39" s="269">
        <v>1114133</v>
      </c>
      <c r="G39" s="263"/>
      <c r="H39" s="263"/>
      <c r="I39" s="263"/>
      <c r="J39" s="254"/>
      <c r="K39" s="264"/>
      <c r="L39" s="193"/>
      <c r="M39" s="193"/>
      <c r="N39" s="193"/>
    </row>
    <row r="40" spans="1:14" ht="31.9" customHeight="1" thickBot="1" x14ac:dyDescent="0.3">
      <c r="A40" s="469" t="s">
        <v>293</v>
      </c>
      <c r="B40" s="470"/>
      <c r="C40" s="470"/>
      <c r="D40" s="470"/>
      <c r="E40" s="471"/>
      <c r="F40" s="270">
        <f>SUM(F8:F39)</f>
        <v>71120197.864722684</v>
      </c>
      <c r="G40" s="191"/>
      <c r="H40" s="191"/>
      <c r="I40" s="265">
        <f>SUM(I8:I39)</f>
        <v>0</v>
      </c>
      <c r="J40" s="261"/>
      <c r="K40" s="193"/>
      <c r="L40" s="193"/>
      <c r="M40" s="193"/>
      <c r="N40" s="193"/>
    </row>
    <row r="41" spans="1:14" ht="27" customHeight="1" x14ac:dyDescent="0.25">
      <c r="A41" s="468"/>
      <c r="B41" s="468"/>
      <c r="C41" s="468"/>
      <c r="D41" s="468"/>
      <c r="E41" s="468"/>
      <c r="F41" s="191"/>
      <c r="G41" s="191"/>
      <c r="H41" s="191"/>
      <c r="I41" s="192"/>
      <c r="J41" s="253"/>
      <c r="K41" s="193"/>
      <c r="L41" s="193"/>
      <c r="M41" s="193"/>
      <c r="N41" s="193"/>
    </row>
    <row r="42" spans="1:14" ht="270" customHeight="1" x14ac:dyDescent="0.25">
      <c r="A42" s="455" t="s">
        <v>346</v>
      </c>
      <c r="B42" s="456"/>
      <c r="C42" s="456"/>
      <c r="D42" s="456"/>
      <c r="E42" s="456"/>
      <c r="F42" s="456"/>
      <c r="G42" s="456"/>
      <c r="H42" s="456"/>
      <c r="I42" s="456"/>
      <c r="J42" s="456"/>
      <c r="K42" s="456"/>
      <c r="L42" s="456"/>
      <c r="M42" s="456"/>
      <c r="N42" s="456"/>
    </row>
    <row r="43" spans="1:14" ht="49.35" customHeight="1" x14ac:dyDescent="0.25">
      <c r="A43" s="457" t="s">
        <v>455</v>
      </c>
      <c r="B43" s="459"/>
      <c r="C43" s="459"/>
      <c r="D43" s="459"/>
      <c r="E43" s="459"/>
      <c r="F43" s="459"/>
      <c r="G43" s="459"/>
      <c r="H43" s="459"/>
      <c r="I43" s="459"/>
      <c r="J43" s="255"/>
      <c r="K43" s="217"/>
      <c r="L43" s="217"/>
      <c r="M43" s="217"/>
      <c r="N43" s="217"/>
    </row>
    <row r="44" spans="1:14" ht="15.75" customHeight="1" thickBot="1" x14ac:dyDescent="0.3"/>
    <row r="45" spans="1:14" ht="88.15" customHeight="1" thickBot="1" x14ac:dyDescent="0.3">
      <c r="A45" s="208" t="s">
        <v>294</v>
      </c>
      <c r="B45" s="208" t="s">
        <v>295</v>
      </c>
      <c r="C45" s="209" t="s">
        <v>75</v>
      </c>
      <c r="D45" s="208" t="s">
        <v>76</v>
      </c>
      <c r="E45" s="209" t="s">
        <v>296</v>
      </c>
      <c r="F45" s="209" t="s">
        <v>297</v>
      </c>
      <c r="G45" s="222" t="s">
        <v>298</v>
      </c>
      <c r="H45" s="222" t="s">
        <v>299</v>
      </c>
      <c r="I45" s="210"/>
      <c r="J45" s="257"/>
      <c r="K45" s="211"/>
    </row>
    <row r="46" spans="1:14" ht="112.7" customHeight="1" thickBot="1" x14ac:dyDescent="0.3">
      <c r="A46" s="218" t="s">
        <v>350</v>
      </c>
      <c r="B46" s="219" t="s">
        <v>347</v>
      </c>
      <c r="C46" s="219" t="s">
        <v>367</v>
      </c>
      <c r="D46" s="220">
        <v>1</v>
      </c>
      <c r="E46" s="220">
        <v>7</v>
      </c>
      <c r="F46" s="221">
        <v>1</v>
      </c>
      <c r="G46" s="232">
        <v>8000000</v>
      </c>
      <c r="H46" s="223">
        <f>+G46*E46*D46</f>
        <v>56000000</v>
      </c>
      <c r="I46" s="210"/>
      <c r="J46" s="257"/>
      <c r="K46" s="211"/>
    </row>
    <row r="47" spans="1:14" ht="91.15" customHeight="1" thickBot="1" x14ac:dyDescent="0.3">
      <c r="A47" s="218" t="s">
        <v>350</v>
      </c>
      <c r="B47" s="219" t="s">
        <v>368</v>
      </c>
      <c r="C47" s="219" t="s">
        <v>369</v>
      </c>
      <c r="D47" s="220">
        <v>1</v>
      </c>
      <c r="E47" s="220">
        <v>7</v>
      </c>
      <c r="F47" s="221">
        <v>1</v>
      </c>
      <c r="G47" s="232">
        <v>4950000</v>
      </c>
      <c r="H47" s="223">
        <f t="shared" ref="H47:H48" si="0">+G47*E47*D47</f>
        <v>34650000</v>
      </c>
      <c r="I47" s="210"/>
      <c r="J47" s="257"/>
      <c r="K47" s="211"/>
    </row>
    <row r="48" spans="1:14" ht="101.1" customHeight="1" thickBot="1" x14ac:dyDescent="0.3">
      <c r="A48" s="218" t="s">
        <v>350</v>
      </c>
      <c r="B48" s="219" t="s">
        <v>348</v>
      </c>
      <c r="C48" s="219" t="s">
        <v>349</v>
      </c>
      <c r="D48" s="220">
        <v>2</v>
      </c>
      <c r="E48" s="220">
        <v>7</v>
      </c>
      <c r="F48" s="221">
        <v>1</v>
      </c>
      <c r="G48" s="232">
        <v>2116923</v>
      </c>
      <c r="H48" s="223">
        <f t="shared" si="0"/>
        <v>29636922</v>
      </c>
      <c r="I48" s="210"/>
      <c r="J48" s="257"/>
      <c r="K48" s="211"/>
    </row>
    <row r="49" spans="1:12" ht="85.7" customHeight="1" thickBot="1" x14ac:dyDescent="0.3">
      <c r="A49" s="218" t="s">
        <v>351</v>
      </c>
      <c r="B49" s="219" t="s">
        <v>370</v>
      </c>
      <c r="C49" s="219" t="s">
        <v>371</v>
      </c>
      <c r="D49" s="220">
        <v>1</v>
      </c>
      <c r="E49" s="220">
        <v>5</v>
      </c>
      <c r="F49" s="221">
        <v>1</v>
      </c>
      <c r="G49" s="232">
        <v>7700000</v>
      </c>
      <c r="H49" s="223">
        <f>+G49*E49*D49</f>
        <v>38500000</v>
      </c>
      <c r="I49" s="210"/>
      <c r="J49" s="257"/>
      <c r="K49" s="211"/>
    </row>
    <row r="50" spans="1:12" ht="105.75" thickBot="1" x14ac:dyDescent="0.3">
      <c r="A50" s="218" t="s">
        <v>351</v>
      </c>
      <c r="B50" s="219" t="s">
        <v>372</v>
      </c>
      <c r="C50" s="219" t="s">
        <v>373</v>
      </c>
      <c r="D50" s="220">
        <v>1</v>
      </c>
      <c r="E50" s="220">
        <v>5</v>
      </c>
      <c r="F50" s="221">
        <v>1</v>
      </c>
      <c r="G50" s="232">
        <v>7700000</v>
      </c>
      <c r="H50" s="223">
        <f>+G50*E50*D50</f>
        <v>38500000</v>
      </c>
      <c r="I50" s="210"/>
      <c r="J50" s="257"/>
      <c r="K50" s="211"/>
    </row>
    <row r="51" spans="1:12" ht="39.4" customHeight="1" thickBot="1" x14ac:dyDescent="0.3">
      <c r="A51" s="462" t="s">
        <v>300</v>
      </c>
      <c r="B51" s="463"/>
      <c r="C51" s="463"/>
      <c r="D51" s="463"/>
      <c r="E51" s="463"/>
      <c r="F51" s="463"/>
      <c r="G51" s="464"/>
      <c r="H51" s="224">
        <f>SUM(H46:H50)</f>
        <v>197286922</v>
      </c>
      <c r="I51" s="266"/>
      <c r="J51" s="258"/>
      <c r="K51" s="213"/>
      <c r="L51" s="262"/>
    </row>
    <row r="52" spans="1:12" ht="18" customHeight="1" thickBot="1" x14ac:dyDescent="0.3">
      <c r="C52" s="214"/>
      <c r="D52" s="214"/>
      <c r="E52" s="214"/>
      <c r="F52" s="214"/>
      <c r="G52" s="215"/>
      <c r="H52" s="214"/>
      <c r="I52" s="212"/>
      <c r="J52" s="258"/>
      <c r="K52" s="213"/>
    </row>
    <row r="53" spans="1:12" ht="65.25" customHeight="1" thickBot="1" x14ac:dyDescent="0.3">
      <c r="A53" s="465" t="s">
        <v>352</v>
      </c>
      <c r="B53" s="466"/>
      <c r="C53" s="466"/>
      <c r="D53" s="466"/>
      <c r="E53" s="466"/>
      <c r="F53" s="466"/>
      <c r="G53" s="466"/>
      <c r="H53" s="467"/>
      <c r="I53" s="216"/>
      <c r="J53" s="259"/>
      <c r="K53" s="216"/>
    </row>
    <row r="55" spans="1:12" ht="36" customHeight="1" x14ac:dyDescent="0.25">
      <c r="A55" s="457" t="s">
        <v>301</v>
      </c>
      <c r="B55" s="458"/>
      <c r="C55" s="458"/>
      <c r="D55" s="458"/>
      <c r="E55" s="458"/>
      <c r="F55" s="459"/>
      <c r="G55" s="459"/>
      <c r="H55" s="459"/>
      <c r="I55" s="459"/>
      <c r="J55" s="260"/>
    </row>
    <row r="56" spans="1:12" ht="80.25" customHeight="1" x14ac:dyDescent="0.25">
      <c r="A56" s="271" t="s">
        <v>456</v>
      </c>
      <c r="B56" s="272" t="s">
        <v>453</v>
      </c>
      <c r="C56" s="273" t="s">
        <v>374</v>
      </c>
      <c r="D56" s="271" t="s">
        <v>362</v>
      </c>
      <c r="E56" s="274">
        <v>1</v>
      </c>
      <c r="F56" s="275">
        <v>500000000</v>
      </c>
    </row>
    <row r="57" spans="1:12" ht="54.75" customHeight="1" x14ac:dyDescent="0.25">
      <c r="A57" s="271" t="s">
        <v>457</v>
      </c>
      <c r="B57" s="272" t="s">
        <v>454</v>
      </c>
      <c r="C57" s="273" t="s">
        <v>375</v>
      </c>
      <c r="D57" s="271" t="s">
        <v>362</v>
      </c>
      <c r="E57" s="274">
        <v>1</v>
      </c>
      <c r="F57" s="275">
        <v>300000000</v>
      </c>
    </row>
  </sheetData>
  <mergeCells count="10">
    <mergeCell ref="A42:N42"/>
    <mergeCell ref="A55:I55"/>
    <mergeCell ref="A1:I1"/>
    <mergeCell ref="A2:I2"/>
    <mergeCell ref="A5:I5"/>
    <mergeCell ref="A43:I43"/>
    <mergeCell ref="A51:G51"/>
    <mergeCell ref="A53:H53"/>
    <mergeCell ref="A41:E41"/>
    <mergeCell ref="A40:E40"/>
  </mergeCells>
  <phoneticPr fontId="82"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9988D-90DD-437F-B2D3-1CC83A110B7F}">
  <dimension ref="B3:AI22"/>
  <sheetViews>
    <sheetView topLeftCell="A12" workbookViewId="0">
      <selection activeCell="L16" sqref="L16"/>
    </sheetView>
  </sheetViews>
  <sheetFormatPr baseColWidth="10" defaultColWidth="11.42578125" defaultRowHeight="15" x14ac:dyDescent="0.25"/>
  <cols>
    <col min="2" max="2" width="19.28515625" style="72" customWidth="1"/>
    <col min="3" max="3" width="35.42578125" style="161" customWidth="1"/>
    <col min="4" max="35" width="2.7109375" customWidth="1"/>
  </cols>
  <sheetData>
    <row r="3" spans="2:35" x14ac:dyDescent="0.25">
      <c r="B3" s="473" t="s">
        <v>302</v>
      </c>
      <c r="C3" s="473"/>
      <c r="D3" s="473"/>
      <c r="E3" s="473"/>
      <c r="F3" s="473"/>
      <c r="G3" s="473"/>
      <c r="H3" s="473"/>
      <c r="I3" s="473"/>
      <c r="J3" s="473"/>
      <c r="K3" s="473"/>
      <c r="L3" s="473"/>
      <c r="M3" s="473"/>
      <c r="N3" s="473"/>
      <c r="O3" s="473"/>
      <c r="P3" s="473"/>
      <c r="Q3" s="473"/>
      <c r="R3" s="473"/>
      <c r="S3" s="473"/>
      <c r="T3" s="473"/>
      <c r="U3" s="473"/>
      <c r="V3" s="473"/>
      <c r="W3" s="473"/>
      <c r="X3" s="473"/>
      <c r="Y3" s="473"/>
      <c r="Z3" s="473"/>
      <c r="AA3" s="473"/>
      <c r="AB3" s="473"/>
      <c r="AC3" s="473"/>
      <c r="AD3" s="473"/>
      <c r="AE3" s="473"/>
      <c r="AF3" s="473"/>
      <c r="AG3" s="473"/>
      <c r="AH3" s="473"/>
      <c r="AI3" s="473"/>
    </row>
    <row r="4" spans="2:35" x14ac:dyDescent="0.25">
      <c r="B4" s="474" t="s">
        <v>303</v>
      </c>
      <c r="C4" s="474" t="s">
        <v>304</v>
      </c>
      <c r="D4" s="476" t="s">
        <v>305</v>
      </c>
      <c r="E4" s="476"/>
      <c r="F4" s="476"/>
      <c r="G4" s="476"/>
      <c r="H4" s="476" t="s">
        <v>306</v>
      </c>
      <c r="I4" s="476"/>
      <c r="J4" s="476"/>
      <c r="K4" s="476"/>
      <c r="L4" s="476" t="s">
        <v>307</v>
      </c>
      <c r="M4" s="476"/>
      <c r="N4" s="476"/>
      <c r="O4" s="476"/>
      <c r="P4" s="476" t="s">
        <v>308</v>
      </c>
      <c r="Q4" s="476"/>
      <c r="R4" s="476"/>
      <c r="S4" s="476"/>
      <c r="T4" s="476" t="s">
        <v>309</v>
      </c>
      <c r="U4" s="476"/>
      <c r="V4" s="476"/>
      <c r="W4" s="476"/>
      <c r="X4" s="476" t="s">
        <v>310</v>
      </c>
      <c r="Y4" s="476"/>
      <c r="Z4" s="476"/>
      <c r="AA4" s="476"/>
      <c r="AB4" s="476" t="s">
        <v>311</v>
      </c>
      <c r="AC4" s="476"/>
      <c r="AD4" s="476"/>
      <c r="AE4" s="476"/>
      <c r="AF4" s="476" t="s">
        <v>312</v>
      </c>
      <c r="AG4" s="476"/>
      <c r="AH4" s="476"/>
      <c r="AI4" s="476"/>
    </row>
    <row r="5" spans="2:35" x14ac:dyDescent="0.25">
      <c r="B5" s="475"/>
      <c r="C5" s="475"/>
      <c r="D5" s="155">
        <v>1</v>
      </c>
      <c r="E5" s="155">
        <v>2</v>
      </c>
      <c r="F5" s="155">
        <v>3</v>
      </c>
      <c r="G5" s="155">
        <v>4</v>
      </c>
      <c r="H5" s="155">
        <v>1</v>
      </c>
      <c r="I5" s="155">
        <v>2</v>
      </c>
      <c r="J5" s="155">
        <v>3</v>
      </c>
      <c r="K5" s="155">
        <v>4</v>
      </c>
      <c r="L5" s="155">
        <v>1</v>
      </c>
      <c r="M5" s="155">
        <v>2</v>
      </c>
      <c r="N5" s="155">
        <v>3</v>
      </c>
      <c r="O5" s="155">
        <v>4</v>
      </c>
      <c r="P5" s="155">
        <v>1</v>
      </c>
      <c r="Q5" s="155">
        <v>2</v>
      </c>
      <c r="R5" s="155">
        <v>3</v>
      </c>
      <c r="S5" s="155">
        <v>4</v>
      </c>
      <c r="T5" s="155">
        <v>1</v>
      </c>
      <c r="U5" s="155">
        <v>2</v>
      </c>
      <c r="V5" s="155">
        <v>3</v>
      </c>
      <c r="W5" s="155">
        <v>4</v>
      </c>
      <c r="X5" s="155">
        <v>1</v>
      </c>
      <c r="Y5" s="155">
        <v>2</v>
      </c>
      <c r="Z5" s="155">
        <v>3</v>
      </c>
      <c r="AA5" s="155">
        <v>4</v>
      </c>
      <c r="AB5" s="155">
        <v>1</v>
      </c>
      <c r="AC5" s="155">
        <v>2</v>
      </c>
      <c r="AD5" s="155">
        <v>3</v>
      </c>
      <c r="AE5" s="155">
        <v>4</v>
      </c>
      <c r="AF5" s="155">
        <v>1</v>
      </c>
      <c r="AG5" s="155">
        <v>2</v>
      </c>
      <c r="AH5" s="155">
        <v>3</v>
      </c>
      <c r="AI5" s="155">
        <v>4</v>
      </c>
    </row>
    <row r="6" spans="2:35" ht="45" x14ac:dyDescent="0.25">
      <c r="B6" s="472" t="s">
        <v>313</v>
      </c>
      <c r="C6" s="156" t="s">
        <v>314</v>
      </c>
      <c r="D6" s="157"/>
      <c r="E6" s="157"/>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c r="AH6" s="158"/>
      <c r="AI6" s="158"/>
    </row>
    <row r="7" spans="2:35" ht="30" x14ac:dyDescent="0.25">
      <c r="B7" s="472"/>
      <c r="C7" s="156" t="s">
        <v>315</v>
      </c>
      <c r="D7" s="157"/>
      <c r="E7" s="157"/>
      <c r="F7" s="157"/>
      <c r="G7" s="157"/>
      <c r="H7" s="158"/>
      <c r="I7" s="158"/>
      <c r="J7" s="158"/>
      <c r="K7" s="158"/>
      <c r="L7" s="158"/>
      <c r="M7" s="158"/>
      <c r="N7" s="158"/>
      <c r="O7" s="158"/>
      <c r="P7" s="158"/>
      <c r="Q7" s="158"/>
      <c r="R7" s="158"/>
      <c r="S7" s="158"/>
      <c r="T7" s="158"/>
      <c r="U7" s="158"/>
      <c r="V7" s="158"/>
      <c r="W7" s="158"/>
      <c r="X7" s="158"/>
      <c r="Y7" s="158"/>
      <c r="Z7" s="158"/>
      <c r="AA7" s="158"/>
      <c r="AB7" s="158"/>
      <c r="AC7" s="158"/>
      <c r="AD7" s="158"/>
      <c r="AE7" s="158"/>
      <c r="AF7" s="158"/>
      <c r="AG7" s="158"/>
      <c r="AH7" s="158"/>
      <c r="AI7" s="158"/>
    </row>
    <row r="8" spans="2:35" x14ac:dyDescent="0.25">
      <c r="B8" s="472"/>
      <c r="C8" s="156" t="s">
        <v>316</v>
      </c>
      <c r="D8" s="158"/>
      <c r="E8" s="157"/>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row>
    <row r="9" spans="2:35" x14ac:dyDescent="0.25">
      <c r="B9" s="472"/>
      <c r="C9" s="156" t="s">
        <v>317</v>
      </c>
      <c r="D9" s="158"/>
      <c r="E9" s="158"/>
      <c r="F9" s="157"/>
      <c r="G9" s="158"/>
      <c r="H9" s="158"/>
      <c r="I9" s="158"/>
      <c r="J9" s="158"/>
      <c r="K9" s="158"/>
      <c r="L9" s="158"/>
      <c r="M9" s="158"/>
      <c r="N9" s="158"/>
      <c r="O9" s="158"/>
      <c r="P9" s="158"/>
      <c r="Q9" s="158"/>
      <c r="R9" s="158"/>
      <c r="S9" s="158"/>
      <c r="T9" s="158"/>
      <c r="U9" s="158"/>
      <c r="V9" s="158"/>
      <c r="W9" s="158"/>
      <c r="X9" s="158"/>
      <c r="Y9" s="158"/>
      <c r="Z9" s="158"/>
      <c r="AA9" s="158"/>
      <c r="AB9" s="158"/>
      <c r="AC9" s="158"/>
      <c r="AD9" s="158"/>
      <c r="AE9" s="158"/>
      <c r="AF9" s="158"/>
      <c r="AG9" s="158"/>
      <c r="AH9" s="158"/>
      <c r="AI9" s="158"/>
    </row>
    <row r="10" spans="2:35" x14ac:dyDescent="0.25">
      <c r="B10" s="472"/>
      <c r="C10" s="156" t="s">
        <v>318</v>
      </c>
      <c r="D10" s="158"/>
      <c r="E10" s="158"/>
      <c r="F10" s="157"/>
      <c r="G10" s="157"/>
      <c r="H10" s="157"/>
      <c r="I10" s="157"/>
      <c r="J10" s="158"/>
      <c r="K10" s="158"/>
      <c r="L10" s="158"/>
      <c r="M10" s="158"/>
      <c r="N10" s="158"/>
      <c r="O10" s="158"/>
      <c r="P10" s="158"/>
      <c r="Q10" s="158"/>
      <c r="R10" s="158"/>
      <c r="S10" s="158"/>
      <c r="T10" s="158"/>
      <c r="U10" s="158"/>
      <c r="V10" s="158"/>
      <c r="W10" s="158"/>
      <c r="X10" s="158"/>
      <c r="Y10" s="158"/>
      <c r="Z10" s="158"/>
      <c r="AA10" s="158"/>
      <c r="AB10" s="158"/>
      <c r="AC10" s="158"/>
      <c r="AD10" s="158"/>
      <c r="AE10" s="158"/>
      <c r="AF10" s="158"/>
      <c r="AG10" s="158"/>
      <c r="AH10" s="158"/>
      <c r="AI10" s="158"/>
    </row>
    <row r="11" spans="2:35" hidden="1" x14ac:dyDescent="0.25">
      <c r="B11" s="472" t="s">
        <v>319</v>
      </c>
      <c r="C11" s="156"/>
      <c r="D11" s="158"/>
      <c r="E11" s="158"/>
      <c r="F11" s="158"/>
      <c r="G11" s="158"/>
      <c r="H11" s="158"/>
      <c r="I11" s="158"/>
      <c r="J11" s="158"/>
      <c r="K11" s="158"/>
      <c r="L11" s="158"/>
      <c r="M11" s="158"/>
      <c r="N11" s="158"/>
      <c r="O11" s="158"/>
      <c r="P11" s="158"/>
      <c r="Q11" s="158"/>
      <c r="R11" s="158"/>
      <c r="S11" s="158"/>
      <c r="T11" s="158"/>
      <c r="U11" s="158"/>
      <c r="V11" s="158"/>
      <c r="W11" s="158"/>
      <c r="X11" s="158"/>
      <c r="Y11" s="158"/>
      <c r="Z11" s="158"/>
      <c r="AA11" s="158"/>
      <c r="AB11" s="158"/>
      <c r="AC11" s="158"/>
      <c r="AD11" s="158"/>
      <c r="AE11" s="158"/>
      <c r="AF11" s="158"/>
      <c r="AG11" s="158"/>
      <c r="AH11" s="158"/>
      <c r="AI11" s="158"/>
    </row>
    <row r="12" spans="2:35" x14ac:dyDescent="0.25">
      <c r="B12" s="472"/>
      <c r="C12" s="156" t="s">
        <v>320</v>
      </c>
      <c r="D12" s="158"/>
      <c r="E12" s="158"/>
      <c r="F12" s="158"/>
      <c r="G12" s="158"/>
      <c r="H12" s="157"/>
      <c r="I12" s="157"/>
      <c r="J12" s="157"/>
      <c r="K12" s="157"/>
      <c r="L12" s="157"/>
      <c r="M12" s="157"/>
      <c r="N12" s="157"/>
      <c r="O12" s="157"/>
      <c r="P12" s="157"/>
      <c r="Q12" s="157"/>
      <c r="R12" s="157"/>
      <c r="S12" s="157"/>
      <c r="T12" s="158"/>
      <c r="U12" s="158"/>
      <c r="V12" s="158"/>
      <c r="W12" s="158"/>
      <c r="X12" s="158"/>
      <c r="Y12" s="158"/>
      <c r="Z12" s="158"/>
      <c r="AA12" s="158"/>
      <c r="AB12" s="158"/>
      <c r="AC12" s="158"/>
      <c r="AD12" s="158"/>
      <c r="AE12" s="158"/>
      <c r="AF12" s="158"/>
      <c r="AG12" s="158"/>
      <c r="AH12" s="158"/>
      <c r="AI12" s="158"/>
    </row>
    <row r="13" spans="2:35" ht="30" x14ac:dyDescent="0.25">
      <c r="B13" s="472"/>
      <c r="C13" s="156" t="s">
        <v>321</v>
      </c>
      <c r="D13" s="158"/>
      <c r="E13" s="158"/>
      <c r="F13" s="158"/>
      <c r="G13" s="158"/>
      <c r="H13" s="159"/>
      <c r="I13" s="159"/>
      <c r="J13" s="157"/>
      <c r="K13" s="157"/>
      <c r="L13" s="157"/>
      <c r="M13" s="157"/>
      <c r="N13" s="157"/>
      <c r="O13" s="157"/>
      <c r="P13" s="157"/>
      <c r="Q13" s="157"/>
      <c r="R13" s="157"/>
      <c r="S13" s="157"/>
      <c r="T13" s="157"/>
      <c r="U13" s="157"/>
      <c r="V13" s="157"/>
      <c r="W13" s="157"/>
      <c r="X13" s="157"/>
      <c r="Y13" s="157"/>
      <c r="Z13" s="157"/>
      <c r="AA13" s="157"/>
      <c r="AB13" s="157"/>
      <c r="AC13" s="157"/>
      <c r="AD13" s="157"/>
      <c r="AE13" s="158"/>
      <c r="AF13" s="158"/>
      <c r="AG13" s="158"/>
      <c r="AH13" s="158"/>
      <c r="AI13" s="158"/>
    </row>
    <row r="14" spans="2:35" x14ac:dyDescent="0.25">
      <c r="B14" s="472"/>
      <c r="C14" s="156" t="s">
        <v>322</v>
      </c>
      <c r="D14" s="158"/>
      <c r="E14" s="158"/>
      <c r="F14" s="158"/>
      <c r="G14" s="158"/>
      <c r="H14" s="158"/>
      <c r="I14" s="158"/>
      <c r="J14" s="158"/>
      <c r="K14" s="158"/>
      <c r="L14" s="158"/>
      <c r="M14" s="158"/>
      <c r="N14" s="158"/>
      <c r="O14" s="158"/>
      <c r="P14" s="157"/>
      <c r="Q14" s="157"/>
      <c r="R14" s="157"/>
      <c r="S14" s="157"/>
      <c r="T14" s="157"/>
      <c r="U14" s="157"/>
      <c r="V14" s="157"/>
      <c r="W14" s="157"/>
      <c r="X14" s="157"/>
      <c r="Y14" s="158"/>
      <c r="Z14" s="158"/>
      <c r="AA14" s="158"/>
      <c r="AB14" s="158"/>
      <c r="AC14" s="158"/>
      <c r="AD14" s="158"/>
      <c r="AE14" s="158"/>
      <c r="AF14" s="158"/>
      <c r="AG14" s="158"/>
      <c r="AH14" s="158"/>
      <c r="AI14" s="158"/>
    </row>
    <row r="15" spans="2:35" ht="30" x14ac:dyDescent="0.25">
      <c r="B15" s="472"/>
      <c r="C15" s="156" t="s">
        <v>323</v>
      </c>
      <c r="D15" s="158"/>
      <c r="E15" s="158"/>
      <c r="F15" s="158"/>
      <c r="G15" s="158"/>
      <c r="H15" s="158"/>
      <c r="I15" s="158"/>
      <c r="J15" s="158"/>
      <c r="K15" s="158"/>
      <c r="L15" s="158"/>
      <c r="M15" s="158"/>
      <c r="N15" s="157"/>
      <c r="O15" s="157"/>
      <c r="P15" s="157"/>
      <c r="Q15" s="157"/>
      <c r="R15" s="157"/>
      <c r="S15" s="157"/>
      <c r="T15" s="157"/>
      <c r="U15" s="157"/>
      <c r="V15" s="157"/>
      <c r="W15" s="157"/>
      <c r="X15" s="157"/>
      <c r="Y15" s="157"/>
      <c r="Z15" s="157"/>
      <c r="AA15" s="157"/>
      <c r="AB15" s="157"/>
      <c r="AC15" s="157"/>
      <c r="AD15" s="157"/>
      <c r="AE15" s="158"/>
      <c r="AF15" s="158"/>
      <c r="AG15" s="158"/>
      <c r="AH15" s="158"/>
      <c r="AI15" s="158"/>
    </row>
    <row r="16" spans="2:35" x14ac:dyDescent="0.25">
      <c r="B16" s="472" t="s">
        <v>324</v>
      </c>
      <c r="C16" s="156" t="s">
        <v>325</v>
      </c>
      <c r="D16" s="158"/>
      <c r="E16" s="158"/>
      <c r="F16" s="158"/>
      <c r="G16" s="158"/>
      <c r="H16" s="158"/>
      <c r="I16" s="158"/>
      <c r="J16" s="158"/>
      <c r="K16" s="158"/>
      <c r="L16" s="157"/>
      <c r="M16" s="157"/>
      <c r="N16" s="157"/>
      <c r="O16" s="157"/>
      <c r="P16" s="157"/>
      <c r="Q16" s="157"/>
      <c r="R16" s="157"/>
      <c r="S16" s="157"/>
      <c r="T16" s="157"/>
      <c r="U16" s="157"/>
      <c r="V16" s="157"/>
      <c r="W16" s="157"/>
      <c r="X16" s="157"/>
      <c r="Y16" s="157"/>
      <c r="Z16" s="157"/>
      <c r="AA16" s="157"/>
      <c r="AB16" s="157"/>
      <c r="AC16" s="157"/>
      <c r="AD16" s="157"/>
      <c r="AE16" s="157"/>
      <c r="AF16" s="157"/>
      <c r="AG16" s="157"/>
      <c r="AH16" s="158"/>
      <c r="AI16" s="158"/>
    </row>
    <row r="17" spans="2:35" x14ac:dyDescent="0.25">
      <c r="B17" s="472"/>
      <c r="C17" s="156" t="s">
        <v>326</v>
      </c>
      <c r="D17" s="158"/>
      <c r="E17" s="158"/>
      <c r="F17" s="158"/>
      <c r="G17" s="158"/>
      <c r="H17" s="158"/>
      <c r="I17" s="158"/>
      <c r="J17" s="158"/>
      <c r="K17" s="158"/>
      <c r="L17" s="157"/>
      <c r="M17" s="157"/>
      <c r="N17" s="157"/>
      <c r="O17" s="157"/>
      <c r="P17" s="157"/>
      <c r="Q17" s="157"/>
      <c r="R17" s="157"/>
      <c r="S17" s="157"/>
      <c r="T17" s="157"/>
      <c r="U17" s="157"/>
      <c r="V17" s="157"/>
      <c r="W17" s="157"/>
      <c r="X17" s="157"/>
      <c r="Y17" s="157"/>
      <c r="Z17" s="157"/>
      <c r="AA17" s="157"/>
      <c r="AB17" s="157"/>
      <c r="AC17" s="157"/>
      <c r="AD17" s="157"/>
      <c r="AE17" s="157"/>
      <c r="AF17" s="157"/>
      <c r="AG17" s="157"/>
      <c r="AH17" s="158"/>
      <c r="AI17" s="158"/>
    </row>
    <row r="18" spans="2:35" x14ac:dyDescent="0.25">
      <c r="B18" s="472"/>
      <c r="C18" s="156" t="s">
        <v>325</v>
      </c>
      <c r="D18" s="158"/>
      <c r="E18" s="158"/>
      <c r="F18" s="158"/>
      <c r="G18" s="158"/>
      <c r="H18" s="158"/>
      <c r="I18" s="158"/>
      <c r="J18" s="158"/>
      <c r="K18" s="158"/>
      <c r="L18" s="157"/>
      <c r="M18" s="157"/>
      <c r="N18" s="157"/>
      <c r="O18" s="157"/>
      <c r="P18" s="157"/>
      <c r="Q18" s="157"/>
      <c r="R18" s="157"/>
      <c r="S18" s="157"/>
      <c r="T18" s="157"/>
      <c r="U18" s="157"/>
      <c r="V18" s="157"/>
      <c r="W18" s="157"/>
      <c r="X18" s="157"/>
      <c r="Y18" s="157"/>
      <c r="Z18" s="157"/>
      <c r="AA18" s="157"/>
      <c r="AB18" s="157"/>
      <c r="AC18" s="157"/>
      <c r="AD18" s="157"/>
      <c r="AE18" s="157"/>
      <c r="AF18" s="157"/>
      <c r="AG18" s="157"/>
      <c r="AH18" s="158"/>
      <c r="AI18" s="158"/>
    </row>
    <row r="19" spans="2:35" ht="62.25" x14ac:dyDescent="0.25">
      <c r="B19" s="160" t="s">
        <v>327</v>
      </c>
      <c r="C19" s="156" t="s">
        <v>328</v>
      </c>
      <c r="D19" s="158"/>
      <c r="E19" s="158"/>
      <c r="F19" s="158"/>
      <c r="G19" s="158"/>
      <c r="H19" s="158"/>
      <c r="I19" s="158"/>
      <c r="J19" s="157"/>
      <c r="K19" s="157"/>
      <c r="L19" s="157"/>
      <c r="M19" s="157"/>
      <c r="N19" s="157"/>
      <c r="O19" s="157"/>
      <c r="P19" s="157"/>
      <c r="Q19" s="157"/>
      <c r="R19" s="157"/>
      <c r="S19" s="157"/>
      <c r="T19" s="157"/>
      <c r="U19" s="157"/>
      <c r="V19" s="157"/>
      <c r="W19" s="157"/>
      <c r="X19" s="157"/>
      <c r="Y19" s="157"/>
      <c r="Z19" s="157"/>
      <c r="AA19" s="157"/>
      <c r="AB19" s="157"/>
      <c r="AC19" s="157"/>
      <c r="AD19" s="157"/>
      <c r="AE19" s="157"/>
      <c r="AF19" s="157"/>
      <c r="AG19" s="157"/>
      <c r="AH19" s="158"/>
      <c r="AI19" s="158"/>
    </row>
    <row r="20" spans="2:35" x14ac:dyDescent="0.25">
      <c r="B20" s="472" t="s">
        <v>329</v>
      </c>
      <c r="C20" s="151" t="s">
        <v>330</v>
      </c>
      <c r="D20" s="158"/>
      <c r="E20" s="158"/>
      <c r="F20" s="158"/>
      <c r="G20" s="158"/>
      <c r="H20" s="158"/>
      <c r="I20" s="158"/>
      <c r="J20" s="157"/>
      <c r="K20" s="157"/>
      <c r="L20" s="157"/>
      <c r="M20" s="157"/>
      <c r="N20" s="157"/>
      <c r="O20" s="157"/>
      <c r="P20" s="157"/>
      <c r="Q20" s="157"/>
      <c r="R20" s="157"/>
      <c r="S20" s="157"/>
      <c r="T20" s="157"/>
      <c r="U20" s="157"/>
      <c r="V20" s="157"/>
      <c r="W20" s="157"/>
      <c r="X20" s="157"/>
      <c r="Y20" s="157"/>
      <c r="Z20" s="157"/>
      <c r="AA20" s="157"/>
      <c r="AB20" s="157"/>
      <c r="AC20" s="157"/>
      <c r="AD20" s="157"/>
      <c r="AE20" s="157"/>
      <c r="AF20" s="157"/>
      <c r="AG20" s="157"/>
      <c r="AH20" s="158"/>
      <c r="AI20" s="158"/>
    </row>
    <row r="21" spans="2:35" ht="45" x14ac:dyDescent="0.25">
      <c r="B21" s="472"/>
      <c r="C21" s="156" t="s">
        <v>331</v>
      </c>
      <c r="D21" s="158"/>
      <c r="E21" s="158"/>
      <c r="F21" s="158"/>
      <c r="G21" s="157"/>
      <c r="H21" s="157"/>
      <c r="I21" s="158"/>
      <c r="J21" s="158"/>
      <c r="K21" s="157"/>
      <c r="L21" s="157"/>
      <c r="M21" s="158"/>
      <c r="N21" s="158"/>
      <c r="O21" s="157"/>
      <c r="P21" s="157"/>
      <c r="Q21" s="158"/>
      <c r="R21" s="158"/>
      <c r="S21" s="157"/>
      <c r="T21" s="157"/>
      <c r="U21" s="158"/>
      <c r="V21" s="158"/>
      <c r="W21" s="157"/>
      <c r="X21" s="157"/>
      <c r="Y21" s="158"/>
      <c r="Z21" s="158"/>
      <c r="AA21" s="157"/>
      <c r="AB21" s="157"/>
      <c r="AC21" s="158"/>
      <c r="AD21" s="158"/>
      <c r="AE21" s="157"/>
      <c r="AF21" s="157"/>
      <c r="AG21" s="158"/>
      <c r="AH21" s="158"/>
      <c r="AI21" s="158"/>
    </row>
    <row r="22" spans="2:35" ht="45" x14ac:dyDescent="0.25">
      <c r="B22" s="472"/>
      <c r="C22" s="156" t="s">
        <v>332</v>
      </c>
      <c r="D22" s="158"/>
      <c r="E22" s="158"/>
      <c r="F22" s="158"/>
      <c r="G22" s="158"/>
      <c r="H22" s="158"/>
      <c r="I22" s="158"/>
      <c r="J22" s="158"/>
      <c r="K22" s="158"/>
      <c r="L22" s="158"/>
      <c r="M22" s="158"/>
      <c r="N22" s="158"/>
      <c r="O22" s="158"/>
      <c r="P22" s="158"/>
      <c r="Q22" s="158"/>
      <c r="R22" s="158"/>
      <c r="S22" s="158"/>
      <c r="T22" s="158"/>
      <c r="U22" s="158"/>
      <c r="V22" s="158"/>
      <c r="W22" s="158"/>
      <c r="X22" s="158"/>
      <c r="Y22" s="158"/>
      <c r="Z22" s="158"/>
      <c r="AA22" s="158"/>
      <c r="AB22" s="158"/>
      <c r="AC22" s="158"/>
      <c r="AD22" s="157"/>
      <c r="AE22" s="157"/>
      <c r="AF22" s="157"/>
      <c r="AG22" s="157"/>
      <c r="AH22" s="157"/>
      <c r="AI22" s="157"/>
    </row>
  </sheetData>
  <mergeCells count="15">
    <mergeCell ref="B6:B10"/>
    <mergeCell ref="B11:B15"/>
    <mergeCell ref="B16:B18"/>
    <mergeCell ref="B20:B22"/>
    <mergeCell ref="B3:AI3"/>
    <mergeCell ref="B4:B5"/>
    <mergeCell ref="C4:C5"/>
    <mergeCell ref="D4:G4"/>
    <mergeCell ref="H4:K4"/>
    <mergeCell ref="L4:O4"/>
    <mergeCell ref="P4:S4"/>
    <mergeCell ref="T4:W4"/>
    <mergeCell ref="X4:AA4"/>
    <mergeCell ref="AB4:AE4"/>
    <mergeCell ref="AF4:AI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B70BA-6BD3-4DAA-8234-3E6D91187CDD}">
  <dimension ref="A1:AH134"/>
  <sheetViews>
    <sheetView zoomScale="54" zoomScaleNormal="54" workbookViewId="0">
      <pane xSplit="11" ySplit="2" topLeftCell="AF33" activePane="bottomRight" state="frozen"/>
      <selection pane="topRight" activeCell="H1" sqref="H1"/>
      <selection pane="bottomLeft" activeCell="A3" sqref="A3"/>
      <selection pane="bottomRight" activeCell="AE34" sqref="AE34:AG52"/>
    </sheetView>
  </sheetViews>
  <sheetFormatPr baseColWidth="10" defaultColWidth="11.42578125" defaultRowHeight="15.75" customHeight="1" x14ac:dyDescent="0.25"/>
  <cols>
    <col min="1" max="1" width="7.140625" style="1" customWidth="1"/>
    <col min="2" max="5" width="20.7109375" style="1" customWidth="1"/>
    <col min="6" max="6" width="24.42578125" style="1" bestFit="1" customWidth="1"/>
    <col min="7" max="7" width="77.28515625" style="1" customWidth="1"/>
    <col min="8" max="8" width="8.42578125" style="2" customWidth="1"/>
    <col min="9" max="9" width="25.28515625" style="1" bestFit="1" customWidth="1"/>
    <col min="10" max="10" width="25" style="1" bestFit="1" customWidth="1"/>
    <col min="11" max="11" width="11.42578125" style="1" customWidth="1"/>
    <col min="12" max="12" width="18.42578125" style="1" bestFit="1" customWidth="1"/>
    <col min="13" max="13" width="15.42578125" style="1" bestFit="1" customWidth="1"/>
    <col min="14" max="14" width="15.42578125" style="1" customWidth="1"/>
    <col min="15" max="15" width="22.42578125" style="1" customWidth="1"/>
    <col min="16" max="16" width="25.42578125" style="1" bestFit="1" customWidth="1"/>
    <col min="17" max="17" width="18.42578125" style="1" bestFit="1" customWidth="1"/>
    <col min="18" max="18" width="15.42578125" style="1" bestFit="1" customWidth="1"/>
    <col min="19" max="19" width="15.42578125" style="1" customWidth="1"/>
    <col min="20" max="20" width="22.42578125" style="1" customWidth="1"/>
    <col min="21" max="21" width="27.140625" style="1" bestFit="1" customWidth="1"/>
    <col min="22" max="22" width="18.42578125" style="1" bestFit="1" customWidth="1"/>
    <col min="23" max="23" width="15.42578125" style="1" bestFit="1" customWidth="1"/>
    <col min="24" max="24" width="15.42578125" style="1" customWidth="1"/>
    <col min="25" max="25" width="22.42578125" style="1" customWidth="1"/>
    <col min="26" max="26" width="27.7109375" style="1" bestFit="1" customWidth="1"/>
    <col min="27" max="27" width="18.42578125" style="1" bestFit="1" customWidth="1"/>
    <col min="28" max="28" width="15.42578125" style="1" bestFit="1" customWidth="1"/>
    <col min="29" max="29" width="15.42578125" style="1" customWidth="1"/>
    <col min="30" max="30" width="22.42578125" style="1" customWidth="1"/>
    <col min="31" max="31" width="27.7109375" style="1" bestFit="1" customWidth="1"/>
    <col min="32" max="32" width="29.28515625" style="1" bestFit="1" customWidth="1"/>
    <col min="33" max="33" width="23" style="31" customWidth="1"/>
    <col min="34" max="16384" width="11.42578125" style="1"/>
  </cols>
  <sheetData>
    <row r="1" spans="1:33" ht="49.35" customHeight="1" thickBot="1" x14ac:dyDescent="0.3">
      <c r="A1" s="280" t="s">
        <v>0</v>
      </c>
      <c r="B1" s="281"/>
      <c r="C1" s="281"/>
      <c r="D1" s="281"/>
      <c r="E1" s="281"/>
      <c r="F1" s="282"/>
      <c r="G1" s="282"/>
      <c r="H1" s="282"/>
      <c r="I1" s="282"/>
      <c r="J1" s="282"/>
      <c r="K1" s="283"/>
      <c r="L1" s="284" t="s">
        <v>1</v>
      </c>
      <c r="M1" s="285"/>
      <c r="N1" s="285"/>
      <c r="O1" s="285"/>
      <c r="P1" s="286"/>
      <c r="Q1" s="287" t="s">
        <v>2</v>
      </c>
      <c r="R1" s="288"/>
      <c r="S1" s="288"/>
      <c r="T1" s="288"/>
      <c r="U1" s="289"/>
      <c r="V1" s="290" t="s">
        <v>3</v>
      </c>
      <c r="W1" s="291"/>
      <c r="X1" s="291"/>
      <c r="Y1" s="291"/>
      <c r="Z1" s="292"/>
      <c r="AA1" s="293" t="s">
        <v>4</v>
      </c>
      <c r="AB1" s="294"/>
      <c r="AC1" s="294"/>
      <c r="AD1" s="294"/>
      <c r="AE1" s="294"/>
      <c r="AF1" s="294"/>
      <c r="AG1" s="294"/>
    </row>
    <row r="2" spans="1:33" ht="49.35" customHeight="1" x14ac:dyDescent="0.25">
      <c r="A2" s="20" t="s">
        <v>5</v>
      </c>
      <c r="B2" s="20" t="s">
        <v>6</v>
      </c>
      <c r="C2" s="20" t="s">
        <v>7</v>
      </c>
      <c r="D2" s="20" t="s">
        <v>8</v>
      </c>
      <c r="E2" s="20" t="s">
        <v>9</v>
      </c>
      <c r="F2" s="20" t="s">
        <v>10</v>
      </c>
      <c r="G2" s="20" t="s">
        <v>11</v>
      </c>
      <c r="H2" s="20" t="s">
        <v>12</v>
      </c>
      <c r="I2" s="20" t="s">
        <v>13</v>
      </c>
      <c r="J2" s="20" t="s">
        <v>14</v>
      </c>
      <c r="K2" s="20" t="s">
        <v>13</v>
      </c>
      <c r="L2" s="21" t="s">
        <v>15</v>
      </c>
      <c r="M2" s="22" t="s">
        <v>16</v>
      </c>
      <c r="N2" s="21" t="s">
        <v>17</v>
      </c>
      <c r="O2" s="21" t="s">
        <v>18</v>
      </c>
      <c r="P2" s="21" t="s">
        <v>19</v>
      </c>
      <c r="Q2" s="23" t="s">
        <v>15</v>
      </c>
      <c r="R2" s="24" t="s">
        <v>16</v>
      </c>
      <c r="S2" s="23" t="s">
        <v>17</v>
      </c>
      <c r="T2" s="23" t="s">
        <v>18</v>
      </c>
      <c r="U2" s="23" t="s">
        <v>19</v>
      </c>
      <c r="V2" s="25" t="s">
        <v>15</v>
      </c>
      <c r="W2" s="26" t="s">
        <v>16</v>
      </c>
      <c r="X2" s="25" t="s">
        <v>17</v>
      </c>
      <c r="Y2" s="25" t="s">
        <v>18</v>
      </c>
      <c r="Z2" s="25" t="s">
        <v>19</v>
      </c>
      <c r="AA2" s="27" t="s">
        <v>20</v>
      </c>
      <c r="AB2" s="27" t="s">
        <v>21</v>
      </c>
      <c r="AC2" s="27" t="s">
        <v>22</v>
      </c>
      <c r="AD2" s="27" t="s">
        <v>23</v>
      </c>
      <c r="AE2" s="27" t="s">
        <v>24</v>
      </c>
      <c r="AF2" s="27" t="s">
        <v>25</v>
      </c>
      <c r="AG2" s="27" t="s">
        <v>26</v>
      </c>
    </row>
    <row r="3" spans="1:33" ht="105" x14ac:dyDescent="0.25">
      <c r="A3" s="14">
        <v>1</v>
      </c>
      <c r="B3" s="276" t="s">
        <v>27</v>
      </c>
      <c r="C3" s="279" t="s">
        <v>28</v>
      </c>
      <c r="D3" s="279" t="s">
        <v>29</v>
      </c>
      <c r="E3" s="279" t="s">
        <v>30</v>
      </c>
      <c r="F3" s="279" t="s">
        <v>31</v>
      </c>
      <c r="G3" s="38" t="s">
        <v>32</v>
      </c>
      <c r="H3" s="35">
        <v>500</v>
      </c>
      <c r="I3" s="35" t="s">
        <v>33</v>
      </c>
      <c r="J3" s="279">
        <v>30</v>
      </c>
      <c r="K3" s="279" t="s">
        <v>34</v>
      </c>
      <c r="L3" s="64">
        <v>83475</v>
      </c>
      <c r="M3" s="65">
        <f>+L3*19%</f>
        <v>15860.25</v>
      </c>
      <c r="N3" s="69">
        <f>+M3+L3</f>
        <v>99335.25</v>
      </c>
      <c r="O3" s="7">
        <f>H3*M3</f>
        <v>7930125</v>
      </c>
      <c r="P3" s="7">
        <f>N3*H3</f>
        <v>49667625</v>
      </c>
      <c r="Q3" s="64">
        <v>80000</v>
      </c>
      <c r="R3" s="65">
        <f t="shared" ref="R3:R21" si="0">+Q3*0.19</f>
        <v>15200</v>
      </c>
      <c r="S3" s="69">
        <f t="shared" ref="S3:S21" si="1">+Q3+R3</f>
        <v>95200</v>
      </c>
      <c r="T3" s="7">
        <f>R3*H3</f>
        <v>7600000</v>
      </c>
      <c r="U3" s="7">
        <f>S3*H3</f>
        <v>47600000</v>
      </c>
      <c r="V3" s="7">
        <v>75000</v>
      </c>
      <c r="W3" s="7">
        <v>14250</v>
      </c>
      <c r="X3" s="7">
        <v>89250</v>
      </c>
      <c r="Y3" s="7">
        <f>V3*H3</f>
        <v>37500000</v>
      </c>
      <c r="Z3" s="7">
        <f>X3*H3</f>
        <v>44625000</v>
      </c>
      <c r="AA3" s="7">
        <f t="shared" ref="AA3:AE20" si="2">AVERAGE(L3,Q3,V3)</f>
        <v>79491.666666666672</v>
      </c>
      <c r="AB3" s="7">
        <f t="shared" si="2"/>
        <v>15103.416666666666</v>
      </c>
      <c r="AC3" s="7">
        <f t="shared" si="2"/>
        <v>94595.083333333328</v>
      </c>
      <c r="AD3" s="7">
        <f t="shared" si="2"/>
        <v>17676708.333333332</v>
      </c>
      <c r="AE3" s="7">
        <f t="shared" si="2"/>
        <v>47297541.666666664</v>
      </c>
      <c r="AF3" s="127">
        <f>_xlfn.STDEV.P(P3,U3,Z3)</f>
        <v>2069722.6070512177</v>
      </c>
      <c r="AG3" s="128">
        <f t="shared" ref="AG3:AG21" si="3">AF3/AE3</f>
        <v>4.3759623314838618E-2</v>
      </c>
    </row>
    <row r="4" spans="1:33" ht="120" x14ac:dyDescent="0.25">
      <c r="A4" s="14">
        <v>2</v>
      </c>
      <c r="B4" s="277"/>
      <c r="C4" s="279"/>
      <c r="D4" s="279"/>
      <c r="E4" s="279"/>
      <c r="F4" s="279"/>
      <c r="G4" s="39" t="s">
        <v>35</v>
      </c>
      <c r="H4" s="35">
        <v>500</v>
      </c>
      <c r="I4" s="35" t="s">
        <v>36</v>
      </c>
      <c r="J4" s="279"/>
      <c r="K4" s="279"/>
      <c r="L4" s="66">
        <v>890.4</v>
      </c>
      <c r="M4" s="65">
        <f t="shared" ref="M4:M21" si="4">+L4*19%</f>
        <v>169.17599999999999</v>
      </c>
      <c r="N4" s="69">
        <f t="shared" ref="N4:N21" si="5">+M4+L4</f>
        <v>1059.576</v>
      </c>
      <c r="O4" s="7">
        <f t="shared" ref="O4:O21" si="6">H4*M4</f>
        <v>84588</v>
      </c>
      <c r="P4" s="7">
        <f t="shared" ref="P4:P21" si="7">N4*H4</f>
        <v>529788</v>
      </c>
      <c r="Q4" s="78">
        <v>800</v>
      </c>
      <c r="R4" s="65">
        <f t="shared" si="0"/>
        <v>152</v>
      </c>
      <c r="S4" s="69">
        <f t="shared" si="1"/>
        <v>952</v>
      </c>
      <c r="T4" s="7">
        <f t="shared" ref="T4:T21" si="8">R4*H4</f>
        <v>76000</v>
      </c>
      <c r="U4" s="7">
        <f t="shared" ref="U4:U21" si="9">S4*H4</f>
        <v>476000</v>
      </c>
      <c r="V4" s="7">
        <v>800</v>
      </c>
      <c r="W4" s="7">
        <v>152</v>
      </c>
      <c r="X4" s="7">
        <v>952</v>
      </c>
      <c r="Y4" s="7">
        <f t="shared" ref="Y4:Y21" si="10">V4*H4</f>
        <v>400000</v>
      </c>
      <c r="Z4" s="7">
        <f t="shared" ref="Z4:Z21" si="11">X4*H4</f>
        <v>476000</v>
      </c>
      <c r="AA4" s="7">
        <f t="shared" si="2"/>
        <v>830.13333333333333</v>
      </c>
      <c r="AB4" s="7">
        <f t="shared" si="2"/>
        <v>157.72533333333334</v>
      </c>
      <c r="AC4" s="7">
        <f t="shared" si="2"/>
        <v>987.85866666666664</v>
      </c>
      <c r="AD4" s="7">
        <f t="shared" si="2"/>
        <v>186862.66666666666</v>
      </c>
      <c r="AE4" s="7">
        <f t="shared" si="2"/>
        <v>493929.33333333331</v>
      </c>
      <c r="AF4" s="127">
        <f t="shared" ref="AF4:AF19" si="12">_xlfn.STDEV.P(P4,U4,Z4)</f>
        <v>25355.906364308015</v>
      </c>
      <c r="AG4" s="128">
        <f t="shared" si="3"/>
        <v>5.1335089157776986E-2</v>
      </c>
    </row>
    <row r="5" spans="1:33" ht="30" x14ac:dyDescent="0.25">
      <c r="A5" s="14">
        <v>3</v>
      </c>
      <c r="B5" s="277"/>
      <c r="C5" s="279"/>
      <c r="D5" s="279"/>
      <c r="E5" s="279"/>
      <c r="F5" s="279"/>
      <c r="G5" s="40" t="s">
        <v>166</v>
      </c>
      <c r="H5" s="35">
        <v>500</v>
      </c>
      <c r="I5" s="35" t="s">
        <v>36</v>
      </c>
      <c r="J5" s="279"/>
      <c r="K5" s="279"/>
      <c r="L5" s="66">
        <v>1669.5</v>
      </c>
      <c r="M5" s="65">
        <f t="shared" si="4"/>
        <v>317.20499999999998</v>
      </c>
      <c r="N5" s="69">
        <f t="shared" si="5"/>
        <v>1986.7049999999999</v>
      </c>
      <c r="O5" s="7">
        <f t="shared" si="6"/>
        <v>158602.5</v>
      </c>
      <c r="P5" s="7">
        <f t="shared" si="7"/>
        <v>993352.5</v>
      </c>
      <c r="Q5" s="78">
        <v>1500</v>
      </c>
      <c r="R5" s="65">
        <f t="shared" si="0"/>
        <v>285</v>
      </c>
      <c r="S5" s="69">
        <f t="shared" si="1"/>
        <v>1785</v>
      </c>
      <c r="T5" s="7">
        <f t="shared" si="8"/>
        <v>142500</v>
      </c>
      <c r="U5" s="7">
        <f t="shared" si="9"/>
        <v>892500</v>
      </c>
      <c r="V5" s="7">
        <v>1500</v>
      </c>
      <c r="W5" s="7">
        <v>285</v>
      </c>
      <c r="X5" s="7">
        <v>1785</v>
      </c>
      <c r="Y5" s="7">
        <f t="shared" si="10"/>
        <v>750000</v>
      </c>
      <c r="Z5" s="7">
        <f t="shared" si="11"/>
        <v>892500</v>
      </c>
      <c r="AA5" s="7">
        <f t="shared" si="2"/>
        <v>1556.5</v>
      </c>
      <c r="AB5" s="7">
        <f t="shared" si="2"/>
        <v>295.73499999999996</v>
      </c>
      <c r="AC5" s="7">
        <f t="shared" si="2"/>
        <v>1852.2349999999999</v>
      </c>
      <c r="AD5" s="7">
        <f t="shared" si="2"/>
        <v>350367.5</v>
      </c>
      <c r="AE5" s="7">
        <f t="shared" si="2"/>
        <v>926117.5</v>
      </c>
      <c r="AF5" s="127">
        <f t="shared" si="12"/>
        <v>47542.32443307752</v>
      </c>
      <c r="AG5" s="128">
        <f t="shared" si="3"/>
        <v>5.1335089157776979E-2</v>
      </c>
    </row>
    <row r="6" spans="1:33" ht="30" x14ac:dyDescent="0.25">
      <c r="A6" s="14">
        <v>4</v>
      </c>
      <c r="B6" s="277"/>
      <c r="C6" s="279"/>
      <c r="D6" s="279"/>
      <c r="E6" s="279"/>
      <c r="F6" s="279"/>
      <c r="G6" s="41" t="s">
        <v>38</v>
      </c>
      <c r="H6" s="35">
        <v>200</v>
      </c>
      <c r="I6" s="35" t="s">
        <v>36</v>
      </c>
      <c r="J6" s="279"/>
      <c r="K6" s="279"/>
      <c r="L6" s="66">
        <v>2226</v>
      </c>
      <c r="M6" s="65">
        <f t="shared" si="4"/>
        <v>422.94</v>
      </c>
      <c r="N6" s="69">
        <f t="shared" si="5"/>
        <v>2648.94</v>
      </c>
      <c r="O6" s="7">
        <f t="shared" si="6"/>
        <v>84588</v>
      </c>
      <c r="P6" s="7">
        <f t="shared" si="7"/>
        <v>529788</v>
      </c>
      <c r="Q6" s="78">
        <v>2200</v>
      </c>
      <c r="R6" s="65">
        <f t="shared" si="0"/>
        <v>418</v>
      </c>
      <c r="S6" s="69">
        <f t="shared" si="1"/>
        <v>2618</v>
      </c>
      <c r="T6" s="7">
        <f t="shared" si="8"/>
        <v>83600</v>
      </c>
      <c r="U6" s="7">
        <f t="shared" si="9"/>
        <v>523600</v>
      </c>
      <c r="V6" s="7">
        <v>2000</v>
      </c>
      <c r="W6" s="7">
        <v>380</v>
      </c>
      <c r="X6" s="7">
        <v>2380</v>
      </c>
      <c r="Y6" s="7">
        <f t="shared" si="10"/>
        <v>400000</v>
      </c>
      <c r="Z6" s="7">
        <f t="shared" si="11"/>
        <v>476000</v>
      </c>
      <c r="AA6" s="7">
        <f t="shared" si="2"/>
        <v>2142</v>
      </c>
      <c r="AB6" s="7">
        <f t="shared" si="2"/>
        <v>406.98</v>
      </c>
      <c r="AC6" s="7">
        <f t="shared" si="2"/>
        <v>2548.98</v>
      </c>
      <c r="AD6" s="7">
        <f t="shared" si="2"/>
        <v>189396</v>
      </c>
      <c r="AE6" s="7">
        <f t="shared" si="2"/>
        <v>509796</v>
      </c>
      <c r="AF6" s="127">
        <f t="shared" si="12"/>
        <v>24030.536795225082</v>
      </c>
      <c r="AG6" s="128">
        <f t="shared" si="3"/>
        <v>4.7137554620328682E-2</v>
      </c>
    </row>
    <row r="7" spans="1:33" ht="375" x14ac:dyDescent="0.25">
      <c r="A7" s="14">
        <v>5</v>
      </c>
      <c r="B7" s="277"/>
      <c r="C7" s="35" t="s">
        <v>39</v>
      </c>
      <c r="D7" s="35" t="s">
        <v>40</v>
      </c>
      <c r="E7" s="35" t="s">
        <v>41</v>
      </c>
      <c r="F7" s="35" t="s">
        <v>42</v>
      </c>
      <c r="G7" s="42" t="s">
        <v>43</v>
      </c>
      <c r="H7" s="35">
        <v>450</v>
      </c>
      <c r="I7" s="35" t="s">
        <v>44</v>
      </c>
      <c r="J7" s="35">
        <v>12</v>
      </c>
      <c r="K7" s="6" t="s">
        <v>45</v>
      </c>
      <c r="L7" s="66">
        <v>556.5</v>
      </c>
      <c r="M7" s="65">
        <f t="shared" si="4"/>
        <v>105.735</v>
      </c>
      <c r="N7" s="69">
        <f t="shared" si="5"/>
        <v>662.23500000000001</v>
      </c>
      <c r="O7" s="7">
        <f t="shared" si="6"/>
        <v>47580.75</v>
      </c>
      <c r="P7" s="7">
        <f t="shared" si="7"/>
        <v>298005.75</v>
      </c>
      <c r="Q7" s="78">
        <v>474</v>
      </c>
      <c r="R7" s="65">
        <f t="shared" si="0"/>
        <v>90.06</v>
      </c>
      <c r="S7" s="69">
        <f t="shared" si="1"/>
        <v>564.05999999999995</v>
      </c>
      <c r="T7" s="7">
        <f t="shared" si="8"/>
        <v>40527</v>
      </c>
      <c r="U7" s="7">
        <f t="shared" si="9"/>
        <v>253826.99999999997</v>
      </c>
      <c r="V7" s="7">
        <v>500</v>
      </c>
      <c r="W7" s="7">
        <v>95</v>
      </c>
      <c r="X7" s="7">
        <v>595</v>
      </c>
      <c r="Y7" s="7">
        <f t="shared" si="10"/>
        <v>225000</v>
      </c>
      <c r="Z7" s="7">
        <f t="shared" si="11"/>
        <v>267750</v>
      </c>
      <c r="AA7" s="7">
        <f t="shared" si="2"/>
        <v>510.16666666666669</v>
      </c>
      <c r="AB7" s="7">
        <f t="shared" si="2"/>
        <v>96.931666666666672</v>
      </c>
      <c r="AC7" s="7">
        <f t="shared" si="2"/>
        <v>607.09833333333336</v>
      </c>
      <c r="AD7" s="7">
        <f t="shared" si="2"/>
        <v>104369.25</v>
      </c>
      <c r="AE7" s="7">
        <f t="shared" si="2"/>
        <v>273194.25</v>
      </c>
      <c r="AF7" s="127">
        <f t="shared" si="12"/>
        <v>18442.168734316481</v>
      </c>
      <c r="AG7" s="128">
        <f t="shared" si="3"/>
        <v>6.7505698726515947E-2</v>
      </c>
    </row>
    <row r="8" spans="1:33" ht="75" x14ac:dyDescent="0.25">
      <c r="A8" s="14">
        <v>6</v>
      </c>
      <c r="B8" s="277"/>
      <c r="C8" s="279" t="s">
        <v>46</v>
      </c>
      <c r="D8" s="279" t="s">
        <v>47</v>
      </c>
      <c r="E8" s="279" t="s">
        <v>48</v>
      </c>
      <c r="F8" s="279" t="s">
        <v>49</v>
      </c>
      <c r="G8" s="42" t="s">
        <v>50</v>
      </c>
      <c r="H8" s="35">
        <v>15</v>
      </c>
      <c r="I8" s="35" t="s">
        <v>44</v>
      </c>
      <c r="J8" s="279" t="s">
        <v>48</v>
      </c>
      <c r="K8" s="6"/>
      <c r="L8" s="66">
        <v>3116400</v>
      </c>
      <c r="M8" s="65">
        <f t="shared" si="4"/>
        <v>592116</v>
      </c>
      <c r="N8" s="69">
        <f t="shared" si="5"/>
        <v>3708516</v>
      </c>
      <c r="O8" s="7">
        <f t="shared" si="6"/>
        <v>8881740</v>
      </c>
      <c r="P8" s="7">
        <f t="shared" si="7"/>
        <v>55627740</v>
      </c>
      <c r="Q8" s="78">
        <v>2830489</v>
      </c>
      <c r="R8" s="65">
        <f t="shared" si="0"/>
        <v>537792.91</v>
      </c>
      <c r="S8" s="69">
        <f t="shared" si="1"/>
        <v>3368281.91</v>
      </c>
      <c r="T8" s="7">
        <f t="shared" si="8"/>
        <v>8066893.6500000004</v>
      </c>
      <c r="U8" s="7">
        <f t="shared" si="9"/>
        <v>50524228.650000006</v>
      </c>
      <c r="V8" s="7">
        <v>2800000</v>
      </c>
      <c r="W8" s="7">
        <v>532000</v>
      </c>
      <c r="X8" s="7">
        <v>3332000</v>
      </c>
      <c r="Y8" s="7">
        <f t="shared" si="10"/>
        <v>42000000</v>
      </c>
      <c r="Z8" s="7">
        <f t="shared" si="11"/>
        <v>49980000</v>
      </c>
      <c r="AA8" s="7">
        <f t="shared" si="2"/>
        <v>2915629.6666666665</v>
      </c>
      <c r="AB8" s="7">
        <f t="shared" si="2"/>
        <v>553969.63666666672</v>
      </c>
      <c r="AC8" s="7">
        <f t="shared" si="2"/>
        <v>3469599.3033333332</v>
      </c>
      <c r="AD8" s="7">
        <f t="shared" si="2"/>
        <v>19649544.550000001</v>
      </c>
      <c r="AE8" s="7">
        <f t="shared" si="2"/>
        <v>52043989.550000004</v>
      </c>
      <c r="AF8" s="127">
        <f t="shared" si="12"/>
        <v>2543815.5949644619</v>
      </c>
      <c r="AG8" s="128">
        <f t="shared" si="3"/>
        <v>4.8878182033307661E-2</v>
      </c>
    </row>
    <row r="9" spans="1:33" ht="45" x14ac:dyDescent="0.25">
      <c r="A9" s="14">
        <v>7</v>
      </c>
      <c r="B9" s="277"/>
      <c r="C9" s="279"/>
      <c r="D9" s="279"/>
      <c r="E9" s="279"/>
      <c r="F9" s="279"/>
      <c r="G9" s="42" t="s">
        <v>167</v>
      </c>
      <c r="H9" s="35">
        <v>1500</v>
      </c>
      <c r="I9" s="35" t="s">
        <v>44</v>
      </c>
      <c r="J9" s="279"/>
      <c r="K9" s="6"/>
      <c r="L9" s="67">
        <v>779.1</v>
      </c>
      <c r="M9" s="65">
        <f t="shared" si="4"/>
        <v>148.029</v>
      </c>
      <c r="N9" s="69">
        <f t="shared" si="5"/>
        <v>927.12900000000002</v>
      </c>
      <c r="O9" s="7">
        <f t="shared" si="6"/>
        <v>222043.5</v>
      </c>
      <c r="P9" s="7">
        <f t="shared" si="7"/>
        <v>1390693.5</v>
      </c>
      <c r="Q9" s="78">
        <v>750</v>
      </c>
      <c r="R9" s="65">
        <f t="shared" si="0"/>
        <v>142.5</v>
      </c>
      <c r="S9" s="69">
        <f t="shared" si="1"/>
        <v>892.5</v>
      </c>
      <c r="T9" s="7">
        <f t="shared" si="8"/>
        <v>213750</v>
      </c>
      <c r="U9" s="7">
        <f t="shared" si="9"/>
        <v>1338750</v>
      </c>
      <c r="V9" s="7">
        <v>700</v>
      </c>
      <c r="W9" s="7">
        <v>133</v>
      </c>
      <c r="X9" s="7">
        <v>833</v>
      </c>
      <c r="Y9" s="7">
        <f t="shared" si="10"/>
        <v>1050000</v>
      </c>
      <c r="Z9" s="7">
        <f t="shared" si="11"/>
        <v>1249500</v>
      </c>
      <c r="AA9" s="7">
        <f t="shared" si="2"/>
        <v>743.0333333333333</v>
      </c>
      <c r="AB9" s="7">
        <f t="shared" si="2"/>
        <v>141.17633333333333</v>
      </c>
      <c r="AC9" s="7">
        <f t="shared" si="2"/>
        <v>884.20966666666664</v>
      </c>
      <c r="AD9" s="7">
        <f t="shared" si="2"/>
        <v>495264.5</v>
      </c>
      <c r="AE9" s="7">
        <f t="shared" si="2"/>
        <v>1326314.5</v>
      </c>
      <c r="AF9" s="127">
        <f t="shared" si="12"/>
        <v>58308.846417160406</v>
      </c>
      <c r="AG9" s="128">
        <f t="shared" si="3"/>
        <v>4.3963061865915219E-2</v>
      </c>
    </row>
    <row r="10" spans="1:33" ht="180" x14ac:dyDescent="0.25">
      <c r="A10" s="14">
        <v>8</v>
      </c>
      <c r="B10" s="277"/>
      <c r="C10" s="295" t="s">
        <v>52</v>
      </c>
      <c r="D10" s="295" t="s">
        <v>53</v>
      </c>
      <c r="E10" s="295" t="s">
        <v>54</v>
      </c>
      <c r="F10" s="295" t="s">
        <v>55</v>
      </c>
      <c r="G10" s="40" t="s">
        <v>56</v>
      </c>
      <c r="H10" s="35">
        <v>1200</v>
      </c>
      <c r="I10" s="35" t="s">
        <v>44</v>
      </c>
      <c r="J10" s="279" t="s">
        <v>54</v>
      </c>
      <c r="K10" s="6"/>
      <c r="L10" s="66">
        <v>111300</v>
      </c>
      <c r="M10" s="65">
        <f t="shared" si="4"/>
        <v>21147</v>
      </c>
      <c r="N10" s="69">
        <f t="shared" si="5"/>
        <v>132447</v>
      </c>
      <c r="O10" s="7">
        <f t="shared" si="6"/>
        <v>25376400</v>
      </c>
      <c r="P10" s="7">
        <f t="shared" si="7"/>
        <v>158936400</v>
      </c>
      <c r="Q10" s="78">
        <v>102349</v>
      </c>
      <c r="R10" s="65">
        <f t="shared" si="0"/>
        <v>19446.310000000001</v>
      </c>
      <c r="S10" s="69">
        <f t="shared" si="1"/>
        <v>121795.31</v>
      </c>
      <c r="T10" s="7">
        <f t="shared" si="8"/>
        <v>23335572</v>
      </c>
      <c r="U10" s="7">
        <f t="shared" si="9"/>
        <v>146154372</v>
      </c>
      <c r="V10" s="7">
        <v>100000</v>
      </c>
      <c r="W10" s="7">
        <v>19000</v>
      </c>
      <c r="X10" s="7">
        <v>119000</v>
      </c>
      <c r="Y10" s="7">
        <f t="shared" si="10"/>
        <v>120000000</v>
      </c>
      <c r="Z10" s="7">
        <f t="shared" si="11"/>
        <v>142800000</v>
      </c>
      <c r="AA10" s="7">
        <f t="shared" si="2"/>
        <v>104549.66666666667</v>
      </c>
      <c r="AB10" s="7">
        <f t="shared" si="2"/>
        <v>19864.436666666665</v>
      </c>
      <c r="AC10" s="7">
        <f t="shared" si="2"/>
        <v>124414.10333333333</v>
      </c>
      <c r="AD10" s="7">
        <f t="shared" si="2"/>
        <v>56237324</v>
      </c>
      <c r="AE10" s="7">
        <f t="shared" si="2"/>
        <v>149296924</v>
      </c>
      <c r="AF10" s="127">
        <f t="shared" si="12"/>
        <v>6952341.3823223608</v>
      </c>
      <c r="AG10" s="128">
        <f t="shared" si="3"/>
        <v>4.6567211139074513E-2</v>
      </c>
    </row>
    <row r="11" spans="1:33" ht="75" x14ac:dyDescent="0.25">
      <c r="A11" s="14">
        <v>9</v>
      </c>
      <c r="B11" s="277"/>
      <c r="C11" s="296"/>
      <c r="D11" s="296"/>
      <c r="E11" s="296"/>
      <c r="F11" s="296"/>
      <c r="G11" s="40" t="s">
        <v>57</v>
      </c>
      <c r="H11" s="35">
        <v>200</v>
      </c>
      <c r="I11" s="35" t="s">
        <v>44</v>
      </c>
      <c r="J11" s="279"/>
      <c r="K11" s="6"/>
      <c r="L11" s="68">
        <v>5565</v>
      </c>
      <c r="M11" s="65">
        <f t="shared" si="4"/>
        <v>1057.3499999999999</v>
      </c>
      <c r="N11" s="69">
        <f t="shared" si="5"/>
        <v>6622.35</v>
      </c>
      <c r="O11" s="7">
        <f t="shared" si="6"/>
        <v>211469.99999999997</v>
      </c>
      <c r="P11" s="7">
        <f t="shared" si="7"/>
        <v>1324470</v>
      </c>
      <c r="Q11" s="78">
        <v>5000</v>
      </c>
      <c r="R11" s="65">
        <f t="shared" si="0"/>
        <v>950</v>
      </c>
      <c r="S11" s="69">
        <f t="shared" si="1"/>
        <v>5950</v>
      </c>
      <c r="T11" s="7">
        <f t="shared" si="8"/>
        <v>190000</v>
      </c>
      <c r="U11" s="7">
        <f t="shared" si="9"/>
        <v>1190000</v>
      </c>
      <c r="V11" s="7">
        <v>5000</v>
      </c>
      <c r="W11" s="7">
        <v>950</v>
      </c>
      <c r="X11" s="7">
        <v>5950</v>
      </c>
      <c r="Y11" s="7">
        <f t="shared" si="10"/>
        <v>1000000</v>
      </c>
      <c r="Z11" s="7">
        <f t="shared" si="11"/>
        <v>1190000</v>
      </c>
      <c r="AA11" s="7">
        <f t="shared" si="2"/>
        <v>5188.333333333333</v>
      </c>
      <c r="AB11" s="7">
        <f t="shared" si="2"/>
        <v>985.7833333333333</v>
      </c>
      <c r="AC11" s="7">
        <f t="shared" si="2"/>
        <v>6174.1166666666659</v>
      </c>
      <c r="AD11" s="7">
        <f t="shared" si="2"/>
        <v>467156.66666666669</v>
      </c>
      <c r="AE11" s="7">
        <f t="shared" si="2"/>
        <v>1234823.3333333333</v>
      </c>
      <c r="AF11" s="127">
        <f t="shared" si="12"/>
        <v>63389.765910770038</v>
      </c>
      <c r="AG11" s="128">
        <f t="shared" si="3"/>
        <v>5.1335089157776993E-2</v>
      </c>
    </row>
    <row r="12" spans="1:33" x14ac:dyDescent="0.25">
      <c r="A12" s="5">
        <v>10</v>
      </c>
      <c r="B12" s="278"/>
      <c r="C12" s="296"/>
      <c r="D12" s="297"/>
      <c r="E12" s="297"/>
      <c r="F12" s="297"/>
      <c r="G12" s="40" t="s">
        <v>58</v>
      </c>
      <c r="H12" s="35">
        <v>2</v>
      </c>
      <c r="I12" s="35" t="s">
        <v>44</v>
      </c>
      <c r="J12" s="279"/>
      <c r="K12" s="6"/>
      <c r="L12" s="68">
        <v>3339000</v>
      </c>
      <c r="M12" s="65">
        <f t="shared" si="4"/>
        <v>634410</v>
      </c>
      <c r="N12" s="69">
        <f t="shared" si="5"/>
        <v>3973410</v>
      </c>
      <c r="O12" s="7">
        <f t="shared" si="6"/>
        <v>1268820</v>
      </c>
      <c r="P12" s="7">
        <f t="shared" si="7"/>
        <v>7946820</v>
      </c>
      <c r="Q12" s="78">
        <v>3500000</v>
      </c>
      <c r="R12" s="65">
        <f t="shared" si="0"/>
        <v>665000</v>
      </c>
      <c r="S12" s="69">
        <f t="shared" si="1"/>
        <v>4165000</v>
      </c>
      <c r="T12" s="7">
        <f t="shared" si="8"/>
        <v>1330000</v>
      </c>
      <c r="U12" s="7">
        <f t="shared" si="9"/>
        <v>8330000</v>
      </c>
      <c r="V12" s="7">
        <v>3000000</v>
      </c>
      <c r="W12" s="7">
        <v>570000</v>
      </c>
      <c r="X12" s="7">
        <v>3570000</v>
      </c>
      <c r="Y12" s="7">
        <f t="shared" si="10"/>
        <v>6000000</v>
      </c>
      <c r="Z12" s="7">
        <f t="shared" si="11"/>
        <v>7140000</v>
      </c>
      <c r="AA12" s="7">
        <f t="shared" si="2"/>
        <v>3279666.6666666665</v>
      </c>
      <c r="AB12" s="7">
        <f t="shared" si="2"/>
        <v>623136.66666666663</v>
      </c>
      <c r="AC12" s="7">
        <f t="shared" si="2"/>
        <v>3902803.3333333335</v>
      </c>
      <c r="AD12" s="7">
        <f t="shared" si="2"/>
        <v>2866273.3333333335</v>
      </c>
      <c r="AE12" s="7">
        <f t="shared" si="2"/>
        <v>7805606.666666667</v>
      </c>
      <c r="AF12" s="127">
        <f t="shared" si="12"/>
        <v>495971.03687838686</v>
      </c>
      <c r="AG12" s="128">
        <f t="shared" si="3"/>
        <v>6.3540357342933868E-2</v>
      </c>
    </row>
    <row r="13" spans="1:33" ht="270" x14ac:dyDescent="0.25">
      <c r="A13" s="14">
        <v>11</v>
      </c>
      <c r="B13" s="63" t="s">
        <v>60</v>
      </c>
      <c r="C13" s="47" t="s">
        <v>61</v>
      </c>
      <c r="D13" s="47" t="s">
        <v>62</v>
      </c>
      <c r="E13" s="37" t="s">
        <v>63</v>
      </c>
      <c r="F13" s="37">
        <v>350</v>
      </c>
      <c r="G13" s="42" t="s">
        <v>64</v>
      </c>
      <c r="H13" s="35">
        <v>6</v>
      </c>
      <c r="I13" s="35" t="s">
        <v>65</v>
      </c>
      <c r="J13" s="35">
        <v>350</v>
      </c>
      <c r="K13" s="4" t="s">
        <v>66</v>
      </c>
      <c r="L13" s="66">
        <v>5008500</v>
      </c>
      <c r="M13" s="65">
        <f t="shared" si="4"/>
        <v>951615</v>
      </c>
      <c r="N13" s="69">
        <f t="shared" si="5"/>
        <v>5960115</v>
      </c>
      <c r="O13" s="7">
        <f t="shared" si="6"/>
        <v>5709690</v>
      </c>
      <c r="P13" s="7">
        <f t="shared" si="7"/>
        <v>35760690</v>
      </c>
      <c r="Q13" s="78">
        <v>4500000</v>
      </c>
      <c r="R13" s="65">
        <f t="shared" si="0"/>
        <v>855000</v>
      </c>
      <c r="S13" s="69">
        <f t="shared" si="1"/>
        <v>5355000</v>
      </c>
      <c r="T13" s="7">
        <f t="shared" si="8"/>
        <v>5130000</v>
      </c>
      <c r="U13" s="7">
        <f t="shared" si="9"/>
        <v>32130000</v>
      </c>
      <c r="V13" s="7">
        <v>4500000</v>
      </c>
      <c r="W13" s="7">
        <v>855000</v>
      </c>
      <c r="X13" s="7">
        <v>5355000</v>
      </c>
      <c r="Y13" s="7">
        <f t="shared" si="10"/>
        <v>27000000</v>
      </c>
      <c r="Z13" s="7">
        <f t="shared" si="11"/>
        <v>32130000</v>
      </c>
      <c r="AA13" s="7">
        <f t="shared" si="2"/>
        <v>4669500</v>
      </c>
      <c r="AB13" s="7">
        <f t="shared" si="2"/>
        <v>887205</v>
      </c>
      <c r="AC13" s="7">
        <f t="shared" si="2"/>
        <v>5556705</v>
      </c>
      <c r="AD13" s="7">
        <f t="shared" si="2"/>
        <v>12613230</v>
      </c>
      <c r="AE13" s="7">
        <f t="shared" si="2"/>
        <v>33340230</v>
      </c>
      <c r="AF13" s="127">
        <f t="shared" si="12"/>
        <v>1711523.6795907908</v>
      </c>
      <c r="AG13" s="128">
        <f t="shared" si="3"/>
        <v>5.1335089157776979E-2</v>
      </c>
    </row>
    <row r="14" spans="1:33" ht="165" x14ac:dyDescent="0.25">
      <c r="A14" s="5">
        <v>12</v>
      </c>
      <c r="B14" s="358" t="s">
        <v>67</v>
      </c>
      <c r="C14" s="279" t="s">
        <v>68</v>
      </c>
      <c r="D14" s="279" t="s">
        <v>69</v>
      </c>
      <c r="E14" s="279" t="s">
        <v>70</v>
      </c>
      <c r="F14" s="279" t="s">
        <v>71</v>
      </c>
      <c r="G14" s="43" t="s">
        <v>168</v>
      </c>
      <c r="H14" s="35">
        <v>5</v>
      </c>
      <c r="I14" s="35" t="s">
        <v>73</v>
      </c>
      <c r="J14" s="279" t="s">
        <v>70</v>
      </c>
      <c r="K14" s="4"/>
      <c r="L14" s="66">
        <v>10017000</v>
      </c>
      <c r="M14" s="65">
        <f t="shared" si="4"/>
        <v>1903230</v>
      </c>
      <c r="N14" s="69">
        <f t="shared" si="5"/>
        <v>11920230</v>
      </c>
      <c r="O14" s="7">
        <f t="shared" si="6"/>
        <v>9516150</v>
      </c>
      <c r="P14" s="7">
        <f t="shared" si="7"/>
        <v>59601150</v>
      </c>
      <c r="Q14" s="78">
        <v>9646509</v>
      </c>
      <c r="R14" s="65">
        <f t="shared" si="0"/>
        <v>1832836.71</v>
      </c>
      <c r="S14" s="69">
        <f t="shared" si="1"/>
        <v>11479345.710000001</v>
      </c>
      <c r="T14" s="7">
        <f t="shared" si="8"/>
        <v>9164183.5500000007</v>
      </c>
      <c r="U14" s="7">
        <f t="shared" si="9"/>
        <v>57396728.550000004</v>
      </c>
      <c r="V14" s="7">
        <v>9000000</v>
      </c>
      <c r="W14" s="7">
        <v>1710000</v>
      </c>
      <c r="X14" s="7">
        <v>10710000</v>
      </c>
      <c r="Y14" s="7">
        <f t="shared" si="10"/>
        <v>45000000</v>
      </c>
      <c r="Z14" s="7">
        <f t="shared" si="11"/>
        <v>53550000</v>
      </c>
      <c r="AA14" s="7">
        <f t="shared" si="2"/>
        <v>9554503</v>
      </c>
      <c r="AB14" s="7">
        <f t="shared" si="2"/>
        <v>1815355.57</v>
      </c>
      <c r="AC14" s="7">
        <f t="shared" si="2"/>
        <v>11369858.57</v>
      </c>
      <c r="AD14" s="7">
        <f t="shared" si="2"/>
        <v>21226777.849999998</v>
      </c>
      <c r="AE14" s="7">
        <f t="shared" si="2"/>
        <v>56849292.850000001</v>
      </c>
      <c r="AF14" s="127">
        <f t="shared" si="12"/>
        <v>2500515.7421154636</v>
      </c>
      <c r="AG14" s="128">
        <f t="shared" si="3"/>
        <v>4.3984992895394717E-2</v>
      </c>
    </row>
    <row r="15" spans="1:33" ht="105" x14ac:dyDescent="0.25">
      <c r="A15" s="14">
        <v>13</v>
      </c>
      <c r="B15" s="359"/>
      <c r="C15" s="279"/>
      <c r="D15" s="279"/>
      <c r="E15" s="279"/>
      <c r="F15" s="279"/>
      <c r="G15" s="42" t="s">
        <v>123</v>
      </c>
      <c r="H15" s="35">
        <v>5</v>
      </c>
      <c r="I15" s="35" t="s">
        <v>44</v>
      </c>
      <c r="J15" s="279"/>
      <c r="K15" s="4"/>
      <c r="L15" s="66">
        <v>9121294.6999999993</v>
      </c>
      <c r="M15" s="65">
        <f t="shared" si="4"/>
        <v>1733045.9929999998</v>
      </c>
      <c r="N15" s="69">
        <f t="shared" si="5"/>
        <v>10854340.693</v>
      </c>
      <c r="O15" s="7">
        <f t="shared" si="6"/>
        <v>8665229.9649999999</v>
      </c>
      <c r="P15" s="7">
        <f t="shared" si="7"/>
        <v>54271703.465000004</v>
      </c>
      <c r="Q15" s="78">
        <v>8250304</v>
      </c>
      <c r="R15" s="65">
        <f t="shared" si="0"/>
        <v>1567557.76</v>
      </c>
      <c r="S15" s="69">
        <f t="shared" si="1"/>
        <v>9817861.7599999998</v>
      </c>
      <c r="T15" s="7">
        <f t="shared" si="8"/>
        <v>7837788.7999999998</v>
      </c>
      <c r="U15" s="7">
        <f t="shared" si="9"/>
        <v>49089308.799999997</v>
      </c>
      <c r="V15" s="7">
        <v>8195233</v>
      </c>
      <c r="W15" s="7">
        <v>1557094</v>
      </c>
      <c r="X15" s="7">
        <v>9752328</v>
      </c>
      <c r="Y15" s="7">
        <f t="shared" si="10"/>
        <v>40976165</v>
      </c>
      <c r="Z15" s="7">
        <f t="shared" si="11"/>
        <v>48761640</v>
      </c>
      <c r="AA15" s="7">
        <f t="shared" si="2"/>
        <v>8522277.2333333325</v>
      </c>
      <c r="AB15" s="7">
        <f t="shared" si="2"/>
        <v>1619232.5843333332</v>
      </c>
      <c r="AC15" s="7">
        <f t="shared" si="2"/>
        <v>10141510.151000001</v>
      </c>
      <c r="AD15" s="7">
        <f t="shared" si="2"/>
        <v>19159727.921666667</v>
      </c>
      <c r="AE15" s="7">
        <f t="shared" si="2"/>
        <v>50707550.754999995</v>
      </c>
      <c r="AF15" s="127">
        <f t="shared" si="12"/>
        <v>2523784.2110309452</v>
      </c>
      <c r="AG15" s="128">
        <f t="shared" si="3"/>
        <v>4.9771368828775239E-2</v>
      </c>
    </row>
    <row r="16" spans="1:33" ht="60" x14ac:dyDescent="0.25">
      <c r="A16" s="5">
        <v>14</v>
      </c>
      <c r="B16" s="359"/>
      <c r="C16" s="279"/>
      <c r="D16" s="279"/>
      <c r="E16" s="279"/>
      <c r="F16" s="279"/>
      <c r="G16" s="42" t="s">
        <v>169</v>
      </c>
      <c r="H16" s="35">
        <v>25</v>
      </c>
      <c r="I16" s="35" t="s">
        <v>44</v>
      </c>
      <c r="J16" s="279"/>
      <c r="K16" s="4"/>
      <c r="L16" s="66">
        <v>1446900</v>
      </c>
      <c r="M16" s="65">
        <f t="shared" si="4"/>
        <v>274911</v>
      </c>
      <c r="N16" s="69">
        <f t="shared" si="5"/>
        <v>1721811</v>
      </c>
      <c r="O16" s="7">
        <f t="shared" si="6"/>
        <v>6872775</v>
      </c>
      <c r="P16" s="7">
        <f t="shared" si="7"/>
        <v>43045275</v>
      </c>
      <c r="Q16" s="78">
        <v>1307356</v>
      </c>
      <c r="R16" s="65">
        <f t="shared" si="0"/>
        <v>248397.64</v>
      </c>
      <c r="S16" s="69">
        <f t="shared" si="1"/>
        <v>1555753.6400000001</v>
      </c>
      <c r="T16" s="7">
        <f t="shared" si="8"/>
        <v>6209941</v>
      </c>
      <c r="U16" s="7">
        <f t="shared" si="9"/>
        <v>38893841</v>
      </c>
      <c r="V16" s="7">
        <v>1300000</v>
      </c>
      <c r="W16" s="7">
        <v>247000</v>
      </c>
      <c r="X16" s="7">
        <v>1547000</v>
      </c>
      <c r="Y16" s="7">
        <f t="shared" si="10"/>
        <v>32500000</v>
      </c>
      <c r="Z16" s="7">
        <f t="shared" si="11"/>
        <v>38675000</v>
      </c>
      <c r="AA16" s="7">
        <f t="shared" si="2"/>
        <v>1351418.6666666667</v>
      </c>
      <c r="AB16" s="7">
        <f t="shared" si="2"/>
        <v>256769.54666666666</v>
      </c>
      <c r="AC16" s="7">
        <f t="shared" si="2"/>
        <v>1608188.2133333336</v>
      </c>
      <c r="AD16" s="7">
        <f t="shared" si="2"/>
        <v>15194238.666666666</v>
      </c>
      <c r="AE16" s="7">
        <f t="shared" si="2"/>
        <v>40204705.333333336</v>
      </c>
      <c r="AF16" s="127">
        <f t="shared" si="12"/>
        <v>2010572.0362142932</v>
      </c>
      <c r="AG16" s="128">
        <f t="shared" si="3"/>
        <v>5.0008376371492698E-2</v>
      </c>
    </row>
    <row r="17" spans="1:33" ht="75" x14ac:dyDescent="0.25">
      <c r="A17" s="14">
        <v>15</v>
      </c>
      <c r="B17" s="359"/>
      <c r="C17" s="279"/>
      <c r="D17" s="279"/>
      <c r="E17" s="279"/>
      <c r="F17" s="279"/>
      <c r="G17" s="42" t="s">
        <v>125</v>
      </c>
      <c r="H17" s="35">
        <v>5</v>
      </c>
      <c r="I17" s="35" t="s">
        <v>44</v>
      </c>
      <c r="J17" s="279"/>
      <c r="K17" s="4"/>
      <c r="L17" s="66">
        <v>2352065.7999999998</v>
      </c>
      <c r="M17" s="65">
        <f t="shared" si="4"/>
        <v>446892.50199999998</v>
      </c>
      <c r="N17" s="69">
        <f t="shared" si="5"/>
        <v>2798958.3019999997</v>
      </c>
      <c r="O17" s="7">
        <f t="shared" si="6"/>
        <v>2234462.5099999998</v>
      </c>
      <c r="P17" s="7">
        <f t="shared" si="7"/>
        <v>13994791.509999998</v>
      </c>
      <c r="Q17" s="78">
        <v>4442471</v>
      </c>
      <c r="R17" s="65">
        <f t="shared" si="0"/>
        <v>844069.49</v>
      </c>
      <c r="S17" s="69">
        <f t="shared" si="1"/>
        <v>5286540.49</v>
      </c>
      <c r="T17" s="7">
        <f t="shared" si="8"/>
        <v>4220347.45</v>
      </c>
      <c r="U17" s="7">
        <f t="shared" si="9"/>
        <v>26432702.450000003</v>
      </c>
      <c r="V17" s="7">
        <v>2113267</v>
      </c>
      <c r="W17" s="7">
        <v>401521</v>
      </c>
      <c r="X17" s="7">
        <v>2514787</v>
      </c>
      <c r="Y17" s="7">
        <f t="shared" si="10"/>
        <v>10566335</v>
      </c>
      <c r="Z17" s="7">
        <f t="shared" si="11"/>
        <v>12573935</v>
      </c>
      <c r="AA17" s="7">
        <f t="shared" si="2"/>
        <v>2969267.9333333336</v>
      </c>
      <c r="AB17" s="7">
        <f t="shared" si="2"/>
        <v>564160.99733333336</v>
      </c>
      <c r="AC17" s="7">
        <f t="shared" si="2"/>
        <v>3533428.597333333</v>
      </c>
      <c r="AD17" s="7">
        <f t="shared" si="2"/>
        <v>5673714.9866666673</v>
      </c>
      <c r="AE17" s="7">
        <f t="shared" si="2"/>
        <v>17667142.986666668</v>
      </c>
      <c r="AF17" s="127">
        <f t="shared" si="12"/>
        <v>6225270.1593010807</v>
      </c>
      <c r="AG17" s="128">
        <f t="shared" si="3"/>
        <v>0.35236428232902572</v>
      </c>
    </row>
    <row r="18" spans="1:33" ht="30" x14ac:dyDescent="0.25">
      <c r="A18" s="5">
        <v>16</v>
      </c>
      <c r="B18" s="359"/>
      <c r="C18" s="279"/>
      <c r="D18" s="279"/>
      <c r="E18" s="279"/>
      <c r="F18" s="279"/>
      <c r="G18" s="42" t="s">
        <v>126</v>
      </c>
      <c r="H18" s="35">
        <v>150</v>
      </c>
      <c r="I18" s="35" t="s">
        <v>44</v>
      </c>
      <c r="J18" s="279"/>
      <c r="K18" s="4"/>
      <c r="L18" s="66">
        <v>4279.4849999999997</v>
      </c>
      <c r="M18" s="65">
        <f t="shared" si="4"/>
        <v>813.10214999999994</v>
      </c>
      <c r="N18" s="69">
        <f t="shared" si="5"/>
        <v>5092.5871499999994</v>
      </c>
      <c r="O18" s="7">
        <f t="shared" si="6"/>
        <v>121965.32249999999</v>
      </c>
      <c r="P18" s="7">
        <f t="shared" si="7"/>
        <v>763888.07249999989</v>
      </c>
      <c r="Q18" s="78">
        <v>5711</v>
      </c>
      <c r="R18" s="65">
        <f t="shared" si="0"/>
        <v>1085.0899999999999</v>
      </c>
      <c r="S18" s="69">
        <f t="shared" si="1"/>
        <v>6796.09</v>
      </c>
      <c r="T18" s="7">
        <f t="shared" si="8"/>
        <v>162763.5</v>
      </c>
      <c r="U18" s="7">
        <f t="shared" si="9"/>
        <v>1019413.5</v>
      </c>
      <c r="V18" s="7">
        <v>3845</v>
      </c>
      <c r="W18" s="7">
        <v>731</v>
      </c>
      <c r="X18" s="7">
        <v>4576</v>
      </c>
      <c r="Y18" s="7">
        <f t="shared" si="10"/>
        <v>576750</v>
      </c>
      <c r="Z18" s="7">
        <f t="shared" si="11"/>
        <v>686400</v>
      </c>
      <c r="AA18" s="7">
        <f t="shared" si="2"/>
        <v>4611.8283333333338</v>
      </c>
      <c r="AB18" s="7">
        <f t="shared" si="2"/>
        <v>876.39738333333332</v>
      </c>
      <c r="AC18" s="7">
        <f t="shared" si="2"/>
        <v>5488.2257166666668</v>
      </c>
      <c r="AD18" s="7">
        <f t="shared" si="2"/>
        <v>287159.60749999998</v>
      </c>
      <c r="AE18" s="7">
        <f t="shared" si="2"/>
        <v>823233.85749999993</v>
      </c>
      <c r="AF18" s="127">
        <f t="shared" si="12"/>
        <v>142281.26942436286</v>
      </c>
      <c r="AG18" s="128">
        <f t="shared" si="3"/>
        <v>0.17283214013627091</v>
      </c>
    </row>
    <row r="19" spans="1:33" ht="30" x14ac:dyDescent="0.25">
      <c r="A19" s="14">
        <v>17</v>
      </c>
      <c r="B19" s="359"/>
      <c r="C19" s="279"/>
      <c r="D19" s="279"/>
      <c r="E19" s="279"/>
      <c r="F19" s="279"/>
      <c r="G19" s="42" t="s">
        <v>171</v>
      </c>
      <c r="H19" s="35">
        <v>50</v>
      </c>
      <c r="I19" s="35" t="s">
        <v>44</v>
      </c>
      <c r="J19" s="279"/>
      <c r="K19" s="4"/>
      <c r="L19" s="66">
        <v>12876.853500000001</v>
      </c>
      <c r="M19" s="65">
        <f t="shared" si="4"/>
        <v>2446.6021650000002</v>
      </c>
      <c r="N19" s="69">
        <f t="shared" si="5"/>
        <v>15323.455665000001</v>
      </c>
      <c r="O19" s="7">
        <f t="shared" si="6"/>
        <v>122330.10825000002</v>
      </c>
      <c r="P19" s="7">
        <f t="shared" si="7"/>
        <v>766172.78325000009</v>
      </c>
      <c r="Q19" s="78">
        <v>9139</v>
      </c>
      <c r="R19" s="65">
        <f t="shared" si="0"/>
        <v>1736.41</v>
      </c>
      <c r="S19" s="69">
        <f t="shared" si="1"/>
        <v>10875.41</v>
      </c>
      <c r="T19" s="7">
        <f t="shared" si="8"/>
        <v>86820.5</v>
      </c>
      <c r="U19" s="7">
        <f t="shared" si="9"/>
        <v>543770.5</v>
      </c>
      <c r="V19" s="7">
        <v>11570</v>
      </c>
      <c r="W19" s="7">
        <v>2198</v>
      </c>
      <c r="X19" s="7">
        <v>13768</v>
      </c>
      <c r="Y19" s="7">
        <f t="shared" si="10"/>
        <v>578500</v>
      </c>
      <c r="Z19" s="7">
        <f t="shared" si="11"/>
        <v>688400</v>
      </c>
      <c r="AA19" s="7">
        <f t="shared" si="2"/>
        <v>11195.2845</v>
      </c>
      <c r="AB19" s="7">
        <f t="shared" si="2"/>
        <v>2127.0040549999999</v>
      </c>
      <c r="AC19" s="7">
        <f t="shared" si="2"/>
        <v>13322.288555000001</v>
      </c>
      <c r="AD19" s="7">
        <f t="shared" si="2"/>
        <v>262550.20275</v>
      </c>
      <c r="AE19" s="7">
        <f t="shared" si="2"/>
        <v>666114.42775000003</v>
      </c>
      <c r="AF19" s="127">
        <f t="shared" si="12"/>
        <v>92152.695553217025</v>
      </c>
      <c r="AG19" s="128">
        <f t="shared" si="3"/>
        <v>0.13834364144384353</v>
      </c>
    </row>
    <row r="20" spans="1:33" ht="45" x14ac:dyDescent="0.25">
      <c r="A20" s="5">
        <v>18</v>
      </c>
      <c r="B20" s="359"/>
      <c r="C20" s="279"/>
      <c r="D20" s="279"/>
      <c r="E20" s="279"/>
      <c r="F20" s="279"/>
      <c r="G20" s="42" t="s">
        <v>172</v>
      </c>
      <c r="H20" s="35">
        <v>1</v>
      </c>
      <c r="I20" s="35" t="s">
        <v>44</v>
      </c>
      <c r="J20" s="279"/>
      <c r="K20" s="4"/>
      <c r="L20" s="66">
        <v>1780800</v>
      </c>
      <c r="M20" s="65">
        <f t="shared" si="4"/>
        <v>338352</v>
      </c>
      <c r="N20" s="69">
        <f t="shared" si="5"/>
        <v>2119152</v>
      </c>
      <c r="O20" s="7">
        <f t="shared" si="6"/>
        <v>338352</v>
      </c>
      <c r="P20" s="69">
        <v>2119152</v>
      </c>
      <c r="Q20" s="78">
        <v>2600000</v>
      </c>
      <c r="R20" s="65">
        <f t="shared" si="0"/>
        <v>494000</v>
      </c>
      <c r="S20" s="69">
        <f t="shared" si="1"/>
        <v>3094000</v>
      </c>
      <c r="T20" s="7">
        <f t="shared" si="8"/>
        <v>494000</v>
      </c>
      <c r="U20" s="7">
        <f t="shared" si="9"/>
        <v>3094000</v>
      </c>
      <c r="V20" s="7">
        <v>1600000</v>
      </c>
      <c r="W20" s="7">
        <v>304000</v>
      </c>
      <c r="X20" s="7">
        <v>1904000</v>
      </c>
      <c r="Y20" s="7">
        <f t="shared" si="10"/>
        <v>1600000</v>
      </c>
      <c r="Z20" s="7">
        <f t="shared" si="11"/>
        <v>1904000</v>
      </c>
      <c r="AA20" s="7">
        <f t="shared" si="2"/>
        <v>1993600</v>
      </c>
      <c r="AB20" s="7">
        <f t="shared" si="2"/>
        <v>378784</v>
      </c>
      <c r="AC20" s="7">
        <f t="shared" si="2"/>
        <v>2372384</v>
      </c>
      <c r="AD20" s="7">
        <f t="shared" si="2"/>
        <v>810784</v>
      </c>
      <c r="AE20" s="7">
        <f>AVERAGE(P20,Z20)</f>
        <v>2011576</v>
      </c>
      <c r="AF20" s="127">
        <f>_xlfn.STDEV.P(P20,Z20)</f>
        <v>107576</v>
      </c>
      <c r="AG20" s="128">
        <f t="shared" si="3"/>
        <v>5.3478466635115948E-2</v>
      </c>
    </row>
    <row r="21" spans="1:33" ht="45" x14ac:dyDescent="0.25">
      <c r="A21" s="14">
        <v>19</v>
      </c>
      <c r="B21" s="360"/>
      <c r="C21" s="279"/>
      <c r="D21" s="279"/>
      <c r="E21" s="279"/>
      <c r="F21" s="279"/>
      <c r="G21" s="42" t="s">
        <v>173</v>
      </c>
      <c r="H21" s="35">
        <v>5</v>
      </c>
      <c r="I21" s="35" t="s">
        <v>44</v>
      </c>
      <c r="J21" s="279"/>
      <c r="K21" s="4"/>
      <c r="L21" s="66">
        <v>181049.55882352943</v>
      </c>
      <c r="M21" s="65">
        <f t="shared" si="4"/>
        <v>34399.416176470593</v>
      </c>
      <c r="N21" s="69">
        <f t="shared" si="5"/>
        <v>215448.97500000003</v>
      </c>
      <c r="O21" s="7">
        <f t="shared" si="6"/>
        <v>171997.08088235295</v>
      </c>
      <c r="P21" s="7">
        <f t="shared" si="7"/>
        <v>1077244.8750000002</v>
      </c>
      <c r="Q21" s="78">
        <v>247509</v>
      </c>
      <c r="R21" s="65">
        <f t="shared" si="0"/>
        <v>47026.71</v>
      </c>
      <c r="S21" s="69">
        <f t="shared" si="1"/>
        <v>294535.71000000002</v>
      </c>
      <c r="T21" s="7">
        <f t="shared" si="8"/>
        <v>235133.55</v>
      </c>
      <c r="U21" s="7">
        <f t="shared" si="9"/>
        <v>1472678.55</v>
      </c>
      <c r="V21" s="7">
        <v>162668</v>
      </c>
      <c r="W21" s="7">
        <v>30907</v>
      </c>
      <c r="X21" s="7">
        <v>193575</v>
      </c>
      <c r="Y21" s="7">
        <f t="shared" si="10"/>
        <v>813340</v>
      </c>
      <c r="Z21" s="7">
        <f t="shared" si="11"/>
        <v>967875</v>
      </c>
      <c r="AA21" s="7">
        <f t="shared" ref="AA21:AE29" si="13">AVERAGE(L21,Q21,V21)</f>
        <v>197075.51960784313</v>
      </c>
      <c r="AB21" s="7">
        <f t="shared" si="13"/>
        <v>37444.375392156864</v>
      </c>
      <c r="AC21" s="7">
        <f t="shared" si="13"/>
        <v>234519.89500000002</v>
      </c>
      <c r="AD21" s="7">
        <f t="shared" si="13"/>
        <v>406823.543627451</v>
      </c>
      <c r="AE21" s="7">
        <f t="shared" si="13"/>
        <v>1172599.4750000001</v>
      </c>
      <c r="AF21" s="127">
        <f>_xlfn.STDEV.P(P21,U21,Z21)</f>
        <v>216834.85394653157</v>
      </c>
      <c r="AG21" s="128">
        <f t="shared" si="3"/>
        <v>0.18491808888668618</v>
      </c>
    </row>
    <row r="22" spans="1:33" ht="141" hidden="1" customHeight="1" x14ac:dyDescent="0.25">
      <c r="A22" s="5">
        <v>20</v>
      </c>
      <c r="B22" s="5"/>
      <c r="C22" s="5"/>
      <c r="D22" s="5"/>
      <c r="E22" s="5"/>
      <c r="F22" s="13"/>
      <c r="G22" s="15"/>
      <c r="H22" s="4"/>
      <c r="I22" s="4"/>
      <c r="J22" s="5"/>
      <c r="K22" s="4"/>
      <c r="L22" s="7"/>
      <c r="M22" s="7"/>
      <c r="N22" s="7"/>
      <c r="O22" s="7"/>
      <c r="P22" s="7"/>
      <c r="Q22" s="7"/>
      <c r="R22" s="7"/>
      <c r="S22" s="7"/>
      <c r="T22" s="7"/>
      <c r="U22" s="7"/>
      <c r="V22" s="7"/>
      <c r="W22" s="7"/>
      <c r="X22" s="7"/>
      <c r="Y22" s="7"/>
      <c r="Z22" s="7"/>
      <c r="AA22" s="7" t="e">
        <f t="shared" si="13"/>
        <v>#DIV/0!</v>
      </c>
      <c r="AB22" s="7"/>
      <c r="AC22" s="7"/>
      <c r="AD22" s="7"/>
      <c r="AE22" s="7"/>
      <c r="AF22" s="7"/>
      <c r="AG22" s="28"/>
    </row>
    <row r="23" spans="1:33" ht="141" hidden="1" customHeight="1" x14ac:dyDescent="0.25">
      <c r="A23" s="14">
        <v>21</v>
      </c>
      <c r="B23" s="14"/>
      <c r="C23" s="14"/>
      <c r="D23" s="14"/>
      <c r="E23" s="14"/>
      <c r="F23" s="13"/>
      <c r="G23" s="15"/>
      <c r="H23" s="4"/>
      <c r="I23" s="4"/>
      <c r="J23" s="14"/>
      <c r="K23" s="4"/>
      <c r="L23" s="7"/>
      <c r="M23" s="7"/>
      <c r="N23" s="7"/>
      <c r="O23" s="7"/>
      <c r="P23" s="7"/>
      <c r="Q23" s="7"/>
      <c r="R23" s="7"/>
      <c r="S23" s="7"/>
      <c r="T23" s="7"/>
      <c r="U23" s="7"/>
      <c r="V23" s="7"/>
      <c r="W23" s="7"/>
      <c r="X23" s="7"/>
      <c r="Y23" s="7"/>
      <c r="Z23" s="7"/>
      <c r="AA23" s="7" t="e">
        <f t="shared" si="13"/>
        <v>#DIV/0!</v>
      </c>
      <c r="AB23" s="7"/>
      <c r="AC23" s="7"/>
      <c r="AD23" s="7"/>
      <c r="AE23" s="7"/>
      <c r="AF23" s="7"/>
      <c r="AG23" s="28"/>
    </row>
    <row r="24" spans="1:33" ht="73.150000000000006" hidden="1" customHeight="1" x14ac:dyDescent="0.25">
      <c r="A24" s="5">
        <v>22</v>
      </c>
      <c r="B24" s="5"/>
      <c r="C24" s="5"/>
      <c r="D24" s="5"/>
      <c r="E24" s="5"/>
      <c r="F24" s="13"/>
      <c r="G24" s="15"/>
      <c r="H24" s="4"/>
      <c r="I24" s="4"/>
      <c r="J24" s="5"/>
      <c r="K24" s="4"/>
      <c r="L24" s="7"/>
      <c r="M24" s="7"/>
      <c r="N24" s="7"/>
      <c r="O24" s="7"/>
      <c r="P24" s="7"/>
      <c r="Q24" s="7"/>
      <c r="R24" s="7"/>
      <c r="S24" s="7"/>
      <c r="T24" s="7"/>
      <c r="U24" s="7"/>
      <c r="V24" s="7"/>
      <c r="W24" s="7"/>
      <c r="X24" s="7"/>
      <c r="Y24" s="7"/>
      <c r="Z24" s="7"/>
      <c r="AA24" s="7" t="e">
        <f t="shared" si="13"/>
        <v>#DIV/0!</v>
      </c>
      <c r="AB24" s="7"/>
      <c r="AC24" s="7"/>
      <c r="AD24" s="7"/>
      <c r="AE24" s="7"/>
      <c r="AF24" s="7"/>
      <c r="AG24" s="28"/>
    </row>
    <row r="25" spans="1:33" ht="61.9" hidden="1" customHeight="1" x14ac:dyDescent="0.25">
      <c r="A25" s="14">
        <v>23</v>
      </c>
      <c r="B25" s="14"/>
      <c r="C25" s="14"/>
      <c r="D25" s="14"/>
      <c r="E25" s="14"/>
      <c r="F25" s="13"/>
      <c r="G25" s="15"/>
      <c r="H25" s="4"/>
      <c r="I25" s="4"/>
      <c r="J25" s="14"/>
      <c r="K25" s="4"/>
      <c r="L25" s="7"/>
      <c r="M25" s="7"/>
      <c r="N25" s="7"/>
      <c r="O25" s="7"/>
      <c r="P25" s="7"/>
      <c r="Q25" s="7"/>
      <c r="R25" s="7"/>
      <c r="S25" s="7"/>
      <c r="T25" s="7"/>
      <c r="U25" s="7"/>
      <c r="V25" s="7"/>
      <c r="W25" s="7"/>
      <c r="X25" s="7"/>
      <c r="Y25" s="7"/>
      <c r="Z25" s="7"/>
      <c r="AA25" s="7" t="e">
        <f t="shared" si="13"/>
        <v>#DIV/0!</v>
      </c>
      <c r="AB25" s="7"/>
      <c r="AC25" s="7"/>
      <c r="AD25" s="7"/>
      <c r="AE25" s="7"/>
      <c r="AF25" s="7"/>
      <c r="AG25" s="28"/>
    </row>
    <row r="26" spans="1:33" ht="61.9" hidden="1" customHeight="1" x14ac:dyDescent="0.25">
      <c r="A26" s="5">
        <v>24</v>
      </c>
      <c r="B26" s="5"/>
      <c r="C26" s="5"/>
      <c r="D26" s="5"/>
      <c r="E26" s="5"/>
      <c r="F26" s="13"/>
      <c r="G26" s="15"/>
      <c r="H26" s="4"/>
      <c r="I26" s="4"/>
      <c r="J26" s="5"/>
      <c r="K26" s="4"/>
      <c r="L26" s="7"/>
      <c r="M26" s="7"/>
      <c r="N26" s="7"/>
      <c r="O26" s="7"/>
      <c r="P26" s="7"/>
      <c r="Q26" s="7"/>
      <c r="R26" s="7"/>
      <c r="S26" s="7"/>
      <c r="T26" s="7"/>
      <c r="U26" s="7"/>
      <c r="V26" s="7"/>
      <c r="W26" s="7"/>
      <c r="X26" s="7"/>
      <c r="Y26" s="7"/>
      <c r="Z26" s="7"/>
      <c r="AA26" s="7" t="e">
        <f t="shared" si="13"/>
        <v>#DIV/0!</v>
      </c>
      <c r="AB26" s="7"/>
      <c r="AC26" s="7"/>
      <c r="AD26" s="7"/>
      <c r="AE26" s="7"/>
      <c r="AF26" s="7"/>
      <c r="AG26" s="28"/>
    </row>
    <row r="27" spans="1:33" ht="61.9" hidden="1" customHeight="1" x14ac:dyDescent="0.25">
      <c r="A27" s="14">
        <v>25</v>
      </c>
      <c r="B27" s="14"/>
      <c r="C27" s="14"/>
      <c r="D27" s="14"/>
      <c r="E27" s="14"/>
      <c r="F27" s="13"/>
      <c r="G27" s="15"/>
      <c r="H27" s="4"/>
      <c r="I27" s="4"/>
      <c r="J27" s="14"/>
      <c r="K27" s="4"/>
      <c r="L27" s="7"/>
      <c r="M27" s="7"/>
      <c r="N27" s="7"/>
      <c r="O27" s="7"/>
      <c r="P27" s="7"/>
      <c r="Q27" s="7"/>
      <c r="R27" s="7"/>
      <c r="S27" s="7"/>
      <c r="T27" s="7"/>
      <c r="U27" s="7"/>
      <c r="V27" s="7"/>
      <c r="W27" s="7"/>
      <c r="X27" s="7"/>
      <c r="Y27" s="7"/>
      <c r="Z27" s="7"/>
      <c r="AA27" s="7" t="e">
        <f t="shared" si="13"/>
        <v>#DIV/0!</v>
      </c>
      <c r="AB27" s="7"/>
      <c r="AC27" s="7"/>
      <c r="AD27" s="7"/>
      <c r="AE27" s="7"/>
      <c r="AF27" s="7"/>
      <c r="AG27" s="28"/>
    </row>
    <row r="28" spans="1:33" ht="61.9" hidden="1" customHeight="1" x14ac:dyDescent="0.25">
      <c r="A28" s="5">
        <v>26</v>
      </c>
      <c r="B28" s="5"/>
      <c r="C28" s="5"/>
      <c r="D28" s="5"/>
      <c r="E28" s="5"/>
      <c r="F28" s="13"/>
      <c r="G28" s="15"/>
      <c r="H28" s="4"/>
      <c r="I28" s="4"/>
      <c r="J28" s="5"/>
      <c r="K28" s="4"/>
      <c r="L28" s="7"/>
      <c r="M28" s="7"/>
      <c r="N28" s="7"/>
      <c r="O28" s="7"/>
      <c r="P28" s="7"/>
      <c r="Q28" s="7"/>
      <c r="R28" s="7"/>
      <c r="S28" s="7"/>
      <c r="T28" s="7"/>
      <c r="U28" s="7"/>
      <c r="V28" s="7"/>
      <c r="W28" s="7"/>
      <c r="X28" s="7"/>
      <c r="Y28" s="7"/>
      <c r="Z28" s="7"/>
      <c r="AA28" s="7" t="e">
        <f t="shared" si="13"/>
        <v>#DIV/0!</v>
      </c>
      <c r="AB28" s="7"/>
      <c r="AC28" s="7"/>
      <c r="AD28" s="7"/>
      <c r="AE28" s="7"/>
      <c r="AF28" s="7"/>
      <c r="AG28" s="28"/>
    </row>
    <row r="29" spans="1:33" ht="43.15" hidden="1" customHeight="1" thickBot="1" x14ac:dyDescent="0.3">
      <c r="A29" s="14">
        <v>27</v>
      </c>
      <c r="B29" s="14"/>
      <c r="C29" s="14"/>
      <c r="D29" s="14"/>
      <c r="E29" s="14"/>
      <c r="F29" s="13"/>
      <c r="G29" s="15"/>
      <c r="H29" s="4"/>
      <c r="I29" s="4"/>
      <c r="J29" s="14"/>
      <c r="K29" s="4"/>
      <c r="L29" s="7"/>
      <c r="M29" s="7"/>
      <c r="N29" s="7"/>
      <c r="O29" s="7"/>
      <c r="P29" s="7"/>
      <c r="Q29" s="7"/>
      <c r="R29" s="7"/>
      <c r="S29" s="7"/>
      <c r="T29" s="7"/>
      <c r="U29" s="7"/>
      <c r="V29" s="7"/>
      <c r="W29" s="7"/>
      <c r="X29" s="7"/>
      <c r="Y29" s="7"/>
      <c r="Z29" s="7"/>
      <c r="AA29" s="7" t="e">
        <f t="shared" si="13"/>
        <v>#DIV/0!</v>
      </c>
      <c r="AB29" s="7"/>
      <c r="AC29" s="7"/>
      <c r="AD29" s="7"/>
      <c r="AE29" s="32"/>
      <c r="AF29" s="7"/>
      <c r="AG29" s="28"/>
    </row>
    <row r="30" spans="1:33" ht="36.4" customHeight="1" x14ac:dyDescent="0.25">
      <c r="A30" s="8"/>
      <c r="B30" s="33"/>
      <c r="C30" s="33"/>
      <c r="D30" s="33"/>
      <c r="E30" s="33"/>
      <c r="F30" s="10"/>
      <c r="G30" s="9"/>
      <c r="H30" s="9"/>
      <c r="I30" s="9"/>
      <c r="J30" s="33"/>
      <c r="K30" s="9"/>
      <c r="L30" s="11"/>
      <c r="M30" s="11"/>
      <c r="N30" s="11"/>
      <c r="O30" s="12"/>
      <c r="P30" s="12">
        <f>SUM(P3:P29)</f>
        <v>488644750.45574999</v>
      </c>
      <c r="Q30" s="11"/>
      <c r="R30" s="11"/>
      <c r="S30" s="11"/>
      <c r="T30" s="12"/>
      <c r="U30" s="12">
        <f>SUM(U3:U29)</f>
        <v>467355721</v>
      </c>
      <c r="V30" s="11"/>
      <c r="W30" s="11"/>
      <c r="X30" s="11"/>
      <c r="Y30" s="12"/>
      <c r="Z30" s="12">
        <f>SUM(Z3:Z29)</f>
        <v>439034000</v>
      </c>
      <c r="AA30" s="11"/>
      <c r="AB30" s="11"/>
      <c r="AC30" s="11"/>
      <c r="AD30" s="12"/>
      <c r="AE30" s="12">
        <f>SUM(AE3:AE29)</f>
        <v>464650682.48525006</v>
      </c>
      <c r="AF30" s="12"/>
      <c r="AG30" s="29"/>
    </row>
    <row r="31" spans="1:33" x14ac:dyDescent="0.25">
      <c r="A31" s="3"/>
      <c r="B31" s="3"/>
      <c r="C31" s="3"/>
      <c r="D31" s="3"/>
      <c r="E31" s="3"/>
      <c r="F31" s="3"/>
      <c r="G31" s="3"/>
      <c r="H31" s="3"/>
      <c r="I31" s="3"/>
      <c r="J31" s="3"/>
      <c r="K31" s="3"/>
      <c r="L31" s="3"/>
      <c r="M31" s="3"/>
      <c r="N31" s="3"/>
      <c r="O31" s="3"/>
      <c r="P31" s="79">
        <f>P30+$J$134</f>
        <v>1119692750.45575</v>
      </c>
      <c r="Q31" s="3"/>
      <c r="R31" s="3"/>
      <c r="S31" s="3"/>
      <c r="T31" s="3"/>
      <c r="U31" s="79">
        <f>U30+$J$134</f>
        <v>1098403721</v>
      </c>
      <c r="V31" s="3"/>
      <c r="W31" s="3"/>
      <c r="X31" s="3"/>
      <c r="Y31" s="3"/>
      <c r="Z31" s="79">
        <f>Z30+$J$134</f>
        <v>1070082000</v>
      </c>
      <c r="AA31" s="3"/>
      <c r="AB31" s="3"/>
      <c r="AC31" s="3"/>
      <c r="AD31" s="3"/>
      <c r="AE31" s="79">
        <f>AE30+J134</f>
        <v>1095698682.48525</v>
      </c>
      <c r="AF31" s="3"/>
      <c r="AG31" s="30"/>
    </row>
    <row r="32" spans="1:33" x14ac:dyDescent="0.25">
      <c r="AG32" s="234"/>
    </row>
    <row r="33" spans="1:34" ht="165" customHeight="1" x14ac:dyDescent="0.25">
      <c r="A33" s="235"/>
      <c r="B33" s="48"/>
      <c r="C33" s="49"/>
      <c r="D33" s="49"/>
      <c r="E33" s="49" t="s">
        <v>74</v>
      </c>
      <c r="F33" s="49" t="s">
        <v>75</v>
      </c>
      <c r="G33" s="50" t="s">
        <v>76</v>
      </c>
      <c r="H33" s="51" t="s">
        <v>77</v>
      </c>
      <c r="I33" s="52" t="s">
        <v>78</v>
      </c>
      <c r="J33" s="70" t="s">
        <v>79</v>
      </c>
      <c r="K33" s="53"/>
      <c r="L33" s="53"/>
      <c r="AG33" s="234"/>
    </row>
    <row r="34" spans="1:34" ht="30" x14ac:dyDescent="0.25">
      <c r="B34" s="370" t="s">
        <v>80</v>
      </c>
      <c r="C34" s="279" t="s">
        <v>81</v>
      </c>
      <c r="D34" s="279">
        <v>1</v>
      </c>
      <c r="E34" s="279" t="s">
        <v>82</v>
      </c>
      <c r="F34" s="54" t="s">
        <v>83</v>
      </c>
      <c r="G34" s="371">
        <v>1</v>
      </c>
      <c r="H34" s="371">
        <v>8</v>
      </c>
      <c r="I34" s="382">
        <v>8000000</v>
      </c>
      <c r="J34" s="372">
        <f>I34*H34*G34</f>
        <v>64000000</v>
      </c>
      <c r="K34" s="71"/>
      <c r="L34" s="71"/>
      <c r="AE34" s="235" t="s">
        <v>333</v>
      </c>
      <c r="AF34" s="145">
        <f>SUM(AE3:AE12)</f>
        <v>261208236.80000001</v>
      </c>
      <c r="AG34" s="234">
        <f>AF34/$AF$37</f>
        <v>0.56216045008885118</v>
      </c>
    </row>
    <row r="35" spans="1:34" ht="15.75" customHeight="1" x14ac:dyDescent="0.25">
      <c r="B35" s="370"/>
      <c r="C35" s="279"/>
      <c r="D35" s="279"/>
      <c r="E35" s="279"/>
      <c r="F35" s="55" t="s">
        <v>178</v>
      </c>
      <c r="G35" s="371"/>
      <c r="H35" s="371"/>
      <c r="I35" s="382"/>
      <c r="J35" s="372"/>
      <c r="K35" s="71"/>
      <c r="L35" s="71"/>
      <c r="AE35" s="235" t="s">
        <v>334</v>
      </c>
      <c r="AF35" s="145">
        <f>AE13</f>
        <v>33340230</v>
      </c>
      <c r="AG35" s="234">
        <f t="shared" ref="AG35:AG37" si="14">AF35/$AF$37</f>
        <v>7.1753321918467991E-2</v>
      </c>
    </row>
    <row r="36" spans="1:34" ht="15.75" customHeight="1" x14ac:dyDescent="0.25">
      <c r="B36" s="370"/>
      <c r="C36" s="279"/>
      <c r="D36" s="279"/>
      <c r="E36" s="279"/>
      <c r="F36" s="56"/>
      <c r="G36" s="371"/>
      <c r="H36" s="371"/>
      <c r="I36" s="382"/>
      <c r="J36" s="372"/>
      <c r="K36" s="71"/>
      <c r="L36" s="71"/>
      <c r="AE36" s="235" t="s">
        <v>335</v>
      </c>
      <c r="AF36" s="146">
        <f>SUM(AE14:AE21)</f>
        <v>170102215.68524998</v>
      </c>
      <c r="AG36" s="234">
        <f t="shared" si="14"/>
        <v>0.36608622799268081</v>
      </c>
    </row>
    <row r="37" spans="1:34" ht="15.75" customHeight="1" x14ac:dyDescent="0.25">
      <c r="B37" s="370"/>
      <c r="C37" s="279"/>
      <c r="D37" s="279"/>
      <c r="E37" s="279"/>
      <c r="F37" s="54" t="s">
        <v>85</v>
      </c>
      <c r="G37" s="371"/>
      <c r="H37" s="371"/>
      <c r="I37" s="382"/>
      <c r="J37" s="372"/>
      <c r="K37" s="71"/>
      <c r="L37" s="71"/>
      <c r="AE37" s="235" t="s">
        <v>285</v>
      </c>
      <c r="AF37" s="145">
        <f>SUM(AF34:AF36)</f>
        <v>464650682.48525</v>
      </c>
      <c r="AG37" s="234">
        <f t="shared" si="14"/>
        <v>1</v>
      </c>
    </row>
    <row r="38" spans="1:34" ht="15.75" customHeight="1" x14ac:dyDescent="0.25">
      <c r="B38" s="370"/>
      <c r="C38" s="279"/>
      <c r="D38" s="279"/>
      <c r="E38" s="279"/>
      <c r="F38" s="55" t="s">
        <v>86</v>
      </c>
      <c r="G38" s="371"/>
      <c r="H38" s="371"/>
      <c r="I38" s="382"/>
      <c r="J38" s="372"/>
      <c r="K38" s="71"/>
      <c r="L38" s="71"/>
      <c r="AG38" s="234"/>
    </row>
    <row r="39" spans="1:34" ht="15.75" customHeight="1" x14ac:dyDescent="0.25">
      <c r="B39" s="370"/>
      <c r="C39" s="279"/>
      <c r="D39" s="279"/>
      <c r="E39" s="279"/>
      <c r="F39" s="57"/>
      <c r="G39" s="371"/>
      <c r="H39" s="371"/>
      <c r="I39" s="382"/>
      <c r="J39" s="372"/>
      <c r="K39" s="71"/>
      <c r="L39" s="71"/>
      <c r="AG39" s="234"/>
    </row>
    <row r="40" spans="1:34" ht="15.75" customHeight="1" x14ac:dyDescent="0.25">
      <c r="B40" s="370"/>
      <c r="C40" s="279"/>
      <c r="D40" s="279"/>
      <c r="E40" s="279"/>
      <c r="F40" s="54" t="s">
        <v>87</v>
      </c>
      <c r="G40" s="371"/>
      <c r="H40" s="371"/>
      <c r="I40" s="382"/>
      <c r="J40" s="372"/>
      <c r="K40" s="71"/>
      <c r="L40" s="71"/>
      <c r="AE40" s="235" t="s">
        <v>336</v>
      </c>
      <c r="AF40" s="147">
        <f>(J34-I34*2)/3</f>
        <v>16000000</v>
      </c>
      <c r="AG40" s="234">
        <f>AF40*3+I34</f>
        <v>56000000</v>
      </c>
    </row>
    <row r="41" spans="1:34" ht="15.75" customHeight="1" x14ac:dyDescent="0.25">
      <c r="B41" s="370"/>
      <c r="C41" s="279"/>
      <c r="D41" s="279"/>
      <c r="E41" s="279"/>
      <c r="F41" s="55" t="s">
        <v>88</v>
      </c>
      <c r="G41" s="371"/>
      <c r="H41" s="371"/>
      <c r="I41" s="382"/>
      <c r="J41" s="372"/>
      <c r="K41" s="71"/>
      <c r="L41" s="71"/>
      <c r="AE41" s="235" t="s">
        <v>337</v>
      </c>
      <c r="AF41" s="147">
        <f>(J44-I44*2)/3</f>
        <v>6762000</v>
      </c>
      <c r="AG41" s="234">
        <f>AF41*3+I44</f>
        <v>23667000</v>
      </c>
    </row>
    <row r="42" spans="1:34" ht="15.75" customHeight="1" x14ac:dyDescent="0.25">
      <c r="B42" s="370"/>
      <c r="C42" s="279"/>
      <c r="D42" s="279"/>
      <c r="E42" s="279"/>
      <c r="F42" s="55"/>
      <c r="G42" s="371"/>
      <c r="H42" s="371"/>
      <c r="I42" s="382"/>
      <c r="J42" s="372"/>
      <c r="K42" s="71"/>
      <c r="L42" s="71"/>
      <c r="AE42" s="235" t="s">
        <v>338</v>
      </c>
      <c r="AF42" s="147">
        <f>J55+J65+J73+J83+J91+J101+J109</f>
        <v>300000000</v>
      </c>
      <c r="AG42" s="234"/>
    </row>
    <row r="43" spans="1:34" ht="15.75" customHeight="1" x14ac:dyDescent="0.25">
      <c r="B43" s="370"/>
      <c r="C43" s="279"/>
      <c r="D43" s="279"/>
      <c r="E43" s="279"/>
      <c r="F43" s="57" t="s">
        <v>89</v>
      </c>
      <c r="G43" s="371"/>
      <c r="H43" s="371"/>
      <c r="I43" s="382"/>
      <c r="J43" s="372"/>
      <c r="K43" s="71"/>
      <c r="L43" s="71"/>
      <c r="AE43" s="235" t="s">
        <v>339</v>
      </c>
      <c r="AF43" s="147">
        <f>J116+J124</f>
        <v>240000000</v>
      </c>
      <c r="AG43" s="234"/>
    </row>
    <row r="44" spans="1:34" ht="15.75" customHeight="1" x14ac:dyDescent="0.25">
      <c r="B44" s="373" t="s">
        <v>80</v>
      </c>
      <c r="C44" s="279"/>
      <c r="D44" s="279">
        <v>2</v>
      </c>
      <c r="E44" s="374" t="s">
        <v>90</v>
      </c>
      <c r="F44" s="54" t="s">
        <v>83</v>
      </c>
      <c r="G44" s="371">
        <v>1</v>
      </c>
      <c r="H44" s="371">
        <v>8</v>
      </c>
      <c r="I44" s="375">
        <v>3381000</v>
      </c>
      <c r="J44" s="375">
        <f>I44*H44*G44</f>
        <v>27048000</v>
      </c>
      <c r="K44" s="71"/>
      <c r="L44" s="71"/>
      <c r="AE44" s="235" t="s">
        <v>340</v>
      </c>
      <c r="AF44" s="1">
        <v>0</v>
      </c>
      <c r="AG44" s="234"/>
    </row>
    <row r="45" spans="1:34" ht="15.75" customHeight="1" x14ac:dyDescent="0.25">
      <c r="B45" s="373"/>
      <c r="C45" s="279"/>
      <c r="D45" s="279"/>
      <c r="E45" s="374"/>
      <c r="F45" s="55" t="s">
        <v>91</v>
      </c>
      <c r="G45" s="371"/>
      <c r="H45" s="371"/>
      <c r="I45" s="375"/>
      <c r="J45" s="375"/>
      <c r="K45" s="72"/>
      <c r="L45" s="72"/>
      <c r="AG45" s="234"/>
    </row>
    <row r="46" spans="1:34" ht="15.75" customHeight="1" x14ac:dyDescent="0.25">
      <c r="B46" s="373"/>
      <c r="C46" s="279"/>
      <c r="D46" s="279"/>
      <c r="E46" s="374"/>
      <c r="F46" s="56"/>
      <c r="G46" s="371"/>
      <c r="H46" s="371"/>
      <c r="I46" s="375"/>
      <c r="J46" s="375"/>
      <c r="K46" s="72"/>
      <c r="L46" s="72"/>
      <c r="AE46" s="235" t="s">
        <v>341</v>
      </c>
      <c r="AF46" s="147">
        <f>I44+I34</f>
        <v>11381000</v>
      </c>
      <c r="AG46" s="234">
        <f>AF46/$AF$51</f>
        <v>1.0386979725288853E-2</v>
      </c>
      <c r="AH46" s="1">
        <v>2</v>
      </c>
    </row>
    <row r="47" spans="1:34" ht="15.75" customHeight="1" x14ac:dyDescent="0.25">
      <c r="B47" s="373"/>
      <c r="C47" s="279"/>
      <c r="D47" s="279"/>
      <c r="E47" s="374"/>
      <c r="F47" s="56"/>
      <c r="G47" s="371"/>
      <c r="H47" s="371"/>
      <c r="I47" s="375"/>
      <c r="J47" s="375"/>
      <c r="K47" s="72"/>
      <c r="L47" s="72"/>
      <c r="AE47" s="1" t="str">
        <f>AE34</f>
        <v>Componenete 2</v>
      </c>
      <c r="AF47" s="147">
        <f>AF34+AF40+AF41+AF42</f>
        <v>583970236.79999995</v>
      </c>
      <c r="AG47" s="234">
        <f t="shared" ref="AG47:AG51" si="15">AF47/$AF$51</f>
        <v>0.53296608468620765</v>
      </c>
      <c r="AH47" s="150">
        <f>90*AG47</f>
        <v>47.966947621758692</v>
      </c>
    </row>
    <row r="48" spans="1:34" ht="15.75" customHeight="1" x14ac:dyDescent="0.25">
      <c r="B48" s="373"/>
      <c r="C48" s="279"/>
      <c r="D48" s="279"/>
      <c r="E48" s="374"/>
      <c r="F48" s="54" t="s">
        <v>85</v>
      </c>
      <c r="G48" s="371"/>
      <c r="H48" s="371"/>
      <c r="I48" s="375"/>
      <c r="J48" s="375"/>
      <c r="K48" s="72"/>
      <c r="L48" s="72"/>
      <c r="AE48" s="1" t="str">
        <f>AE35</f>
        <v>Componeente3</v>
      </c>
      <c r="AF48" s="147">
        <f>AF35+AF40+AF41++AF43</f>
        <v>296102230</v>
      </c>
      <c r="AG48" s="234">
        <f t="shared" si="15"/>
        <v>0.2702405640649167</v>
      </c>
      <c r="AH48" s="150">
        <f t="shared" ref="AH48:AH49" si="16">90*AG48</f>
        <v>24.321650765842502</v>
      </c>
    </row>
    <row r="49" spans="2:34" ht="15.75" customHeight="1" x14ac:dyDescent="0.25">
      <c r="B49" s="373"/>
      <c r="C49" s="279"/>
      <c r="D49" s="279"/>
      <c r="E49" s="374"/>
      <c r="F49" s="55" t="s">
        <v>92</v>
      </c>
      <c r="G49" s="371"/>
      <c r="H49" s="371"/>
      <c r="I49" s="375"/>
      <c r="J49" s="375"/>
      <c r="K49" s="72"/>
      <c r="L49" s="72"/>
      <c r="AE49" s="1" t="str">
        <f>AE36</f>
        <v>Componeente4</v>
      </c>
      <c r="AF49" s="146">
        <f>AF36+AF44+AF40+AF41</f>
        <v>192864215.68524998</v>
      </c>
      <c r="AG49" s="234">
        <f t="shared" si="15"/>
        <v>0.17601939179829787</v>
      </c>
      <c r="AH49" s="150">
        <f t="shared" si="16"/>
        <v>15.841745261846809</v>
      </c>
    </row>
    <row r="50" spans="2:34" ht="15.75" customHeight="1" x14ac:dyDescent="0.25">
      <c r="B50" s="373"/>
      <c r="C50" s="279"/>
      <c r="D50" s="279"/>
      <c r="E50" s="374"/>
      <c r="F50" s="57"/>
      <c r="G50" s="371"/>
      <c r="H50" s="371"/>
      <c r="I50" s="375"/>
      <c r="J50" s="375"/>
      <c r="K50" s="72"/>
      <c r="L50" s="72"/>
      <c r="AE50" s="235" t="s">
        <v>342</v>
      </c>
      <c r="AF50" s="147">
        <f>I34+I44</f>
        <v>11381000</v>
      </c>
      <c r="AG50" s="234">
        <f t="shared" si="15"/>
        <v>1.0386979725288853E-2</v>
      </c>
      <c r="AH50" s="1">
        <v>10</v>
      </c>
    </row>
    <row r="51" spans="2:34" ht="15.75" customHeight="1" x14ac:dyDescent="0.25">
      <c r="B51" s="373"/>
      <c r="C51" s="279"/>
      <c r="D51" s="279"/>
      <c r="E51" s="374"/>
      <c r="F51" s="54" t="s">
        <v>87</v>
      </c>
      <c r="G51" s="371"/>
      <c r="H51" s="371"/>
      <c r="I51" s="375"/>
      <c r="J51" s="375"/>
      <c r="K51" s="72"/>
      <c r="L51" s="72"/>
      <c r="AE51" s="148" t="s">
        <v>343</v>
      </c>
      <c r="AF51" s="149">
        <f>SUM(AF46:AF50)</f>
        <v>1095698682.48525</v>
      </c>
      <c r="AG51" s="234">
        <f t="shared" si="15"/>
        <v>1</v>
      </c>
    </row>
    <row r="52" spans="2:34" ht="15.75" customHeight="1" x14ac:dyDescent="0.25">
      <c r="B52" s="373"/>
      <c r="C52" s="279"/>
      <c r="D52" s="279"/>
      <c r="E52" s="374"/>
      <c r="F52" s="58" t="s">
        <v>93</v>
      </c>
      <c r="G52" s="371"/>
      <c r="H52" s="371"/>
      <c r="I52" s="375"/>
      <c r="J52" s="375"/>
      <c r="K52" s="72"/>
      <c r="L52" s="72"/>
      <c r="AG52" s="234"/>
    </row>
    <row r="53" spans="2:34" ht="15.75" customHeight="1" x14ac:dyDescent="0.25">
      <c r="B53" s="373"/>
      <c r="C53" s="279"/>
      <c r="D53" s="279"/>
      <c r="E53" s="374"/>
      <c r="F53" s="55"/>
      <c r="G53" s="371"/>
      <c r="H53" s="371"/>
      <c r="I53" s="375"/>
      <c r="J53" s="375"/>
      <c r="K53" s="72"/>
      <c r="L53" s="72"/>
      <c r="AG53" s="234"/>
    </row>
    <row r="54" spans="2:34" ht="15.75" customHeight="1" x14ac:dyDescent="0.25">
      <c r="B54" s="373"/>
      <c r="C54" s="279"/>
      <c r="D54" s="279"/>
      <c r="E54" s="374"/>
      <c r="F54" s="57" t="s">
        <v>89</v>
      </c>
      <c r="G54" s="371"/>
      <c r="H54" s="371"/>
      <c r="I54" s="375"/>
      <c r="J54" s="375"/>
      <c r="K54" s="72"/>
      <c r="L54" s="72"/>
      <c r="AG54" s="234"/>
    </row>
    <row r="55" spans="2:34" ht="15.75" customHeight="1" x14ac:dyDescent="0.25">
      <c r="B55" s="374" t="s">
        <v>180</v>
      </c>
      <c r="C55" s="279"/>
      <c r="D55" s="279">
        <v>3</v>
      </c>
      <c r="E55" s="374" t="s">
        <v>95</v>
      </c>
      <c r="F55" s="54" t="s">
        <v>83</v>
      </c>
      <c r="G55" s="371">
        <v>2</v>
      </c>
      <c r="H55" s="371">
        <v>2</v>
      </c>
      <c r="I55" s="375">
        <v>5000000</v>
      </c>
      <c r="J55" s="375">
        <f>I55*H55*G55</f>
        <v>20000000</v>
      </c>
      <c r="K55" s="72"/>
      <c r="L55" s="72"/>
      <c r="AG55" s="234"/>
    </row>
    <row r="56" spans="2:34" ht="15.75" customHeight="1" x14ac:dyDescent="0.25">
      <c r="B56" s="374"/>
      <c r="C56" s="279"/>
      <c r="D56" s="279"/>
      <c r="E56" s="374"/>
      <c r="F56" s="55" t="s">
        <v>181</v>
      </c>
      <c r="G56" s="371"/>
      <c r="H56" s="371"/>
      <c r="I56" s="375"/>
      <c r="J56" s="375"/>
      <c r="K56" s="72"/>
      <c r="L56" s="72"/>
      <c r="AG56" s="234"/>
    </row>
    <row r="57" spans="2:34" ht="15.75" customHeight="1" x14ac:dyDescent="0.25">
      <c r="B57" s="374"/>
      <c r="C57" s="279"/>
      <c r="D57" s="279"/>
      <c r="E57" s="374"/>
      <c r="F57" s="56"/>
      <c r="G57" s="371"/>
      <c r="H57" s="371"/>
      <c r="I57" s="375"/>
      <c r="J57" s="375"/>
      <c r="K57" s="72"/>
      <c r="L57" s="72"/>
      <c r="AG57" s="234"/>
    </row>
    <row r="58" spans="2:34" ht="15.75" customHeight="1" x14ac:dyDescent="0.25">
      <c r="B58" s="374"/>
      <c r="C58" s="279"/>
      <c r="D58" s="279"/>
      <c r="E58" s="374"/>
      <c r="F58" s="56"/>
      <c r="G58" s="371"/>
      <c r="H58" s="371"/>
      <c r="I58" s="375"/>
      <c r="J58" s="375"/>
      <c r="K58" s="72"/>
      <c r="L58" s="72"/>
      <c r="AG58" s="234"/>
    </row>
    <row r="59" spans="2:34" ht="15.75" customHeight="1" x14ac:dyDescent="0.25">
      <c r="B59" s="374"/>
      <c r="C59" s="279"/>
      <c r="D59" s="279"/>
      <c r="E59" s="374"/>
      <c r="F59" s="54" t="s">
        <v>85</v>
      </c>
      <c r="G59" s="371"/>
      <c r="H59" s="371"/>
      <c r="I59" s="375"/>
      <c r="J59" s="375"/>
      <c r="K59" s="72"/>
      <c r="L59" s="72"/>
      <c r="AG59" s="234"/>
    </row>
    <row r="60" spans="2:34" ht="15.75" customHeight="1" x14ac:dyDescent="0.25">
      <c r="B60" s="374"/>
      <c r="C60" s="279"/>
      <c r="D60" s="279"/>
      <c r="E60" s="374"/>
      <c r="F60" s="55" t="s">
        <v>97</v>
      </c>
      <c r="G60" s="371"/>
      <c r="H60" s="371"/>
      <c r="I60" s="375"/>
      <c r="J60" s="375"/>
      <c r="K60" s="72"/>
      <c r="L60" s="72"/>
      <c r="AG60" s="234"/>
    </row>
    <row r="61" spans="2:34" ht="15.75" customHeight="1" x14ac:dyDescent="0.25">
      <c r="B61" s="374"/>
      <c r="C61" s="279"/>
      <c r="D61" s="279"/>
      <c r="E61" s="374"/>
      <c r="F61" s="57"/>
      <c r="G61" s="371"/>
      <c r="H61" s="371"/>
      <c r="I61" s="375"/>
      <c r="J61" s="375"/>
      <c r="K61" s="72"/>
      <c r="L61" s="72"/>
      <c r="AG61" s="234"/>
    </row>
    <row r="62" spans="2:34" ht="15.75" customHeight="1" x14ac:dyDescent="0.25">
      <c r="B62" s="374"/>
      <c r="C62" s="279"/>
      <c r="D62" s="279"/>
      <c r="E62" s="374"/>
      <c r="F62" s="57"/>
      <c r="G62" s="371"/>
      <c r="H62" s="371"/>
      <c r="I62" s="375"/>
      <c r="J62" s="375"/>
      <c r="K62" s="72"/>
      <c r="L62" s="72"/>
      <c r="AG62" s="234"/>
    </row>
    <row r="63" spans="2:34" ht="15.75" customHeight="1" x14ac:dyDescent="0.25">
      <c r="B63" s="374"/>
      <c r="C63" s="279"/>
      <c r="D63" s="279"/>
      <c r="E63" s="374"/>
      <c r="F63" s="54" t="s">
        <v>87</v>
      </c>
      <c r="G63" s="371"/>
      <c r="H63" s="371"/>
      <c r="I63" s="375"/>
      <c r="J63" s="375"/>
      <c r="K63" s="72"/>
      <c r="L63" s="72"/>
      <c r="AG63" s="234"/>
    </row>
    <row r="64" spans="2:34" ht="15.75" customHeight="1" x14ac:dyDescent="0.25">
      <c r="B64" s="374"/>
      <c r="C64" s="279"/>
      <c r="D64" s="279"/>
      <c r="E64" s="374"/>
      <c r="F64" s="59" t="s">
        <v>98</v>
      </c>
      <c r="G64" s="371"/>
      <c r="H64" s="371"/>
      <c r="I64" s="375"/>
      <c r="J64" s="375"/>
      <c r="K64" s="72"/>
      <c r="L64" s="72"/>
      <c r="AG64" s="234"/>
    </row>
    <row r="65" spans="2:12" ht="15.75" customHeight="1" x14ac:dyDescent="0.25">
      <c r="B65" s="374" t="s">
        <v>180</v>
      </c>
      <c r="C65" s="279"/>
      <c r="D65" s="279">
        <v>4</v>
      </c>
      <c r="E65" s="374" t="s">
        <v>99</v>
      </c>
      <c r="F65" s="54" t="s">
        <v>83</v>
      </c>
      <c r="G65" s="371">
        <v>2</v>
      </c>
      <c r="H65" s="371">
        <v>2</v>
      </c>
      <c r="I65" s="375">
        <v>5000000</v>
      </c>
      <c r="J65" s="375">
        <f>I65*H65*G65</f>
        <v>20000000</v>
      </c>
      <c r="K65" s="72"/>
      <c r="L65" s="72"/>
    </row>
    <row r="66" spans="2:12" ht="15.75" customHeight="1" x14ac:dyDescent="0.25">
      <c r="B66" s="374"/>
      <c r="C66" s="279"/>
      <c r="D66" s="279"/>
      <c r="E66" s="374"/>
      <c r="F66" s="55" t="s">
        <v>100</v>
      </c>
      <c r="G66" s="371"/>
      <c r="H66" s="371"/>
      <c r="I66" s="375"/>
      <c r="J66" s="375"/>
      <c r="K66" s="72"/>
      <c r="L66" s="72"/>
    </row>
    <row r="67" spans="2:12" ht="15.75" customHeight="1" x14ac:dyDescent="0.25">
      <c r="B67" s="374"/>
      <c r="C67" s="279"/>
      <c r="D67" s="279"/>
      <c r="E67" s="374"/>
      <c r="F67" s="56"/>
      <c r="G67" s="371"/>
      <c r="H67" s="371"/>
      <c r="I67" s="375"/>
      <c r="J67" s="375"/>
      <c r="K67" s="72"/>
      <c r="L67" s="72"/>
    </row>
    <row r="68" spans="2:12" ht="15.75" customHeight="1" x14ac:dyDescent="0.25">
      <c r="B68" s="374"/>
      <c r="C68" s="279"/>
      <c r="D68" s="279"/>
      <c r="E68" s="374"/>
      <c r="F68" s="54" t="s">
        <v>85</v>
      </c>
      <c r="G68" s="371"/>
      <c r="H68" s="371"/>
      <c r="I68" s="375"/>
      <c r="J68" s="375"/>
      <c r="K68" s="72"/>
      <c r="L68" s="72"/>
    </row>
    <row r="69" spans="2:12" ht="15.75" customHeight="1" x14ac:dyDescent="0.25">
      <c r="B69" s="374"/>
      <c r="C69" s="279"/>
      <c r="D69" s="279"/>
      <c r="E69" s="374"/>
      <c r="F69" s="55" t="s">
        <v>97</v>
      </c>
      <c r="G69" s="371"/>
      <c r="H69" s="371"/>
      <c r="I69" s="375"/>
      <c r="J69" s="375"/>
      <c r="K69" s="72"/>
      <c r="L69" s="72"/>
    </row>
    <row r="70" spans="2:12" ht="15.75" customHeight="1" x14ac:dyDescent="0.25">
      <c r="B70" s="374"/>
      <c r="C70" s="279"/>
      <c r="D70" s="279"/>
      <c r="E70" s="374"/>
      <c r="F70" s="57"/>
      <c r="G70" s="371"/>
      <c r="H70" s="371"/>
      <c r="I70" s="375"/>
      <c r="J70" s="375"/>
      <c r="K70" s="72"/>
      <c r="L70" s="72"/>
    </row>
    <row r="71" spans="2:12" ht="15.75" customHeight="1" x14ac:dyDescent="0.25">
      <c r="B71" s="374"/>
      <c r="C71" s="279"/>
      <c r="D71" s="279"/>
      <c r="E71" s="374"/>
      <c r="F71" s="54" t="s">
        <v>87</v>
      </c>
      <c r="G71" s="371"/>
      <c r="H71" s="371"/>
      <c r="I71" s="375"/>
      <c r="J71" s="375"/>
      <c r="K71" s="72"/>
      <c r="L71" s="72"/>
    </row>
    <row r="72" spans="2:12" ht="15.75" customHeight="1" x14ac:dyDescent="0.25">
      <c r="B72" s="374"/>
      <c r="C72" s="279"/>
      <c r="D72" s="279"/>
      <c r="E72" s="374"/>
      <c r="F72" s="60" t="s">
        <v>182</v>
      </c>
      <c r="G72" s="371"/>
      <c r="H72" s="371"/>
      <c r="I72" s="375"/>
      <c r="J72" s="375"/>
      <c r="K72" s="72"/>
      <c r="L72" s="72"/>
    </row>
    <row r="73" spans="2:12" ht="15.75" customHeight="1" x14ac:dyDescent="0.25">
      <c r="B73" s="376" t="s">
        <v>183</v>
      </c>
      <c r="C73" s="279"/>
      <c r="D73" s="279">
        <v>5</v>
      </c>
      <c r="E73" s="374" t="s">
        <v>95</v>
      </c>
      <c r="F73" s="54" t="s">
        <v>83</v>
      </c>
      <c r="G73" s="371">
        <v>4</v>
      </c>
      <c r="H73" s="371">
        <v>3</v>
      </c>
      <c r="I73" s="375">
        <v>5000000</v>
      </c>
      <c r="J73" s="375">
        <f>I73*H73*G73</f>
        <v>60000000</v>
      </c>
      <c r="K73" s="72"/>
      <c r="L73" s="72"/>
    </row>
    <row r="74" spans="2:12" ht="15.75" customHeight="1" x14ac:dyDescent="0.25">
      <c r="B74" s="377"/>
      <c r="C74" s="279"/>
      <c r="D74" s="279"/>
      <c r="E74" s="374"/>
      <c r="F74" s="55" t="s">
        <v>181</v>
      </c>
      <c r="G74" s="371"/>
      <c r="H74" s="371"/>
      <c r="I74" s="375"/>
      <c r="J74" s="375"/>
      <c r="K74" s="72"/>
      <c r="L74" s="72"/>
    </row>
    <row r="75" spans="2:12" ht="15.75" customHeight="1" x14ac:dyDescent="0.25">
      <c r="B75" s="377"/>
      <c r="C75" s="279"/>
      <c r="D75" s="279"/>
      <c r="E75" s="374"/>
      <c r="F75" s="56"/>
      <c r="G75" s="371"/>
      <c r="H75" s="371"/>
      <c r="I75" s="375"/>
      <c r="J75" s="375"/>
      <c r="K75" s="72"/>
      <c r="L75" s="72"/>
    </row>
    <row r="76" spans="2:12" ht="15.75" customHeight="1" x14ac:dyDescent="0.25">
      <c r="B76" s="377"/>
      <c r="C76" s="279"/>
      <c r="D76" s="279"/>
      <c r="E76" s="374"/>
      <c r="F76" s="56"/>
      <c r="G76" s="371"/>
      <c r="H76" s="371"/>
      <c r="I76" s="375"/>
      <c r="J76" s="375"/>
      <c r="K76" s="72"/>
      <c r="L76" s="72"/>
    </row>
    <row r="77" spans="2:12" ht="15.75" customHeight="1" x14ac:dyDescent="0.25">
      <c r="B77" s="377"/>
      <c r="C77" s="279"/>
      <c r="D77" s="279"/>
      <c r="E77" s="374"/>
      <c r="F77" s="54" t="s">
        <v>85</v>
      </c>
      <c r="G77" s="371"/>
      <c r="H77" s="371"/>
      <c r="I77" s="375"/>
      <c r="J77" s="375"/>
      <c r="K77" s="72"/>
      <c r="L77" s="72"/>
    </row>
    <row r="78" spans="2:12" ht="15.75" customHeight="1" x14ac:dyDescent="0.25">
      <c r="B78" s="377"/>
      <c r="C78" s="279"/>
      <c r="D78" s="279"/>
      <c r="E78" s="374"/>
      <c r="F78" s="55" t="s">
        <v>97</v>
      </c>
      <c r="G78" s="371"/>
      <c r="H78" s="371"/>
      <c r="I78" s="375"/>
      <c r="J78" s="375"/>
      <c r="K78" s="72"/>
      <c r="L78" s="72"/>
    </row>
    <row r="79" spans="2:12" ht="15.75" customHeight="1" x14ac:dyDescent="0.25">
      <c r="B79" s="377"/>
      <c r="C79" s="279"/>
      <c r="D79" s="279"/>
      <c r="E79" s="374"/>
      <c r="F79" s="57"/>
      <c r="G79" s="371"/>
      <c r="H79" s="371"/>
      <c r="I79" s="375"/>
      <c r="J79" s="375"/>
      <c r="K79" s="72"/>
      <c r="L79" s="72"/>
    </row>
    <row r="80" spans="2:12" ht="15.75" customHeight="1" x14ac:dyDescent="0.25">
      <c r="B80" s="377"/>
      <c r="C80" s="279"/>
      <c r="D80" s="279"/>
      <c r="E80" s="374"/>
      <c r="F80" s="57"/>
      <c r="G80" s="371"/>
      <c r="H80" s="371"/>
      <c r="I80" s="375"/>
      <c r="J80" s="375"/>
      <c r="K80" s="72"/>
      <c r="L80" s="72"/>
    </row>
    <row r="81" spans="2:12" ht="15.75" customHeight="1" x14ac:dyDescent="0.25">
      <c r="B81" s="377"/>
      <c r="C81" s="279"/>
      <c r="D81" s="279"/>
      <c r="E81" s="374"/>
      <c r="F81" s="54" t="s">
        <v>87</v>
      </c>
      <c r="G81" s="371"/>
      <c r="H81" s="371"/>
      <c r="I81" s="375"/>
      <c r="J81" s="375"/>
      <c r="K81" s="72"/>
      <c r="L81" s="72"/>
    </row>
    <row r="82" spans="2:12" ht="15.75" customHeight="1" x14ac:dyDescent="0.25">
      <c r="B82" s="378"/>
      <c r="C82" s="279"/>
      <c r="D82" s="279"/>
      <c r="E82" s="374"/>
      <c r="F82" s="59" t="s">
        <v>98</v>
      </c>
      <c r="G82" s="371"/>
      <c r="H82" s="371"/>
      <c r="I82" s="375"/>
      <c r="J82" s="375"/>
      <c r="K82" s="72"/>
      <c r="L82" s="72"/>
    </row>
    <row r="83" spans="2:12" ht="15.75" customHeight="1" x14ac:dyDescent="0.25">
      <c r="B83" s="376" t="s">
        <v>183</v>
      </c>
      <c r="C83" s="279"/>
      <c r="D83" s="279">
        <v>6</v>
      </c>
      <c r="E83" s="374" t="s">
        <v>99</v>
      </c>
      <c r="F83" s="54" t="s">
        <v>83</v>
      </c>
      <c r="G83" s="371">
        <v>4</v>
      </c>
      <c r="H83" s="371">
        <v>3</v>
      </c>
      <c r="I83" s="375">
        <v>5000000</v>
      </c>
      <c r="J83" s="375">
        <f>I83*H83*G83</f>
        <v>60000000</v>
      </c>
      <c r="K83" s="72"/>
      <c r="L83" s="72"/>
    </row>
    <row r="84" spans="2:12" ht="15.75" customHeight="1" x14ac:dyDescent="0.25">
      <c r="B84" s="377"/>
      <c r="C84" s="279"/>
      <c r="D84" s="279"/>
      <c r="E84" s="374"/>
      <c r="F84" s="55" t="s">
        <v>100</v>
      </c>
      <c r="G84" s="371"/>
      <c r="H84" s="371"/>
      <c r="I84" s="375"/>
      <c r="J84" s="375"/>
      <c r="K84" s="72"/>
      <c r="L84" s="72"/>
    </row>
    <row r="85" spans="2:12" ht="15.75" customHeight="1" x14ac:dyDescent="0.25">
      <c r="B85" s="377"/>
      <c r="C85" s="279"/>
      <c r="D85" s="279"/>
      <c r="E85" s="374"/>
      <c r="F85" s="56"/>
      <c r="G85" s="371"/>
      <c r="H85" s="371"/>
      <c r="I85" s="375"/>
      <c r="J85" s="375"/>
      <c r="K85" s="72"/>
      <c r="L85" s="72"/>
    </row>
    <row r="86" spans="2:12" ht="15.75" customHeight="1" x14ac:dyDescent="0.25">
      <c r="B86" s="377"/>
      <c r="C86" s="279"/>
      <c r="D86" s="279"/>
      <c r="E86" s="374"/>
      <c r="F86" s="54" t="s">
        <v>85</v>
      </c>
      <c r="G86" s="371"/>
      <c r="H86" s="371"/>
      <c r="I86" s="375"/>
      <c r="J86" s="375"/>
      <c r="K86" s="72"/>
      <c r="L86" s="72"/>
    </row>
    <row r="87" spans="2:12" ht="15.75" customHeight="1" x14ac:dyDescent="0.25">
      <c r="B87" s="377"/>
      <c r="C87" s="279"/>
      <c r="D87" s="279"/>
      <c r="E87" s="374"/>
      <c r="F87" s="55" t="s">
        <v>97</v>
      </c>
      <c r="G87" s="371"/>
      <c r="H87" s="371"/>
      <c r="I87" s="375"/>
      <c r="J87" s="375"/>
      <c r="K87" s="72"/>
      <c r="L87" s="72"/>
    </row>
    <row r="88" spans="2:12" ht="15.75" customHeight="1" x14ac:dyDescent="0.25">
      <c r="B88" s="377"/>
      <c r="C88" s="279"/>
      <c r="D88" s="279"/>
      <c r="E88" s="374"/>
      <c r="F88" s="57"/>
      <c r="G88" s="371"/>
      <c r="H88" s="371"/>
      <c r="I88" s="375"/>
      <c r="J88" s="375"/>
      <c r="K88" s="72"/>
      <c r="L88" s="72"/>
    </row>
    <row r="89" spans="2:12" ht="15.75" customHeight="1" x14ac:dyDescent="0.25">
      <c r="B89" s="377"/>
      <c r="C89" s="279"/>
      <c r="D89" s="279"/>
      <c r="E89" s="374"/>
      <c r="F89" s="54" t="s">
        <v>87</v>
      </c>
      <c r="G89" s="371"/>
      <c r="H89" s="371"/>
      <c r="I89" s="375"/>
      <c r="J89" s="375"/>
      <c r="K89" s="72"/>
      <c r="L89" s="72"/>
    </row>
    <row r="90" spans="2:12" ht="15.75" customHeight="1" x14ac:dyDescent="0.25">
      <c r="B90" s="378"/>
      <c r="C90" s="279"/>
      <c r="D90" s="279"/>
      <c r="E90" s="374"/>
      <c r="F90" s="60" t="s">
        <v>182</v>
      </c>
      <c r="G90" s="371"/>
      <c r="H90" s="371"/>
      <c r="I90" s="375"/>
      <c r="J90" s="375"/>
      <c r="K90" s="72"/>
      <c r="L90" s="72"/>
    </row>
    <row r="91" spans="2:12" ht="15.75" customHeight="1" x14ac:dyDescent="0.25">
      <c r="B91" s="376" t="s">
        <v>184</v>
      </c>
      <c r="C91" s="279"/>
      <c r="D91" s="279">
        <v>7</v>
      </c>
      <c r="E91" s="374" t="s">
        <v>95</v>
      </c>
      <c r="F91" s="54" t="s">
        <v>83</v>
      </c>
      <c r="G91" s="371">
        <v>4</v>
      </c>
      <c r="H91" s="371">
        <v>3</v>
      </c>
      <c r="I91" s="375">
        <v>5000000</v>
      </c>
      <c r="J91" s="375">
        <f>I91*H91*G91</f>
        <v>60000000</v>
      </c>
      <c r="K91" s="72"/>
      <c r="L91" s="72"/>
    </row>
    <row r="92" spans="2:12" ht="15.75" customHeight="1" x14ac:dyDescent="0.25">
      <c r="B92" s="377"/>
      <c r="C92" s="279"/>
      <c r="D92" s="279"/>
      <c r="E92" s="374"/>
      <c r="F92" s="55" t="s">
        <v>181</v>
      </c>
      <c r="G92" s="371"/>
      <c r="H92" s="371"/>
      <c r="I92" s="375"/>
      <c r="J92" s="375"/>
      <c r="K92" s="72"/>
      <c r="L92" s="72"/>
    </row>
    <row r="93" spans="2:12" ht="15.75" customHeight="1" x14ac:dyDescent="0.25">
      <c r="B93" s="377"/>
      <c r="C93" s="279"/>
      <c r="D93" s="279"/>
      <c r="E93" s="374"/>
      <c r="F93" s="56"/>
      <c r="G93" s="371"/>
      <c r="H93" s="371"/>
      <c r="I93" s="375"/>
      <c r="J93" s="375"/>
      <c r="K93" s="72"/>
      <c r="L93" s="72"/>
    </row>
    <row r="94" spans="2:12" ht="15.75" customHeight="1" x14ac:dyDescent="0.25">
      <c r="B94" s="377"/>
      <c r="C94" s="279"/>
      <c r="D94" s="279"/>
      <c r="E94" s="374"/>
      <c r="F94" s="56"/>
      <c r="G94" s="371"/>
      <c r="H94" s="371"/>
      <c r="I94" s="375"/>
      <c r="J94" s="375"/>
      <c r="K94" s="72"/>
      <c r="L94" s="72"/>
    </row>
    <row r="95" spans="2:12" ht="15.75" customHeight="1" x14ac:dyDescent="0.25">
      <c r="B95" s="377"/>
      <c r="C95" s="279"/>
      <c r="D95" s="279"/>
      <c r="E95" s="374"/>
      <c r="F95" s="54" t="s">
        <v>85</v>
      </c>
      <c r="G95" s="371"/>
      <c r="H95" s="371"/>
      <c r="I95" s="375"/>
      <c r="J95" s="375"/>
      <c r="K95" s="72"/>
      <c r="L95" s="72"/>
    </row>
    <row r="96" spans="2:12" ht="15.75" customHeight="1" x14ac:dyDescent="0.25">
      <c r="B96" s="377"/>
      <c r="C96" s="279"/>
      <c r="D96" s="279"/>
      <c r="E96" s="374"/>
      <c r="F96" s="55" t="s">
        <v>97</v>
      </c>
      <c r="G96" s="371"/>
      <c r="H96" s="371"/>
      <c r="I96" s="375"/>
      <c r="J96" s="375"/>
      <c r="K96" s="72"/>
      <c r="L96" s="72"/>
    </row>
    <row r="97" spans="2:12" ht="15.75" customHeight="1" x14ac:dyDescent="0.25">
      <c r="B97" s="377"/>
      <c r="C97" s="279"/>
      <c r="D97" s="279"/>
      <c r="E97" s="374"/>
      <c r="F97" s="57"/>
      <c r="G97" s="371"/>
      <c r="H97" s="371"/>
      <c r="I97" s="375"/>
      <c r="J97" s="375"/>
      <c r="K97" s="72"/>
      <c r="L97" s="72"/>
    </row>
    <row r="98" spans="2:12" ht="15.75" customHeight="1" x14ac:dyDescent="0.25">
      <c r="B98" s="377"/>
      <c r="C98" s="279"/>
      <c r="D98" s="279"/>
      <c r="E98" s="374"/>
      <c r="F98" s="57"/>
      <c r="G98" s="371"/>
      <c r="H98" s="371"/>
      <c r="I98" s="375"/>
      <c r="J98" s="375"/>
      <c r="K98" s="72"/>
      <c r="L98" s="72"/>
    </row>
    <row r="99" spans="2:12" ht="15.75" customHeight="1" x14ac:dyDescent="0.25">
      <c r="B99" s="377"/>
      <c r="C99" s="279"/>
      <c r="D99" s="279"/>
      <c r="E99" s="374"/>
      <c r="F99" s="54" t="s">
        <v>87</v>
      </c>
      <c r="G99" s="371"/>
      <c r="H99" s="371"/>
      <c r="I99" s="375"/>
      <c r="J99" s="375"/>
      <c r="K99" s="72"/>
      <c r="L99" s="72"/>
    </row>
    <row r="100" spans="2:12" ht="15.75" customHeight="1" x14ac:dyDescent="0.25">
      <c r="B100" s="378"/>
      <c r="C100" s="279"/>
      <c r="D100" s="279"/>
      <c r="E100" s="374"/>
      <c r="F100" s="59" t="s">
        <v>98</v>
      </c>
      <c r="G100" s="371"/>
      <c r="H100" s="371"/>
      <c r="I100" s="375"/>
      <c r="J100" s="375"/>
      <c r="K100" s="72"/>
      <c r="L100" s="72"/>
    </row>
    <row r="101" spans="2:12" ht="15.75" customHeight="1" x14ac:dyDescent="0.25">
      <c r="B101" s="376" t="s">
        <v>184</v>
      </c>
      <c r="C101" s="279"/>
      <c r="D101" s="279">
        <v>8</v>
      </c>
      <c r="E101" s="374" t="s">
        <v>99</v>
      </c>
      <c r="F101" s="54" t="s">
        <v>83</v>
      </c>
      <c r="G101" s="371">
        <v>4</v>
      </c>
      <c r="H101" s="371">
        <v>3</v>
      </c>
      <c r="I101" s="375">
        <v>5000000</v>
      </c>
      <c r="J101" s="375">
        <f>I101*H101*G101</f>
        <v>60000000</v>
      </c>
      <c r="K101" s="72"/>
      <c r="L101" s="72"/>
    </row>
    <row r="102" spans="2:12" ht="15.75" customHeight="1" x14ac:dyDescent="0.25">
      <c r="B102" s="377"/>
      <c r="C102" s="279"/>
      <c r="D102" s="279"/>
      <c r="E102" s="374"/>
      <c r="F102" s="55" t="s">
        <v>100</v>
      </c>
      <c r="G102" s="371"/>
      <c r="H102" s="371"/>
      <c r="I102" s="375"/>
      <c r="J102" s="375"/>
      <c r="K102" s="72"/>
      <c r="L102" s="72"/>
    </row>
    <row r="103" spans="2:12" ht="15.75" customHeight="1" x14ac:dyDescent="0.25">
      <c r="B103" s="377"/>
      <c r="C103" s="279"/>
      <c r="D103" s="279"/>
      <c r="E103" s="374"/>
      <c r="F103" s="56"/>
      <c r="G103" s="371"/>
      <c r="H103" s="371"/>
      <c r="I103" s="375"/>
      <c r="J103" s="375"/>
      <c r="K103" s="72"/>
      <c r="L103" s="72"/>
    </row>
    <row r="104" spans="2:12" ht="15.75" customHeight="1" x14ac:dyDescent="0.25">
      <c r="B104" s="377"/>
      <c r="C104" s="279"/>
      <c r="D104" s="279"/>
      <c r="E104" s="374"/>
      <c r="F104" s="54" t="s">
        <v>85</v>
      </c>
      <c r="G104" s="371"/>
      <c r="H104" s="371"/>
      <c r="I104" s="375"/>
      <c r="J104" s="375"/>
      <c r="K104" s="72"/>
      <c r="L104" s="72"/>
    </row>
    <row r="105" spans="2:12" ht="15.75" customHeight="1" x14ac:dyDescent="0.25">
      <c r="B105" s="377"/>
      <c r="C105" s="279"/>
      <c r="D105" s="279"/>
      <c r="E105" s="374"/>
      <c r="F105" s="55" t="s">
        <v>97</v>
      </c>
      <c r="G105" s="371"/>
      <c r="H105" s="371"/>
      <c r="I105" s="375"/>
      <c r="J105" s="375"/>
      <c r="K105" s="72"/>
      <c r="L105" s="72"/>
    </row>
    <row r="106" spans="2:12" ht="15.75" customHeight="1" x14ac:dyDescent="0.25">
      <c r="B106" s="377"/>
      <c r="C106" s="279"/>
      <c r="D106" s="279"/>
      <c r="E106" s="374"/>
      <c r="F106" s="57"/>
      <c r="G106" s="371"/>
      <c r="H106" s="371"/>
      <c r="I106" s="375"/>
      <c r="J106" s="375"/>
      <c r="K106" s="72"/>
      <c r="L106" s="72"/>
    </row>
    <row r="107" spans="2:12" ht="15.75" customHeight="1" x14ac:dyDescent="0.25">
      <c r="B107" s="377"/>
      <c r="C107" s="279"/>
      <c r="D107" s="279"/>
      <c r="E107" s="374"/>
      <c r="F107" s="54" t="s">
        <v>87</v>
      </c>
      <c r="G107" s="371"/>
      <c r="H107" s="371"/>
      <c r="I107" s="375"/>
      <c r="J107" s="375"/>
      <c r="K107" s="72"/>
      <c r="L107" s="72"/>
    </row>
    <row r="108" spans="2:12" ht="15.75" customHeight="1" x14ac:dyDescent="0.25">
      <c r="B108" s="378"/>
      <c r="C108" s="279"/>
      <c r="D108" s="279"/>
      <c r="E108" s="374"/>
      <c r="F108" s="60" t="s">
        <v>182</v>
      </c>
      <c r="G108" s="371"/>
      <c r="H108" s="371"/>
      <c r="I108" s="375"/>
      <c r="J108" s="375"/>
      <c r="K108" s="72"/>
      <c r="L108" s="72"/>
    </row>
    <row r="109" spans="2:12" ht="15.75" customHeight="1" x14ac:dyDescent="0.25">
      <c r="B109" s="376" t="s">
        <v>185</v>
      </c>
      <c r="C109" s="279"/>
      <c r="D109" s="279">
        <v>9</v>
      </c>
      <c r="E109" s="374" t="s">
        <v>105</v>
      </c>
      <c r="F109" s="54" t="s">
        <v>83</v>
      </c>
      <c r="G109" s="371">
        <v>2</v>
      </c>
      <c r="H109" s="371">
        <v>2</v>
      </c>
      <c r="I109" s="477">
        <v>5000000</v>
      </c>
      <c r="J109" s="375">
        <f>I109*H109*G109</f>
        <v>20000000</v>
      </c>
      <c r="K109" s="72"/>
      <c r="L109" s="72"/>
    </row>
    <row r="110" spans="2:12" ht="15.75" customHeight="1" x14ac:dyDescent="0.25">
      <c r="B110" s="377"/>
      <c r="C110" s="279"/>
      <c r="D110" s="279"/>
      <c r="E110" s="374"/>
      <c r="F110" s="55" t="s">
        <v>106</v>
      </c>
      <c r="G110" s="371"/>
      <c r="H110" s="371"/>
      <c r="I110" s="477"/>
      <c r="J110" s="375"/>
      <c r="K110" s="72"/>
      <c r="L110" s="72"/>
    </row>
    <row r="111" spans="2:12" ht="15.75" customHeight="1" x14ac:dyDescent="0.25">
      <c r="B111" s="377"/>
      <c r="C111" s="279"/>
      <c r="D111" s="279"/>
      <c r="E111" s="374"/>
      <c r="F111" s="54" t="s">
        <v>85</v>
      </c>
      <c r="G111" s="371"/>
      <c r="H111" s="371"/>
      <c r="I111" s="477"/>
      <c r="J111" s="375"/>
      <c r="K111" s="72"/>
      <c r="L111" s="72"/>
    </row>
    <row r="112" spans="2:12" ht="15.75" customHeight="1" x14ac:dyDescent="0.25">
      <c r="B112" s="377"/>
      <c r="C112" s="279"/>
      <c r="D112" s="279"/>
      <c r="E112" s="374"/>
      <c r="F112" s="55" t="s">
        <v>97</v>
      </c>
      <c r="G112" s="371"/>
      <c r="H112" s="371"/>
      <c r="I112" s="477"/>
      <c r="J112" s="375"/>
      <c r="K112" s="72"/>
      <c r="L112" s="72"/>
    </row>
    <row r="113" spans="2:12" ht="15.75" customHeight="1" x14ac:dyDescent="0.25">
      <c r="B113" s="377"/>
      <c r="C113" s="279"/>
      <c r="D113" s="279"/>
      <c r="E113" s="374"/>
      <c r="F113" s="57"/>
      <c r="G113" s="371"/>
      <c r="H113" s="371"/>
      <c r="I113" s="477"/>
      <c r="J113" s="375"/>
      <c r="K113" s="72"/>
      <c r="L113" s="72"/>
    </row>
    <row r="114" spans="2:12" ht="15.75" customHeight="1" x14ac:dyDescent="0.25">
      <c r="B114" s="377"/>
      <c r="C114" s="279"/>
      <c r="D114" s="279"/>
      <c r="E114" s="374"/>
      <c r="F114" s="54" t="s">
        <v>87</v>
      </c>
      <c r="G114" s="371"/>
      <c r="H114" s="371"/>
      <c r="I114" s="477"/>
      <c r="J114" s="375"/>
      <c r="K114" s="72"/>
      <c r="L114" s="72"/>
    </row>
    <row r="115" spans="2:12" ht="15.75" customHeight="1" x14ac:dyDescent="0.25">
      <c r="B115" s="378"/>
      <c r="C115" s="279"/>
      <c r="D115" s="279"/>
      <c r="E115" s="374"/>
      <c r="F115" s="59" t="s">
        <v>107</v>
      </c>
      <c r="G115" s="371"/>
      <c r="H115" s="371"/>
      <c r="I115" s="477"/>
      <c r="J115" s="375"/>
      <c r="K115" s="72"/>
      <c r="L115" s="72"/>
    </row>
    <row r="116" spans="2:12" ht="15.75" customHeight="1" x14ac:dyDescent="0.25">
      <c r="B116" s="376" t="s">
        <v>108</v>
      </c>
      <c r="C116" s="279"/>
      <c r="D116" s="279">
        <v>10</v>
      </c>
      <c r="E116" s="374" t="s">
        <v>109</v>
      </c>
      <c r="F116" s="54" t="s">
        <v>83</v>
      </c>
      <c r="G116" s="371">
        <v>4</v>
      </c>
      <c r="H116" s="371">
        <v>6</v>
      </c>
      <c r="I116" s="375">
        <v>5000000</v>
      </c>
      <c r="J116" s="375">
        <f>I116*H116*G116</f>
        <v>120000000</v>
      </c>
      <c r="K116" s="72"/>
      <c r="L116" s="72"/>
    </row>
    <row r="117" spans="2:12" ht="15.75" customHeight="1" x14ac:dyDescent="0.25">
      <c r="B117" s="377"/>
      <c r="C117" s="279"/>
      <c r="D117" s="279"/>
      <c r="E117" s="374"/>
      <c r="F117" s="55" t="s">
        <v>181</v>
      </c>
      <c r="G117" s="371"/>
      <c r="H117" s="371"/>
      <c r="I117" s="375"/>
      <c r="J117" s="375"/>
      <c r="K117" s="72"/>
      <c r="L117" s="72"/>
    </row>
    <row r="118" spans="2:12" ht="15.75" customHeight="1" x14ac:dyDescent="0.25">
      <c r="B118" s="377"/>
      <c r="C118" s="279"/>
      <c r="D118" s="279"/>
      <c r="E118" s="374"/>
      <c r="F118" s="56"/>
      <c r="G118" s="371"/>
      <c r="H118" s="371"/>
      <c r="I118" s="375"/>
      <c r="J118" s="375"/>
      <c r="K118" s="72"/>
      <c r="L118" s="72"/>
    </row>
    <row r="119" spans="2:12" ht="15.75" customHeight="1" x14ac:dyDescent="0.25">
      <c r="B119" s="377"/>
      <c r="C119" s="279"/>
      <c r="D119" s="279"/>
      <c r="E119" s="374"/>
      <c r="F119" s="54" t="s">
        <v>85</v>
      </c>
      <c r="G119" s="371"/>
      <c r="H119" s="371"/>
      <c r="I119" s="375"/>
      <c r="J119" s="375"/>
      <c r="K119" s="72"/>
      <c r="L119" s="72"/>
    </row>
    <row r="120" spans="2:12" ht="15.75" customHeight="1" x14ac:dyDescent="0.25">
      <c r="B120" s="377"/>
      <c r="C120" s="279"/>
      <c r="D120" s="279"/>
      <c r="E120" s="374"/>
      <c r="F120" s="55" t="s">
        <v>97</v>
      </c>
      <c r="G120" s="371"/>
      <c r="H120" s="371"/>
      <c r="I120" s="375"/>
      <c r="J120" s="375"/>
      <c r="K120" s="72"/>
      <c r="L120" s="72"/>
    </row>
    <row r="121" spans="2:12" ht="15.75" customHeight="1" x14ac:dyDescent="0.25">
      <c r="B121" s="377"/>
      <c r="C121" s="279"/>
      <c r="D121" s="279"/>
      <c r="E121" s="374"/>
      <c r="F121" s="57"/>
      <c r="G121" s="371"/>
      <c r="H121" s="371"/>
      <c r="I121" s="375"/>
      <c r="J121" s="375"/>
      <c r="K121" s="72"/>
      <c r="L121" s="72"/>
    </row>
    <row r="122" spans="2:12" ht="15.75" customHeight="1" x14ac:dyDescent="0.25">
      <c r="B122" s="377"/>
      <c r="C122" s="279"/>
      <c r="D122" s="279"/>
      <c r="E122" s="374"/>
      <c r="F122" s="54" t="s">
        <v>87</v>
      </c>
      <c r="G122" s="371"/>
      <c r="H122" s="371"/>
      <c r="I122" s="375"/>
      <c r="J122" s="375"/>
      <c r="K122" s="72"/>
      <c r="L122" s="72"/>
    </row>
    <row r="123" spans="2:12" ht="15.75" customHeight="1" x14ac:dyDescent="0.25">
      <c r="B123" s="378"/>
      <c r="C123" s="279"/>
      <c r="D123" s="279"/>
      <c r="E123" s="374"/>
      <c r="F123" s="59" t="s">
        <v>110</v>
      </c>
      <c r="G123" s="371"/>
      <c r="H123" s="371"/>
      <c r="I123" s="375"/>
      <c r="J123" s="375"/>
      <c r="K123" s="72"/>
      <c r="L123" s="72"/>
    </row>
    <row r="124" spans="2:12" ht="15.75" customHeight="1" x14ac:dyDescent="0.25">
      <c r="B124" s="376" t="s">
        <v>108</v>
      </c>
      <c r="C124" s="279"/>
      <c r="D124" s="279">
        <v>11</v>
      </c>
      <c r="E124" s="374" t="s">
        <v>111</v>
      </c>
      <c r="F124" s="54" t="s">
        <v>83</v>
      </c>
      <c r="G124" s="371">
        <v>4</v>
      </c>
      <c r="H124" s="371">
        <v>6</v>
      </c>
      <c r="I124" s="375">
        <v>5000000</v>
      </c>
      <c r="J124" s="375">
        <f>I124*H124*G124</f>
        <v>120000000</v>
      </c>
      <c r="K124" s="72"/>
      <c r="L124" s="72"/>
    </row>
    <row r="125" spans="2:12" ht="15.75" customHeight="1" x14ac:dyDescent="0.25">
      <c r="B125" s="377"/>
      <c r="C125" s="279"/>
      <c r="D125" s="279"/>
      <c r="E125" s="374"/>
      <c r="F125" s="55" t="s">
        <v>100</v>
      </c>
      <c r="G125" s="371"/>
      <c r="H125" s="371"/>
      <c r="I125" s="375"/>
      <c r="J125" s="375"/>
      <c r="K125" s="72"/>
      <c r="L125" s="72"/>
    </row>
    <row r="126" spans="2:12" ht="15.75" customHeight="1" x14ac:dyDescent="0.25">
      <c r="B126" s="377"/>
      <c r="C126" s="279"/>
      <c r="D126" s="279"/>
      <c r="E126" s="374"/>
      <c r="F126" s="56"/>
      <c r="G126" s="371"/>
      <c r="H126" s="371"/>
      <c r="I126" s="375"/>
      <c r="J126" s="375"/>
      <c r="K126" s="72"/>
      <c r="L126" s="72"/>
    </row>
    <row r="127" spans="2:12" ht="15.75" customHeight="1" x14ac:dyDescent="0.25">
      <c r="B127" s="377"/>
      <c r="C127" s="279"/>
      <c r="D127" s="279"/>
      <c r="E127" s="374"/>
      <c r="F127" s="54" t="s">
        <v>85</v>
      </c>
      <c r="G127" s="371"/>
      <c r="H127" s="371"/>
      <c r="I127" s="375"/>
      <c r="J127" s="375"/>
      <c r="K127" s="72"/>
      <c r="L127" s="72"/>
    </row>
    <row r="128" spans="2:12" ht="15.75" customHeight="1" x14ac:dyDescent="0.25">
      <c r="B128" s="377"/>
      <c r="C128" s="279"/>
      <c r="D128" s="279"/>
      <c r="E128" s="374"/>
      <c r="F128" s="55" t="s">
        <v>97</v>
      </c>
      <c r="G128" s="371"/>
      <c r="H128" s="371"/>
      <c r="I128" s="375"/>
      <c r="J128" s="375"/>
      <c r="K128" s="72"/>
      <c r="L128" s="72"/>
    </row>
    <row r="129" spans="2:12" ht="15.75" customHeight="1" x14ac:dyDescent="0.25">
      <c r="B129" s="377"/>
      <c r="C129" s="279"/>
      <c r="D129" s="279"/>
      <c r="E129" s="374"/>
      <c r="F129" s="57"/>
      <c r="G129" s="371"/>
      <c r="H129" s="371"/>
      <c r="I129" s="375"/>
      <c r="J129" s="375"/>
      <c r="K129" s="73"/>
      <c r="L129" s="72"/>
    </row>
    <row r="130" spans="2:12" ht="15.75" customHeight="1" x14ac:dyDescent="0.25">
      <c r="B130" s="377"/>
      <c r="C130" s="279"/>
      <c r="D130" s="279"/>
      <c r="E130" s="374"/>
      <c r="F130" s="54" t="s">
        <v>87</v>
      </c>
      <c r="G130" s="371"/>
      <c r="H130" s="371"/>
      <c r="I130" s="375"/>
      <c r="J130" s="375"/>
      <c r="K130" s="72"/>
      <c r="L130" s="72"/>
    </row>
    <row r="131" spans="2:12" ht="15.75" customHeight="1" x14ac:dyDescent="0.25">
      <c r="B131" s="377"/>
      <c r="C131" s="295"/>
      <c r="D131" s="295"/>
      <c r="E131" s="376"/>
      <c r="F131" s="61" t="s">
        <v>112</v>
      </c>
      <c r="G131" s="381"/>
      <c r="H131" s="381"/>
      <c r="I131" s="379"/>
      <c r="J131" s="379"/>
      <c r="K131" s="72"/>
      <c r="L131" s="72"/>
    </row>
    <row r="132" spans="2:12" ht="65.25" customHeight="1" x14ac:dyDescent="0.25">
      <c r="B132" s="380" t="s">
        <v>344</v>
      </c>
      <c r="C132" s="380"/>
      <c r="D132" s="380"/>
      <c r="E132" s="380"/>
      <c r="F132" s="380"/>
      <c r="G132" s="380"/>
      <c r="H132" s="380"/>
      <c r="I132" s="380"/>
      <c r="J132" s="380"/>
    </row>
    <row r="134" spans="2:12" ht="20.25" customHeight="1" x14ac:dyDescent="0.25">
      <c r="I134" s="76" t="s">
        <v>114</v>
      </c>
      <c r="J134" s="77">
        <f>SUM(J34:J131)</f>
        <v>631048000</v>
      </c>
    </row>
  </sheetData>
  <mergeCells count="107">
    <mergeCell ref="Q1:U1"/>
    <mergeCell ref="V1:Z1"/>
    <mergeCell ref="AA1:AG1"/>
    <mergeCell ref="B3:B12"/>
    <mergeCell ref="C3:C6"/>
    <mergeCell ref="D3:D6"/>
    <mergeCell ref="E3:E6"/>
    <mergeCell ref="F3:F6"/>
    <mergeCell ref="J3:J6"/>
    <mergeCell ref="K3:K6"/>
    <mergeCell ref="C8:C9"/>
    <mergeCell ref="D8:D9"/>
    <mergeCell ref="E8:E9"/>
    <mergeCell ref="F8:F9"/>
    <mergeCell ref="J8:J9"/>
    <mergeCell ref="A1:K1"/>
    <mergeCell ref="L1:P1"/>
    <mergeCell ref="C10:C12"/>
    <mergeCell ref="D10:D12"/>
    <mergeCell ref="E10:E12"/>
    <mergeCell ref="F10:F12"/>
    <mergeCell ref="J10:J12"/>
    <mergeCell ref="B14:B21"/>
    <mergeCell ref="C14:C21"/>
    <mergeCell ref="D14:D21"/>
    <mergeCell ref="E14:E21"/>
    <mergeCell ref="F14:F21"/>
    <mergeCell ref="D44:D54"/>
    <mergeCell ref="E44:E54"/>
    <mergeCell ref="G44:G54"/>
    <mergeCell ref="H44:H54"/>
    <mergeCell ref="I44:I54"/>
    <mergeCell ref="J44:J54"/>
    <mergeCell ref="J14:J21"/>
    <mergeCell ref="B34:B43"/>
    <mergeCell ref="C34:C131"/>
    <mergeCell ref="D34:D43"/>
    <mergeCell ref="E34:E43"/>
    <mergeCell ref="G34:G43"/>
    <mergeCell ref="H34:H43"/>
    <mergeCell ref="I34:I43"/>
    <mergeCell ref="J34:J43"/>
    <mergeCell ref="B44:B54"/>
    <mergeCell ref="J55:J64"/>
    <mergeCell ref="B65:B72"/>
    <mergeCell ref="D65:D72"/>
    <mergeCell ref="E65:E72"/>
    <mergeCell ref="G65:G72"/>
    <mergeCell ref="H65:H72"/>
    <mergeCell ref="I65:I72"/>
    <mergeCell ref="J65:J72"/>
    <mergeCell ref="B55:B64"/>
    <mergeCell ref="D55:D64"/>
    <mergeCell ref="E55:E64"/>
    <mergeCell ref="G55:G64"/>
    <mergeCell ref="H55:H64"/>
    <mergeCell ref="I55:I64"/>
    <mergeCell ref="J73:J82"/>
    <mergeCell ref="B83:B90"/>
    <mergeCell ref="D83:D90"/>
    <mergeCell ref="E83:E90"/>
    <mergeCell ref="G83:G90"/>
    <mergeCell ref="H83:H90"/>
    <mergeCell ref="I83:I90"/>
    <mergeCell ref="J83:J90"/>
    <mergeCell ref="B73:B82"/>
    <mergeCell ref="D73:D82"/>
    <mergeCell ref="E73:E82"/>
    <mergeCell ref="G73:G82"/>
    <mergeCell ref="H73:H82"/>
    <mergeCell ref="I73:I82"/>
    <mergeCell ref="J91:J100"/>
    <mergeCell ref="B101:B108"/>
    <mergeCell ref="D101:D108"/>
    <mergeCell ref="E101:E108"/>
    <mergeCell ref="G101:G108"/>
    <mergeCell ref="H101:H108"/>
    <mergeCell ref="I101:I108"/>
    <mergeCell ref="J101:J108"/>
    <mergeCell ref="B91:B100"/>
    <mergeCell ref="D91:D100"/>
    <mergeCell ref="E91:E100"/>
    <mergeCell ref="G91:G100"/>
    <mergeCell ref="H91:H100"/>
    <mergeCell ref="I91:I100"/>
    <mergeCell ref="J124:J131"/>
    <mergeCell ref="B132:J132"/>
    <mergeCell ref="B124:B131"/>
    <mergeCell ref="D124:D131"/>
    <mergeCell ref="E124:E131"/>
    <mergeCell ref="G124:G131"/>
    <mergeCell ref="H124:H131"/>
    <mergeCell ref="I124:I131"/>
    <mergeCell ref="J109:J115"/>
    <mergeCell ref="B116:B123"/>
    <mergeCell ref="D116:D123"/>
    <mergeCell ref="E116:E123"/>
    <mergeCell ref="G116:G123"/>
    <mergeCell ref="H116:H123"/>
    <mergeCell ref="I116:I123"/>
    <mergeCell ref="J116:J123"/>
    <mergeCell ref="B109:B115"/>
    <mergeCell ref="D109:D115"/>
    <mergeCell ref="E109:E115"/>
    <mergeCell ref="G109:G115"/>
    <mergeCell ref="H109:H115"/>
    <mergeCell ref="I109:I115"/>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Estudio de mercado ajustado</vt:lpstr>
      <vt:lpstr>Códigos UNSPSC</vt:lpstr>
      <vt:lpstr>Cotización 1</vt:lpstr>
      <vt:lpstr>Cotización 2</vt:lpstr>
      <vt:lpstr>Cotización 3</vt:lpstr>
      <vt:lpstr>Estudio de mercado</vt:lpstr>
      <vt:lpstr>Costo por componente</vt:lpstr>
      <vt:lpstr>OFERTA ECONOMICA</vt:lpstr>
      <vt:lpstr>CRONOGRAMA GENERAL ACTIVIDADES</vt:lpstr>
      <vt:lpstr>Calculo Forma de Pagos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Irma Amparo Gonzalez Sierra</cp:lastModifiedBy>
  <cp:revision/>
  <dcterms:created xsi:type="dcterms:W3CDTF">2023-04-17T02:22:11Z</dcterms:created>
  <dcterms:modified xsi:type="dcterms:W3CDTF">2025-09-23T20:54:46Z</dcterms:modified>
  <cp:category/>
  <cp:contentStatus/>
</cp:coreProperties>
</file>