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docs.live.net/540940430f9901d8/Desktop/Alcaldia Local CB/ALCALDIA 2025/ESTUDIOS DE MERCADO/8. AGOSTO/SUBASTA 6 LOTES/DF 23-09-25/"/>
    </mc:Choice>
  </mc:AlternateContent>
  <xr:revisionPtr revIDLastSave="0" documentId="8_{33E4E382-E08C-4C19-A0EF-A1D41770132F}" xr6:coauthVersionLast="47" xr6:coauthVersionMax="47" xr10:uidLastSave="{00000000-0000-0000-0000-000000000000}"/>
  <bookViews>
    <workbookView xWindow="-120" yWindow="-120" windowWidth="20730" windowHeight="11040" tabRatio="586" xr2:uid="{00000000-000D-0000-FFFF-FFFF00000000}"/>
  </bookViews>
  <sheets>
    <sheet name="LOTE 1 PAPELERIA" sheetId="2" r:id="rId1"/>
    <sheet name="LOTE 2 CONSUMIBLES" sheetId="3" r:id="rId2"/>
    <sheet name="LOTE 3 ELEMENTOS DEPORTIVOS" sheetId="7" r:id="rId3"/>
    <sheet name="LOTE 4 ELEMENTOS CULTURALES" sheetId="6" r:id="rId4"/>
    <sheet name="LOTE 5 ELEMENTOORGANIZA COMUNAL" sheetId="5" r:id="rId5"/>
    <sheet name="Ítems a retirar de la cotizació" sheetId="4" state="hidden" r:id="rId6"/>
  </sheets>
  <definedNames>
    <definedName name="_xlnm._FilterDatabase" localSheetId="0" hidden="1">'LOTE 1 PAPELERIA'!$A$8:$DI$116</definedName>
    <definedName name="_xlnm._FilterDatabase" localSheetId="1" hidden="1">'LOTE 2 CONSUMIBLES'!$A$6:$AF$6</definedName>
    <definedName name="_xlnm._FilterDatabase" localSheetId="2" hidden="1">'LOTE 3 ELEMENTOS DEPORTIVOS'!$A$2:$BF$48</definedName>
    <definedName name="_xlnm._FilterDatabase" localSheetId="3" hidden="1">'LOTE 4 ELEMENTOS CULTURALES'!$ET$6:$EU$129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G71" i="2" l="1"/>
  <c r="DG116" i="2"/>
  <c r="CV71" i="2" l="1"/>
  <c r="CW71" i="2" s="1"/>
  <c r="CU71" i="2"/>
  <c r="CP71" i="2"/>
  <c r="CK71" i="2"/>
  <c r="BF71" i="2"/>
  <c r="CQ71" i="2" l="1"/>
  <c r="CR71" i="2" s="1"/>
  <c r="CL71" i="2"/>
  <c r="CM71" i="2" s="1"/>
  <c r="BG71" i="2"/>
  <c r="BH71" i="2" s="1"/>
  <c r="DB71" i="2" l="1"/>
  <c r="DA71" i="2"/>
  <c r="DC71" i="2"/>
  <c r="ER28" i="6"/>
  <c r="EQ28" i="6"/>
  <c r="EP28" i="6"/>
  <c r="CS28" i="6"/>
  <c r="AE28" i="6"/>
  <c r="M28" i="6"/>
  <c r="AZ25" i="7"/>
  <c r="AY25" i="7"/>
  <c r="AX25" i="7"/>
  <c r="O25" i="7"/>
  <c r="K25" i="7"/>
  <c r="I25" i="7"/>
  <c r="G25" i="7"/>
  <c r="AZ14" i="7"/>
  <c r="AY14" i="7"/>
  <c r="AX14" i="7"/>
  <c r="Q14" i="7"/>
  <c r="O14" i="7"/>
  <c r="K14" i="7"/>
  <c r="I14" i="7"/>
  <c r="G14" i="7"/>
  <c r="BA25" i="7" l="1"/>
  <c r="BA14" i="7"/>
  <c r="BB14" i="7" s="1"/>
  <c r="BC14" i="7" s="1"/>
  <c r="DD71" i="2"/>
  <c r="BB25" i="7"/>
  <c r="ES28" i="6"/>
  <c r="ET28" i="6" s="1"/>
  <c r="EU28" i="6" s="1"/>
  <c r="DF71" i="2" l="1"/>
  <c r="DE71" i="2" s="1"/>
  <c r="DH71" i="2"/>
  <c r="DH116" i="2" s="1"/>
  <c r="BC25" i="7"/>
  <c r="AZ7" i="7"/>
  <c r="AY7" i="7"/>
  <c r="AX7" i="7"/>
  <c r="AM7" i="7"/>
  <c r="O7" i="7"/>
  <c r="K7" i="7"/>
  <c r="I7" i="7"/>
  <c r="G7" i="7"/>
  <c r="AE72" i="6"/>
  <c r="DE72" i="6"/>
  <c r="EP72" i="6"/>
  <c r="EQ72" i="6"/>
  <c r="ER72" i="6"/>
  <c r="ER7" i="6"/>
  <c r="EQ7" i="6"/>
  <c r="EP7" i="6"/>
  <c r="EK7" i="6"/>
  <c r="BU7" i="6"/>
  <c r="BS7" i="6"/>
  <c r="AO7" i="6"/>
  <c r="AM7" i="6"/>
  <c r="G7" i="6"/>
  <c r="ES72" i="6" l="1"/>
  <c r="ET72" i="6" s="1"/>
  <c r="EU72" i="6" s="1"/>
  <c r="BA7" i="7"/>
  <c r="BB7" i="7" s="1"/>
  <c r="ES7" i="6"/>
  <c r="ET7" i="6" s="1"/>
  <c r="EU7" i="6" s="1"/>
  <c r="BC7" i="7" l="1"/>
  <c r="K99" i="6"/>
  <c r="AE99" i="6"/>
  <c r="EP99" i="6"/>
  <c r="EQ99" i="6"/>
  <c r="ER99" i="6"/>
  <c r="ES99" i="6" l="1"/>
  <c r="ET99" i="6" s="1"/>
  <c r="EU99" i="6" s="1"/>
  <c r="ER57" i="6" l="1"/>
  <c r="EQ57" i="6"/>
  <c r="EP57" i="6"/>
  <c r="AE57" i="6"/>
  <c r="ES57" i="6" l="1"/>
  <c r="ET57" i="6" s="1"/>
  <c r="EU57" i="6" s="1"/>
  <c r="ER128" i="6"/>
  <c r="EQ128" i="6"/>
  <c r="EP128" i="6"/>
  <c r="EE128" i="6"/>
  <c r="CS128" i="6"/>
  <c r="ER127" i="6"/>
  <c r="EQ127" i="6"/>
  <c r="EP127" i="6"/>
  <c r="DY127" i="6"/>
  <c r="CS127" i="6"/>
  <c r="ER126" i="6"/>
  <c r="EQ126" i="6"/>
  <c r="EP126" i="6"/>
  <c r="DS126" i="6"/>
  <c r="DQ126" i="6"/>
  <c r="ER125" i="6"/>
  <c r="EQ125" i="6"/>
  <c r="EP125" i="6"/>
  <c r="DY125" i="6"/>
  <c r="CS125" i="6"/>
  <c r="ER124" i="6"/>
  <c r="EQ124" i="6"/>
  <c r="EP124" i="6"/>
  <c r="EC124" i="6"/>
  <c r="DY124" i="6"/>
  <c r="DS124" i="6"/>
  <c r="DQ124" i="6"/>
  <c r="ER123" i="6"/>
  <c r="EQ123" i="6"/>
  <c r="EP123" i="6"/>
  <c r="DW123" i="6"/>
  <c r="DU123" i="6"/>
  <c r="ER122" i="6"/>
  <c r="EQ122" i="6"/>
  <c r="EP122" i="6"/>
  <c r="EA122" i="6"/>
  <c r="DY122" i="6"/>
  <c r="ER121" i="6"/>
  <c r="EQ121" i="6"/>
  <c r="EP121" i="6"/>
  <c r="EA121" i="6"/>
  <c r="DY121" i="6"/>
  <c r="ER120" i="6"/>
  <c r="EQ120" i="6"/>
  <c r="EP120" i="6"/>
  <c r="EA120" i="6"/>
  <c r="DY120" i="6"/>
  <c r="ER119" i="6"/>
  <c r="EQ119" i="6"/>
  <c r="EP119" i="6"/>
  <c r="EA119" i="6"/>
  <c r="DY119" i="6"/>
  <c r="ER118" i="6"/>
  <c r="EQ118" i="6"/>
  <c r="EP118" i="6"/>
  <c r="BO118" i="6"/>
  <c r="AE118" i="6"/>
  <c r="S118" i="6"/>
  <c r="ER117" i="6"/>
  <c r="EQ117" i="6"/>
  <c r="EP117" i="6"/>
  <c r="DG117" i="6"/>
  <c r="DA117" i="6"/>
  <c r="AE117" i="6"/>
  <c r="AA117" i="6"/>
  <c r="ER116" i="6"/>
  <c r="EQ116" i="6"/>
  <c r="EP116" i="6"/>
  <c r="AE116" i="6"/>
  <c r="AC116" i="6"/>
  <c r="M116" i="6"/>
  <c r="ER115" i="6"/>
  <c r="EQ115" i="6"/>
  <c r="EP115" i="6"/>
  <c r="DW115" i="6"/>
  <c r="DU115" i="6"/>
  <c r="AE115" i="6"/>
  <c r="AA115" i="6"/>
  <c r="S115" i="6"/>
  <c r="BI114" i="6"/>
  <c r="AY114" i="6"/>
  <c r="AE114" i="6"/>
  <c r="Z114" i="6"/>
  <c r="ER114" i="6" s="1"/>
  <c r="S114" i="6"/>
  <c r="ER113" i="6"/>
  <c r="EQ113" i="6"/>
  <c r="EP113" i="6"/>
  <c r="AE113" i="6"/>
  <c r="AC113" i="6"/>
  <c r="ER112" i="6"/>
  <c r="EQ112" i="6"/>
  <c r="EP112" i="6"/>
  <c r="AE112" i="6"/>
  <c r="ER111" i="6"/>
  <c r="EQ111" i="6"/>
  <c r="EP111" i="6"/>
  <c r="AE111" i="6"/>
  <c r="AA111" i="6"/>
  <c r="M111" i="6"/>
  <c r="ER71" i="6"/>
  <c r="EQ71" i="6"/>
  <c r="EP71" i="6"/>
  <c r="DO71" i="6"/>
  <c r="AE71" i="6"/>
  <c r="ER9" i="6"/>
  <c r="EQ9" i="6"/>
  <c r="EP9" i="6"/>
  <c r="EI9" i="6"/>
  <c r="AW9" i="6"/>
  <c r="ER24" i="6"/>
  <c r="EQ24" i="6"/>
  <c r="EP24" i="6"/>
  <c r="CS24" i="6"/>
  <c r="AE24" i="6"/>
  <c r="ER110" i="6"/>
  <c r="EQ110" i="6"/>
  <c r="EP110" i="6"/>
  <c r="AE110" i="6"/>
  <c r="AC110" i="6"/>
  <c r="AA110" i="6"/>
  <c r="ER109" i="6"/>
  <c r="EQ109" i="6"/>
  <c r="EP109" i="6"/>
  <c r="AE109" i="6"/>
  <c r="ER108" i="6"/>
  <c r="EQ108" i="6"/>
  <c r="EP108" i="6"/>
  <c r="AE108" i="6"/>
  <c r="ER107" i="6"/>
  <c r="EQ107" i="6"/>
  <c r="EP107" i="6"/>
  <c r="AE107" i="6"/>
  <c r="ER106" i="6"/>
  <c r="EQ106" i="6"/>
  <c r="EP106" i="6"/>
  <c r="AE106" i="6"/>
  <c r="AC106" i="6"/>
  <c r="ER105" i="6"/>
  <c r="EQ105" i="6"/>
  <c r="EP105" i="6"/>
  <c r="AE105" i="6"/>
  <c r="AC105" i="6"/>
  <c r="AA105" i="6"/>
  <c r="ER104" i="6"/>
  <c r="EQ104" i="6"/>
  <c r="EP104" i="6"/>
  <c r="CS104" i="6"/>
  <c r="AE104" i="6"/>
  <c r="AA104" i="6"/>
  <c r="K104" i="6"/>
  <c r="ER103" i="6"/>
  <c r="EQ103" i="6"/>
  <c r="EP103" i="6"/>
  <c r="EG103" i="6"/>
  <c r="CS103" i="6"/>
  <c r="AE103" i="6"/>
  <c r="ER102" i="6"/>
  <c r="EQ102" i="6"/>
  <c r="EP102" i="6"/>
  <c r="AE102" i="6"/>
  <c r="ER101" i="6"/>
  <c r="EQ101" i="6"/>
  <c r="EP101" i="6"/>
  <c r="CS101" i="6"/>
  <c r="AE101" i="6"/>
  <c r="ER100" i="6"/>
  <c r="EQ100" i="6"/>
  <c r="EP100" i="6"/>
  <c r="AE100" i="6"/>
  <c r="K100" i="6"/>
  <c r="I100" i="6"/>
  <c r="ER98" i="6"/>
  <c r="EQ98" i="6"/>
  <c r="EP98" i="6"/>
  <c r="AE98" i="6"/>
  <c r="K98" i="6"/>
  <c r="ER97" i="6"/>
  <c r="EQ97" i="6"/>
  <c r="EP97" i="6"/>
  <c r="AE97" i="6"/>
  <c r="K97" i="6"/>
  <c r="ER96" i="6"/>
  <c r="EQ96" i="6"/>
  <c r="EP96" i="6"/>
  <c r="CS96" i="6"/>
  <c r="AE96" i="6"/>
  <c r="K96" i="6"/>
  <c r="ER95" i="6"/>
  <c r="EQ95" i="6"/>
  <c r="EP95" i="6"/>
  <c r="CS95" i="6"/>
  <c r="AE95" i="6"/>
  <c r="K95" i="6"/>
  <c r="ER94" i="6"/>
  <c r="EQ94" i="6"/>
  <c r="EP94" i="6"/>
  <c r="CS94" i="6"/>
  <c r="BW94" i="6"/>
  <c r="AE94" i="6"/>
  <c r="K94" i="6"/>
  <c r="ER93" i="6"/>
  <c r="EQ93" i="6"/>
  <c r="EP93" i="6"/>
  <c r="AE93" i="6"/>
  <c r="K93" i="6"/>
  <c r="ER92" i="6"/>
  <c r="EQ92" i="6"/>
  <c r="EP92" i="6"/>
  <c r="CS92" i="6"/>
  <c r="AE92" i="6"/>
  <c r="M92" i="6"/>
  <c r="ER91" i="6"/>
  <c r="EQ91" i="6"/>
  <c r="EP91" i="6"/>
  <c r="AE91" i="6"/>
  <c r="M91" i="6"/>
  <c r="ER90" i="6"/>
  <c r="EQ90" i="6"/>
  <c r="EP90" i="6"/>
  <c r="AE90" i="6"/>
  <c r="M90" i="6"/>
  <c r="ER89" i="6"/>
  <c r="EQ89" i="6"/>
  <c r="EP89" i="6"/>
  <c r="CS89" i="6"/>
  <c r="AE89" i="6"/>
  <c r="M89" i="6"/>
  <c r="ER88" i="6"/>
  <c r="EQ88" i="6"/>
  <c r="EP88" i="6"/>
  <c r="AE88" i="6"/>
  <c r="M88" i="6"/>
  <c r="ER87" i="6"/>
  <c r="EQ87" i="6"/>
  <c r="EP87" i="6"/>
  <c r="DG87" i="6"/>
  <c r="DA87" i="6"/>
  <c r="M87" i="6"/>
  <c r="ER86" i="6"/>
  <c r="EQ86" i="6"/>
  <c r="EP86" i="6"/>
  <c r="DG86" i="6"/>
  <c r="DA86" i="6"/>
  <c r="CU86" i="6"/>
  <c r="M86" i="6"/>
  <c r="ER85" i="6"/>
  <c r="EQ85" i="6"/>
  <c r="EP85" i="6"/>
  <c r="DG85" i="6"/>
  <c r="DA85" i="6"/>
  <c r="CU85" i="6"/>
  <c r="M85" i="6"/>
  <c r="ER84" i="6"/>
  <c r="EQ84" i="6"/>
  <c r="EP84" i="6"/>
  <c r="AE84" i="6"/>
  <c r="M84" i="6"/>
  <c r="ER83" i="6"/>
  <c r="EQ83" i="6"/>
  <c r="EP83" i="6"/>
  <c r="CS83" i="6"/>
  <c r="AE83" i="6"/>
  <c r="M83" i="6"/>
  <c r="ER82" i="6"/>
  <c r="EQ82" i="6"/>
  <c r="EP82" i="6"/>
  <c r="CS82" i="6"/>
  <c r="AE82" i="6"/>
  <c r="M82" i="6"/>
  <c r="ER81" i="6"/>
  <c r="EQ81" i="6"/>
  <c r="EP81" i="6"/>
  <c r="CW81" i="6"/>
  <c r="CS81" i="6"/>
  <c r="AE81" i="6"/>
  <c r="ER80" i="6"/>
  <c r="EQ80" i="6"/>
  <c r="EP80" i="6"/>
  <c r="CS80" i="6"/>
  <c r="AE80" i="6"/>
  <c r="ER79" i="6"/>
  <c r="EQ79" i="6"/>
  <c r="EP79" i="6"/>
  <c r="CS79" i="6"/>
  <c r="AE79" i="6"/>
  <c r="ER78" i="6"/>
  <c r="EQ78" i="6"/>
  <c r="EP78" i="6"/>
  <c r="CS78" i="6"/>
  <c r="AE78" i="6"/>
  <c r="M78" i="6"/>
  <c r="ER77" i="6"/>
  <c r="EQ77" i="6"/>
  <c r="EP77" i="6"/>
  <c r="CS77" i="6"/>
  <c r="AE77" i="6"/>
  <c r="M77" i="6"/>
  <c r="ER76" i="6"/>
  <c r="EQ76" i="6"/>
  <c r="EP76" i="6"/>
  <c r="CS76" i="6"/>
  <c r="AE76" i="6"/>
  <c r="M76" i="6"/>
  <c r="ER75" i="6"/>
  <c r="EQ75" i="6"/>
  <c r="EP75" i="6"/>
  <c r="CS75" i="6"/>
  <c r="AE75" i="6"/>
  <c r="M75" i="6"/>
  <c r="ER74" i="6"/>
  <c r="EQ74" i="6"/>
  <c r="EP74" i="6"/>
  <c r="CS74" i="6"/>
  <c r="AE74" i="6"/>
  <c r="M74" i="6"/>
  <c r="ER73" i="6"/>
  <c r="EQ73" i="6"/>
  <c r="EP73" i="6"/>
  <c r="ER70" i="6"/>
  <c r="EQ70" i="6"/>
  <c r="EP70" i="6"/>
  <c r="CS70" i="6"/>
  <c r="AE70" i="6"/>
  <c r="ER69" i="6"/>
  <c r="EQ69" i="6"/>
  <c r="EP69" i="6"/>
  <c r="EK69" i="6"/>
  <c r="AE69" i="6"/>
  <c r="ER68" i="6"/>
  <c r="EQ68" i="6"/>
  <c r="EP68" i="6"/>
  <c r="CS68" i="6"/>
  <c r="AE68" i="6"/>
  <c r="ER67" i="6"/>
  <c r="EQ67" i="6"/>
  <c r="EP67" i="6"/>
  <c r="AE67" i="6"/>
  <c r="ER66" i="6"/>
  <c r="EQ66" i="6"/>
  <c r="EP66" i="6"/>
  <c r="CS66" i="6"/>
  <c r="AE66" i="6"/>
  <c r="ER65" i="6"/>
  <c r="EQ65" i="6"/>
  <c r="EP65" i="6"/>
  <c r="AE65" i="6"/>
  <c r="ER64" i="6"/>
  <c r="EQ64" i="6"/>
  <c r="EP64" i="6"/>
  <c r="CS64" i="6"/>
  <c r="AE64" i="6"/>
  <c r="ER63" i="6"/>
  <c r="EQ63" i="6"/>
  <c r="EP63" i="6"/>
  <c r="DM63" i="6"/>
  <c r="DK63" i="6"/>
  <c r="AE63" i="6"/>
  <c r="ER62" i="6"/>
  <c r="EQ62" i="6"/>
  <c r="EP62" i="6"/>
  <c r="CS62" i="6"/>
  <c r="AE62" i="6"/>
  <c r="ER61" i="6"/>
  <c r="EQ61" i="6"/>
  <c r="EP61" i="6"/>
  <c r="CE61" i="6"/>
  <c r="CC61" i="6"/>
  <c r="AE61" i="6"/>
  <c r="ER60" i="6"/>
  <c r="EQ60" i="6"/>
  <c r="EP60" i="6"/>
  <c r="EG60" i="6"/>
  <c r="CE60" i="6"/>
  <c r="CC60" i="6"/>
  <c r="AE60" i="6"/>
  <c r="ER59" i="6"/>
  <c r="EQ59" i="6"/>
  <c r="EP59" i="6"/>
  <c r="CE59" i="6"/>
  <c r="CC59" i="6"/>
  <c r="AE59" i="6"/>
  <c r="ER58" i="6"/>
  <c r="EQ58" i="6"/>
  <c r="EP58" i="6"/>
  <c r="CS58" i="6"/>
  <c r="AE58" i="6"/>
  <c r="ER56" i="6"/>
  <c r="EQ56" i="6"/>
  <c r="EP56" i="6"/>
  <c r="AE56" i="6"/>
  <c r="ER55" i="6"/>
  <c r="EQ55" i="6"/>
  <c r="EP55" i="6"/>
  <c r="AE55" i="6"/>
  <c r="ER54" i="6"/>
  <c r="EQ54" i="6"/>
  <c r="EP54" i="6"/>
  <c r="AE54" i="6"/>
  <c r="ER53" i="6"/>
  <c r="EQ53" i="6"/>
  <c r="EP53" i="6"/>
  <c r="EG53" i="6"/>
  <c r="CE53" i="6"/>
  <c r="CC53" i="6"/>
  <c r="AE53" i="6"/>
  <c r="ER52" i="6"/>
  <c r="EQ52" i="6"/>
  <c r="EP52" i="6"/>
  <c r="AG52" i="6"/>
  <c r="AE52" i="6"/>
  <c r="U52" i="6"/>
  <c r="ER51" i="6"/>
  <c r="EQ51" i="6"/>
  <c r="EP51" i="6"/>
  <c r="AG51" i="6"/>
  <c r="AE51" i="6"/>
  <c r="U51" i="6"/>
  <c r="AP50" i="6"/>
  <c r="ER50" i="6" s="1"/>
  <c r="AG50" i="6"/>
  <c r="AE50" i="6"/>
  <c r="U50" i="6"/>
  <c r="ER49" i="6"/>
  <c r="EQ49" i="6"/>
  <c r="EP49" i="6"/>
  <c r="AG49" i="6"/>
  <c r="AE49" i="6"/>
  <c r="U49" i="6"/>
  <c r="ER48" i="6"/>
  <c r="EQ48" i="6"/>
  <c r="EP48" i="6"/>
  <c r="AG48" i="6"/>
  <c r="AE48" i="6"/>
  <c r="U48" i="6"/>
  <c r="ER47" i="6"/>
  <c r="EQ47" i="6"/>
  <c r="EP47" i="6"/>
  <c r="AG47" i="6"/>
  <c r="AE47" i="6"/>
  <c r="U47" i="6"/>
  <c r="ER46" i="6"/>
  <c r="EQ46" i="6"/>
  <c r="EP46" i="6"/>
  <c r="AG46" i="6"/>
  <c r="AE46" i="6"/>
  <c r="U46" i="6"/>
  <c r="ER45" i="6"/>
  <c r="EQ45" i="6"/>
  <c r="EP45" i="6"/>
  <c r="AG45" i="6"/>
  <c r="AE45" i="6"/>
  <c r="U45" i="6"/>
  <c r="ER44" i="6"/>
  <c r="EQ44" i="6"/>
  <c r="EP44" i="6"/>
  <c r="AG44" i="6"/>
  <c r="AE44" i="6"/>
  <c r="U44" i="6"/>
  <c r="ER43" i="6"/>
  <c r="EQ43" i="6"/>
  <c r="EP43" i="6"/>
  <c r="AG43" i="6"/>
  <c r="AE43" i="6"/>
  <c r="U43" i="6"/>
  <c r="ER42" i="6"/>
  <c r="EQ42" i="6"/>
  <c r="EP42" i="6"/>
  <c r="EO42" i="6"/>
  <c r="EM42" i="6"/>
  <c r="CW41" i="6"/>
  <c r="CU41" i="6"/>
  <c r="AE41" i="6"/>
  <c r="L41" i="6"/>
  <c r="M41" i="6" s="1"/>
  <c r="ER40" i="6"/>
  <c r="EQ40" i="6"/>
  <c r="EP40" i="6"/>
  <c r="BQ40" i="6"/>
  <c r="W40" i="6"/>
  <c r="ER39" i="6"/>
  <c r="EQ39" i="6"/>
  <c r="EP39" i="6"/>
  <c r="CM39" i="6"/>
  <c r="CI39" i="6"/>
  <c r="BM39" i="6"/>
  <c r="BK39" i="6"/>
  <c r="BI39" i="6"/>
  <c r="AE39" i="6"/>
  <c r="ER38" i="6"/>
  <c r="EQ38" i="6"/>
  <c r="EP38" i="6"/>
  <c r="CQ38" i="6"/>
  <c r="CK38" i="6"/>
  <c r="BI38" i="6"/>
  <c r="ER37" i="6"/>
  <c r="EQ37" i="6"/>
  <c r="EP37" i="6"/>
  <c r="CO37" i="6"/>
  <c r="CA37" i="6"/>
  <c r="BI37" i="6"/>
  <c r="AE37" i="6"/>
  <c r="ER36" i="6"/>
  <c r="EQ36" i="6"/>
  <c r="EP36" i="6"/>
  <c r="CG36" i="6"/>
  <c r="BY36" i="6"/>
  <c r="AE36" i="6"/>
  <c r="ER35" i="6"/>
  <c r="EQ35" i="6"/>
  <c r="EP35" i="6"/>
  <c r="DE35" i="6"/>
  <c r="DC35" i="6"/>
  <c r="DA35" i="6"/>
  <c r="ER34" i="6"/>
  <c r="EQ34" i="6"/>
  <c r="EP34" i="6"/>
  <c r="CE34" i="6"/>
  <c r="CC34" i="6"/>
  <c r="AE34" i="6"/>
  <c r="ER33" i="6"/>
  <c r="EQ33" i="6"/>
  <c r="EP33" i="6"/>
  <c r="EK33" i="6"/>
  <c r="CS33" i="6"/>
  <c r="AE33" i="6"/>
  <c r="G33" i="6"/>
  <c r="ER32" i="6"/>
  <c r="EQ32" i="6"/>
  <c r="EP32" i="6"/>
  <c r="EK32" i="6"/>
  <c r="AK32" i="6"/>
  <c r="AE32" i="6"/>
  <c r="Y32" i="6"/>
  <c r="W32" i="6"/>
  <c r="ER31" i="6"/>
  <c r="EQ31" i="6"/>
  <c r="EP31" i="6"/>
  <c r="EK31" i="6"/>
  <c r="BU31" i="6"/>
  <c r="AO31" i="6"/>
  <c r="AM31" i="6"/>
  <c r="AK31" i="6"/>
  <c r="AE31" i="6"/>
  <c r="Y31" i="6"/>
  <c r="W31" i="6"/>
  <c r="EK30" i="6"/>
  <c r="AE30" i="6"/>
  <c r="X30" i="6"/>
  <c r="Y30" i="6" s="1"/>
  <c r="V30" i="6"/>
  <c r="W30" i="6" s="1"/>
  <c r="ER29" i="6"/>
  <c r="EQ29" i="6"/>
  <c r="EP29" i="6"/>
  <c r="EK29" i="6"/>
  <c r="AE29" i="6"/>
  <c r="Y29" i="6"/>
  <c r="W29" i="6"/>
  <c r="G29" i="6"/>
  <c r="EK27" i="6"/>
  <c r="CT27" i="6"/>
  <c r="EQ27" i="6" s="1"/>
  <c r="AK27" i="6"/>
  <c r="AE27" i="6"/>
  <c r="Y27" i="6"/>
  <c r="W27" i="6"/>
  <c r="ER26" i="6"/>
  <c r="EQ26" i="6"/>
  <c r="EP26" i="6"/>
  <c r="BU26" i="6"/>
  <c r="AK26" i="6"/>
  <c r="AE26" i="6"/>
  <c r="Y26" i="6"/>
  <c r="W26" i="6"/>
  <c r="ER25" i="6"/>
  <c r="EQ25" i="6"/>
  <c r="EP25" i="6"/>
  <c r="EK25" i="6"/>
  <c r="CW25" i="6"/>
  <c r="CS25" i="6"/>
  <c r="AK25" i="6"/>
  <c r="AE25" i="6"/>
  <c r="Y25" i="6"/>
  <c r="ER23" i="6"/>
  <c r="EQ23" i="6"/>
  <c r="EP23" i="6"/>
  <c r="DI23" i="6"/>
  <c r="AE23" i="6"/>
  <c r="CT22" i="6"/>
  <c r="EQ22" i="6" s="1"/>
  <c r="CS22" i="6"/>
  <c r="AE22" i="6"/>
  <c r="ER21" i="6"/>
  <c r="EQ21" i="6"/>
  <c r="EP21" i="6"/>
  <c r="CY21" i="6"/>
  <c r="CW21" i="6"/>
  <c r="AE21" i="6"/>
  <c r="M21" i="6"/>
  <c r="ER20" i="6"/>
  <c r="EQ20" i="6"/>
  <c r="EP20" i="6"/>
  <c r="CY20" i="6"/>
  <c r="CU20" i="6"/>
  <c r="AE20" i="6"/>
  <c r="M20" i="6"/>
  <c r="ER19" i="6"/>
  <c r="EQ19" i="6"/>
  <c r="EP19" i="6"/>
  <c r="AW19" i="6"/>
  <c r="AI19" i="6"/>
  <c r="AE19" i="6"/>
  <c r="ER18" i="6"/>
  <c r="EQ18" i="6"/>
  <c r="EP18" i="6"/>
  <c r="AW18" i="6"/>
  <c r="AI18" i="6"/>
  <c r="AE18" i="6"/>
  <c r="ER17" i="6"/>
  <c r="EQ17" i="6"/>
  <c r="EP17" i="6"/>
  <c r="AI17" i="6"/>
  <c r="AE17" i="6"/>
  <c r="ER16" i="6"/>
  <c r="EQ16" i="6"/>
  <c r="EP16" i="6"/>
  <c r="AI16" i="6"/>
  <c r="AE16" i="6"/>
  <c r="ER15" i="6"/>
  <c r="EQ15" i="6"/>
  <c r="EP15" i="6"/>
  <c r="AV15" i="6"/>
  <c r="AW15" i="6" s="1"/>
  <c r="AI15" i="6"/>
  <c r="AE15" i="6"/>
  <c r="ER14" i="6"/>
  <c r="EQ14" i="6"/>
  <c r="EP14" i="6"/>
  <c r="AW14" i="6"/>
  <c r="AH14" i="6"/>
  <c r="AI14" i="6" s="1"/>
  <c r="AE14" i="6"/>
  <c r="ER13" i="6"/>
  <c r="EQ13" i="6"/>
  <c r="EP13" i="6"/>
  <c r="AW13" i="6"/>
  <c r="AI13" i="6"/>
  <c r="AE13" i="6"/>
  <c r="ER12" i="6"/>
  <c r="EQ12" i="6"/>
  <c r="EP12" i="6"/>
  <c r="AW12" i="6"/>
  <c r="AI12" i="6"/>
  <c r="AE12" i="6"/>
  <c r="ER11" i="6"/>
  <c r="EQ11" i="6"/>
  <c r="EP11" i="6"/>
  <c r="AW11" i="6"/>
  <c r="AI11" i="6"/>
  <c r="AE11" i="6"/>
  <c r="ER10" i="6"/>
  <c r="EQ10" i="6"/>
  <c r="EP10" i="6"/>
  <c r="EI10" i="6"/>
  <c r="AW10" i="6"/>
  <c r="ER8" i="6"/>
  <c r="EQ8" i="6"/>
  <c r="EP8" i="6"/>
  <c r="EI8" i="6"/>
  <c r="AW8" i="6"/>
  <c r="AZ47" i="7"/>
  <c r="AY47" i="7"/>
  <c r="AX47" i="7"/>
  <c r="AW47" i="7"/>
  <c r="AK47" i="7"/>
  <c r="AZ46" i="7"/>
  <c r="AY46" i="7"/>
  <c r="AX46" i="7"/>
  <c r="AW46" i="7"/>
  <c r="AK46" i="7"/>
  <c r="AZ45" i="7"/>
  <c r="AY45" i="7"/>
  <c r="AX45" i="7"/>
  <c r="AW45" i="7"/>
  <c r="AK45" i="7"/>
  <c r="AZ44" i="7"/>
  <c r="AY44" i="7"/>
  <c r="AX44" i="7"/>
  <c r="AW44" i="7"/>
  <c r="AK44" i="7"/>
  <c r="AZ43" i="7"/>
  <c r="AY43" i="7"/>
  <c r="AX43" i="7"/>
  <c r="AW43" i="7"/>
  <c r="O43" i="7"/>
  <c r="K43" i="7"/>
  <c r="I43" i="7"/>
  <c r="G43" i="7"/>
  <c r="AZ42" i="7"/>
  <c r="AY42" i="7"/>
  <c r="AX42" i="7"/>
  <c r="Y42" i="7"/>
  <c r="W42" i="7"/>
  <c r="O42" i="7"/>
  <c r="I42" i="7"/>
  <c r="G42" i="7"/>
  <c r="AZ41" i="7"/>
  <c r="AY41" i="7"/>
  <c r="AX41" i="7"/>
  <c r="AE41" i="7"/>
  <c r="AC41" i="7"/>
  <c r="S41" i="7"/>
  <c r="Q41" i="7"/>
  <c r="K41" i="7"/>
  <c r="AZ40" i="7"/>
  <c r="AY40" i="7"/>
  <c r="AX40" i="7"/>
  <c r="AE40" i="7"/>
  <c r="AC40" i="7"/>
  <c r="O40" i="7"/>
  <c r="M40" i="7"/>
  <c r="K40" i="7"/>
  <c r="AZ39" i="7"/>
  <c r="AY39" i="7"/>
  <c r="AX39" i="7"/>
  <c r="AI39" i="7"/>
  <c r="AE39" i="7"/>
  <c r="AC39" i="7"/>
  <c r="W39" i="7"/>
  <c r="O39" i="7"/>
  <c r="AZ38" i="7"/>
  <c r="AY38" i="7"/>
  <c r="AX38" i="7"/>
  <c r="AI38" i="7"/>
  <c r="AE38" i="7"/>
  <c r="AC38" i="7"/>
  <c r="O38" i="7"/>
  <c r="K38" i="7"/>
  <c r="AZ35" i="7"/>
  <c r="AY35" i="7"/>
  <c r="AX35" i="7"/>
  <c r="AC35" i="7"/>
  <c r="AA35" i="7"/>
  <c r="O35" i="7"/>
  <c r="I35" i="7"/>
  <c r="G35" i="7"/>
  <c r="AZ34" i="7"/>
  <c r="AY34" i="7"/>
  <c r="AX34" i="7"/>
  <c r="W34" i="7"/>
  <c r="O34" i="7"/>
  <c r="I34" i="7"/>
  <c r="G34" i="7"/>
  <c r="AZ33" i="7"/>
  <c r="AY33" i="7"/>
  <c r="AX33" i="7"/>
  <c r="O33" i="7"/>
  <c r="M33" i="7"/>
  <c r="I33" i="7"/>
  <c r="G33" i="7"/>
  <c r="AZ32" i="7"/>
  <c r="AY32" i="7"/>
  <c r="AX32" i="7"/>
  <c r="AG32" i="7"/>
  <c r="O32" i="7"/>
  <c r="I32" i="7"/>
  <c r="AZ31" i="7"/>
  <c r="AY31" i="7"/>
  <c r="AX31" i="7"/>
  <c r="O31" i="7"/>
  <c r="K31" i="7"/>
  <c r="I31" i="7"/>
  <c r="AZ30" i="7"/>
  <c r="AY30" i="7"/>
  <c r="AX30" i="7"/>
  <c r="AW30" i="7"/>
  <c r="AS30" i="7"/>
  <c r="AK30" i="7"/>
  <c r="AG30" i="7"/>
  <c r="AZ26" i="7"/>
  <c r="AY26" i="7"/>
  <c r="AX26" i="7"/>
  <c r="AW26" i="7"/>
  <c r="AO26" i="7"/>
  <c r="AK26" i="7"/>
  <c r="AZ18" i="7"/>
  <c r="AY18" i="7"/>
  <c r="AX18" i="7"/>
  <c r="O18" i="7"/>
  <c r="M18" i="7"/>
  <c r="K18" i="7"/>
  <c r="I18" i="7"/>
  <c r="G18" i="7"/>
  <c r="AZ17" i="7"/>
  <c r="AY17" i="7"/>
  <c r="AX17" i="7"/>
  <c r="O17" i="7"/>
  <c r="K17" i="7"/>
  <c r="I17" i="7"/>
  <c r="G17" i="7"/>
  <c r="AZ16" i="7"/>
  <c r="AY16" i="7"/>
  <c r="AX16" i="7"/>
  <c r="AW16" i="7"/>
  <c r="AK16" i="7"/>
  <c r="AG16" i="7"/>
  <c r="W16" i="7"/>
  <c r="AZ15" i="7"/>
  <c r="AY15" i="7"/>
  <c r="AX15" i="7"/>
  <c r="O15" i="7"/>
  <c r="K15" i="7"/>
  <c r="I15" i="7"/>
  <c r="G15" i="7"/>
  <c r="AZ13" i="7"/>
  <c r="AY13" i="7"/>
  <c r="AX13" i="7"/>
  <c r="O13" i="7"/>
  <c r="M13" i="7"/>
  <c r="K13" i="7"/>
  <c r="I13" i="7"/>
  <c r="G13" i="7"/>
  <c r="ES23" i="6" l="1"/>
  <c r="ET23" i="6" s="1"/>
  <c r="EU23" i="6" s="1"/>
  <c r="ES112" i="6"/>
  <c r="ET112" i="6" s="1"/>
  <c r="EU112" i="6" s="1"/>
  <c r="ES121" i="6"/>
  <c r="ET121" i="6" s="1"/>
  <c r="EU121" i="6" s="1"/>
  <c r="ES113" i="6"/>
  <c r="ET113" i="6" s="1"/>
  <c r="EU113" i="6" s="1"/>
  <c r="ES128" i="6"/>
  <c r="ET128" i="6" s="1"/>
  <c r="EU128" i="6" s="1"/>
  <c r="ES115" i="6"/>
  <c r="ET115" i="6" s="1"/>
  <c r="EU115" i="6" s="1"/>
  <c r="ES119" i="6"/>
  <c r="ET119" i="6" s="1"/>
  <c r="EU119" i="6" s="1"/>
  <c r="ES111" i="6"/>
  <c r="ET111" i="6" s="1"/>
  <c r="EU111" i="6" s="1"/>
  <c r="ES117" i="6"/>
  <c r="ET117" i="6" s="1"/>
  <c r="EU117" i="6" s="1"/>
  <c r="ES126" i="6"/>
  <c r="ET126" i="6" s="1"/>
  <c r="EU126" i="6" s="1"/>
  <c r="ES122" i="6"/>
  <c r="ET122" i="6" s="1"/>
  <c r="EU122" i="6" s="1"/>
  <c r="ES124" i="6"/>
  <c r="ET124" i="6" s="1"/>
  <c r="EU124" i="6" s="1"/>
  <c r="ES120" i="6"/>
  <c r="ET120" i="6" s="1"/>
  <c r="EU120" i="6" s="1"/>
  <c r="ES116" i="6"/>
  <c r="ET116" i="6" s="1"/>
  <c r="EU116" i="6" s="1"/>
  <c r="ES127" i="6"/>
  <c r="ET127" i="6" s="1"/>
  <c r="EU127" i="6" s="1"/>
  <c r="ES118" i="6"/>
  <c r="ET118" i="6" s="1"/>
  <c r="EU118" i="6" s="1"/>
  <c r="ES123" i="6"/>
  <c r="ET123" i="6" s="1"/>
  <c r="EU123" i="6" s="1"/>
  <c r="ES125" i="6"/>
  <c r="ET125" i="6" s="1"/>
  <c r="EU125" i="6" s="1"/>
  <c r="EP114" i="6"/>
  <c r="EQ114" i="6"/>
  <c r="ES114" i="6" s="1"/>
  <c r="ES71" i="6"/>
  <c r="ET71" i="6" s="1"/>
  <c r="EU71" i="6" s="1"/>
  <c r="AA114" i="6"/>
  <c r="ES9" i="6"/>
  <c r="ET9" i="6" s="1"/>
  <c r="EU9" i="6" s="1"/>
  <c r="ES24" i="6"/>
  <c r="ET24" i="6" s="1"/>
  <c r="EU24" i="6" s="1"/>
  <c r="ES101" i="6"/>
  <c r="ET101" i="6" s="1"/>
  <c r="EU101" i="6" s="1"/>
  <c r="ES108" i="6"/>
  <c r="ET108" i="6" s="1"/>
  <c r="EU108" i="6" s="1"/>
  <c r="ES109" i="6"/>
  <c r="ET109" i="6" s="1"/>
  <c r="EU109" i="6" s="1"/>
  <c r="ES103" i="6"/>
  <c r="ET103" i="6" s="1"/>
  <c r="EU103" i="6" s="1"/>
  <c r="ES110" i="6"/>
  <c r="ET110" i="6" s="1"/>
  <c r="EU110" i="6" s="1"/>
  <c r="ES105" i="6"/>
  <c r="ET105" i="6" s="1"/>
  <c r="EU105" i="6" s="1"/>
  <c r="ES106" i="6"/>
  <c r="ET106" i="6" s="1"/>
  <c r="EU106" i="6" s="1"/>
  <c r="ES104" i="6"/>
  <c r="ET104" i="6" s="1"/>
  <c r="EU104" i="6" s="1"/>
  <c r="ES92" i="6"/>
  <c r="ET92" i="6" s="1"/>
  <c r="EU92" i="6" s="1"/>
  <c r="ES102" i="6"/>
  <c r="ET102" i="6" s="1"/>
  <c r="EU102" i="6" s="1"/>
  <c r="ES107" i="6"/>
  <c r="ET107" i="6" s="1"/>
  <c r="EU107" i="6" s="1"/>
  <c r="ES100" i="6"/>
  <c r="ET100" i="6" s="1"/>
  <c r="EU100" i="6" s="1"/>
  <c r="ES94" i="6"/>
  <c r="ET94" i="6" s="1"/>
  <c r="EU94" i="6" s="1"/>
  <c r="ES98" i="6"/>
  <c r="ET98" i="6" s="1"/>
  <c r="EU98" i="6" s="1"/>
  <c r="ES90" i="6"/>
  <c r="ET90" i="6" s="1"/>
  <c r="EU90" i="6" s="1"/>
  <c r="ES96" i="6"/>
  <c r="ET96" i="6" s="1"/>
  <c r="EU96" i="6" s="1"/>
  <c r="ES91" i="6"/>
  <c r="ET91" i="6" s="1"/>
  <c r="EU91" i="6" s="1"/>
  <c r="ES95" i="6"/>
  <c r="ET95" i="6" s="1"/>
  <c r="EU95" i="6" s="1"/>
  <c r="ES93" i="6"/>
  <c r="ET93" i="6" s="1"/>
  <c r="EU93" i="6" s="1"/>
  <c r="ES97" i="6"/>
  <c r="ET97" i="6" s="1"/>
  <c r="EU97" i="6" s="1"/>
  <c r="ES87" i="6"/>
  <c r="ET87" i="6" s="1"/>
  <c r="EU87" i="6" s="1"/>
  <c r="ES80" i="6"/>
  <c r="ET80" i="6" s="1"/>
  <c r="EU80" i="6" s="1"/>
  <c r="ES89" i="6"/>
  <c r="ET89" i="6" s="1"/>
  <c r="EU89" i="6" s="1"/>
  <c r="ES88" i="6"/>
  <c r="ET88" i="6" s="1"/>
  <c r="EU88" i="6" s="1"/>
  <c r="ES82" i="6"/>
  <c r="ET82" i="6" s="1"/>
  <c r="EU82" i="6" s="1"/>
  <c r="ES86" i="6"/>
  <c r="ET86" i="6" s="1"/>
  <c r="EU86" i="6" s="1"/>
  <c r="ES84" i="6"/>
  <c r="ET84" i="6" s="1"/>
  <c r="EU84" i="6" s="1"/>
  <c r="ES81" i="6"/>
  <c r="ET81" i="6" s="1"/>
  <c r="EU81" i="6" s="1"/>
  <c r="ES83" i="6"/>
  <c r="ET83" i="6" s="1"/>
  <c r="EU83" i="6" s="1"/>
  <c r="ES85" i="6"/>
  <c r="ET85" i="6" s="1"/>
  <c r="EU85" i="6" s="1"/>
  <c r="ES74" i="6"/>
  <c r="ET74" i="6" s="1"/>
  <c r="EU74" i="6" s="1"/>
  <c r="ES76" i="6"/>
  <c r="ET76" i="6" s="1"/>
  <c r="EU76" i="6" s="1"/>
  <c r="ES78" i="6"/>
  <c r="ET78" i="6" s="1"/>
  <c r="EU78" i="6" s="1"/>
  <c r="ES66" i="6"/>
  <c r="ET66" i="6" s="1"/>
  <c r="EU66" i="6" s="1"/>
  <c r="ES79" i="6"/>
  <c r="ET79" i="6" s="1"/>
  <c r="EU79" i="6" s="1"/>
  <c r="ES73" i="6"/>
  <c r="ET73" i="6" s="1"/>
  <c r="EU73" i="6" s="1"/>
  <c r="ES75" i="6"/>
  <c r="ET75" i="6" s="1"/>
  <c r="EU75" i="6" s="1"/>
  <c r="ES77" i="6"/>
  <c r="ET77" i="6" s="1"/>
  <c r="EU77" i="6" s="1"/>
  <c r="ES53" i="6"/>
  <c r="ET53" i="6" s="1"/>
  <c r="EU53" i="6" s="1"/>
  <c r="ES69" i="6"/>
  <c r="ET69" i="6" s="1"/>
  <c r="EU69" i="6" s="1"/>
  <c r="ES62" i="6"/>
  <c r="ET62" i="6" s="1"/>
  <c r="EU62" i="6" s="1"/>
  <c r="ES70" i="6"/>
  <c r="ET70" i="6" s="1"/>
  <c r="EU70" i="6" s="1"/>
  <c r="ES68" i="6"/>
  <c r="ET68" i="6" s="1"/>
  <c r="EU68" i="6" s="1"/>
  <c r="ES59" i="6"/>
  <c r="ET59" i="6" s="1"/>
  <c r="EU59" i="6" s="1"/>
  <c r="ES56" i="6"/>
  <c r="ET56" i="6" s="1"/>
  <c r="EU56" i="6" s="1"/>
  <c r="ES61" i="6"/>
  <c r="ET61" i="6" s="1"/>
  <c r="EU61" i="6" s="1"/>
  <c r="ES64" i="6"/>
  <c r="ET64" i="6" s="1"/>
  <c r="EU64" i="6" s="1"/>
  <c r="ES58" i="6"/>
  <c r="ET58" i="6" s="1"/>
  <c r="EU58" i="6" s="1"/>
  <c r="ES67" i="6"/>
  <c r="ET67" i="6" s="1"/>
  <c r="EU67" i="6" s="1"/>
  <c r="ES60" i="6"/>
  <c r="ET60" i="6" s="1"/>
  <c r="EU60" i="6" s="1"/>
  <c r="ES65" i="6"/>
  <c r="ET65" i="6" s="1"/>
  <c r="EU65" i="6" s="1"/>
  <c r="ES63" i="6"/>
  <c r="ET63" i="6" s="1"/>
  <c r="EU63" i="6" s="1"/>
  <c r="ES55" i="6"/>
  <c r="ET55" i="6" s="1"/>
  <c r="EU55" i="6" s="1"/>
  <c r="ES54" i="6"/>
  <c r="ET54" i="6" s="1"/>
  <c r="EU54" i="6" s="1"/>
  <c r="ES52" i="6"/>
  <c r="ET52" i="6" s="1"/>
  <c r="EU52" i="6" s="1"/>
  <c r="ES51" i="6"/>
  <c r="ET51" i="6" s="1"/>
  <c r="EU51" i="6" s="1"/>
  <c r="ES43" i="6"/>
  <c r="ET43" i="6" s="1"/>
  <c r="EU43" i="6" s="1"/>
  <c r="EP50" i="6"/>
  <c r="ES49" i="6"/>
  <c r="ET49" i="6" s="1"/>
  <c r="EU49" i="6" s="1"/>
  <c r="ES42" i="6"/>
  <c r="ET42" i="6" s="1"/>
  <c r="EU42" i="6" s="1"/>
  <c r="ES46" i="6"/>
  <c r="ET46" i="6" s="1"/>
  <c r="EU46" i="6" s="1"/>
  <c r="ES48" i="6"/>
  <c r="ET48" i="6" s="1"/>
  <c r="EU48" i="6" s="1"/>
  <c r="EQ50" i="6"/>
  <c r="ES50" i="6" s="1"/>
  <c r="ES45" i="6"/>
  <c r="ET45" i="6" s="1"/>
  <c r="EU45" i="6" s="1"/>
  <c r="ER41" i="6"/>
  <c r="ES47" i="6"/>
  <c r="ET47" i="6" s="1"/>
  <c r="EU47" i="6" s="1"/>
  <c r="ES26" i="6"/>
  <c r="ET26" i="6" s="1"/>
  <c r="EU26" i="6" s="1"/>
  <c r="ES34" i="6"/>
  <c r="ET34" i="6" s="1"/>
  <c r="EU34" i="6" s="1"/>
  <c r="ES44" i="6"/>
  <c r="ET44" i="6" s="1"/>
  <c r="EU44" i="6" s="1"/>
  <c r="ES38" i="6"/>
  <c r="ET38" i="6" s="1"/>
  <c r="EU38" i="6" s="1"/>
  <c r="EQ30" i="6"/>
  <c r="ES31" i="6"/>
  <c r="ET31" i="6" s="1"/>
  <c r="EU31" i="6" s="1"/>
  <c r="ER30" i="6"/>
  <c r="EP41" i="6"/>
  <c r="EQ41" i="6"/>
  <c r="ES25" i="6"/>
  <c r="ET25" i="6" s="1"/>
  <c r="EU25" i="6" s="1"/>
  <c r="ES35" i="6"/>
  <c r="ET35" i="6" s="1"/>
  <c r="EU35" i="6" s="1"/>
  <c r="EP27" i="6"/>
  <c r="ES39" i="6"/>
  <c r="ET39" i="6" s="1"/>
  <c r="EU39" i="6" s="1"/>
  <c r="ER27" i="6"/>
  <c r="ES27" i="6" s="1"/>
  <c r="ET27" i="6" s="1"/>
  <c r="EU27" i="6" s="1"/>
  <c r="ES36" i="6"/>
  <c r="ET36" i="6" s="1"/>
  <c r="EU36" i="6" s="1"/>
  <c r="ES40" i="6"/>
  <c r="ET40" i="6" s="1"/>
  <c r="EU40" i="6" s="1"/>
  <c r="ES33" i="6"/>
  <c r="ET33" i="6" s="1"/>
  <c r="EU33" i="6" s="1"/>
  <c r="ES37" i="6"/>
  <c r="ET37" i="6" s="1"/>
  <c r="EU37" i="6" s="1"/>
  <c r="CU27" i="6"/>
  <c r="ES29" i="6"/>
  <c r="ET29" i="6" s="1"/>
  <c r="EU29" i="6" s="1"/>
  <c r="ES32" i="6"/>
  <c r="ET32" i="6" s="1"/>
  <c r="EU32" i="6" s="1"/>
  <c r="EP30" i="6"/>
  <c r="ES17" i="6"/>
  <c r="ET17" i="6" s="1"/>
  <c r="EU17" i="6" s="1"/>
  <c r="ES19" i="6"/>
  <c r="ET19" i="6" s="1"/>
  <c r="EU19" i="6" s="1"/>
  <c r="ER22" i="6"/>
  <c r="ES22" i="6" s="1"/>
  <c r="ET22" i="6" s="1"/>
  <c r="EU22" i="6" s="1"/>
  <c r="ES16" i="6"/>
  <c r="ET16" i="6" s="1"/>
  <c r="EU16" i="6" s="1"/>
  <c r="ES20" i="6"/>
  <c r="ET20" i="6" s="1"/>
  <c r="EU20" i="6" s="1"/>
  <c r="ES14" i="6"/>
  <c r="ET14" i="6" s="1"/>
  <c r="EU14" i="6" s="1"/>
  <c r="ES13" i="6"/>
  <c r="ET13" i="6" s="1"/>
  <c r="EU13" i="6" s="1"/>
  <c r="ES18" i="6"/>
  <c r="ET18" i="6" s="1"/>
  <c r="EU18" i="6" s="1"/>
  <c r="ES11" i="6"/>
  <c r="ET11" i="6" s="1"/>
  <c r="EU11" i="6" s="1"/>
  <c r="ES21" i="6"/>
  <c r="ET21" i="6" s="1"/>
  <c r="EU21" i="6" s="1"/>
  <c r="CU22" i="6"/>
  <c r="ES12" i="6"/>
  <c r="ET12" i="6" s="1"/>
  <c r="EU12" i="6" s="1"/>
  <c r="EP22" i="6"/>
  <c r="ES15" i="6"/>
  <c r="ET15" i="6" s="1"/>
  <c r="EU15" i="6" s="1"/>
  <c r="ES8" i="6"/>
  <c r="ET8" i="6" s="1"/>
  <c r="ES10" i="6"/>
  <c r="ET10" i="6" s="1"/>
  <c r="EU10" i="6" s="1"/>
  <c r="BA45" i="7"/>
  <c r="BB45" i="7" s="1"/>
  <c r="BA46" i="7"/>
  <c r="BB46" i="7" s="1"/>
  <c r="BA47" i="7"/>
  <c r="BB47" i="7" s="1"/>
  <c r="BA41" i="7"/>
  <c r="BB41" i="7" s="1"/>
  <c r="BA42" i="7"/>
  <c r="BB42" i="7" s="1"/>
  <c r="BA43" i="7"/>
  <c r="BB43" i="7" s="1"/>
  <c r="BA44" i="7"/>
  <c r="BB44" i="7" s="1"/>
  <c r="BA39" i="7"/>
  <c r="BB39" i="7" s="1"/>
  <c r="BA40" i="7"/>
  <c r="BB40" i="7" s="1"/>
  <c r="BA38" i="7"/>
  <c r="BB38" i="7" s="1"/>
  <c r="BA35" i="7"/>
  <c r="BB35" i="7" s="1"/>
  <c r="BA34" i="7"/>
  <c r="BB34" i="7" s="1"/>
  <c r="BA33" i="7"/>
  <c r="BB33" i="7" s="1"/>
  <c r="BA30" i="7"/>
  <c r="BB30" i="7" s="1"/>
  <c r="BA32" i="7"/>
  <c r="BB32" i="7" s="1"/>
  <c r="BA31" i="7"/>
  <c r="BB31" i="7" s="1"/>
  <c r="BA26" i="7"/>
  <c r="BB26" i="7" s="1"/>
  <c r="BA18" i="7"/>
  <c r="BB18" i="7" s="1"/>
  <c r="BA17" i="7"/>
  <c r="BB17" i="7" s="1"/>
  <c r="BA16" i="7"/>
  <c r="BB16" i="7" s="1"/>
  <c r="BA15" i="7"/>
  <c r="BB15" i="7" s="1"/>
  <c r="BA13" i="7"/>
  <c r="BB13" i="7" s="1"/>
  <c r="J48" i="7"/>
  <c r="H48" i="7"/>
  <c r="F48" i="7"/>
  <c r="AZ22" i="7"/>
  <c r="AY22" i="7"/>
  <c r="AX22" i="7"/>
  <c r="O22" i="7"/>
  <c r="I22" i="7"/>
  <c r="AZ21" i="7"/>
  <c r="AY21" i="7"/>
  <c r="AX21" i="7"/>
  <c r="O21" i="7"/>
  <c r="M21" i="7"/>
  <c r="K21" i="7"/>
  <c r="I21" i="7"/>
  <c r="G21" i="7"/>
  <c r="AZ20" i="7"/>
  <c r="AY20" i="7"/>
  <c r="AX20" i="7"/>
  <c r="AO20" i="7"/>
  <c r="AG20" i="7"/>
  <c r="O20" i="7"/>
  <c r="M20" i="7"/>
  <c r="K20" i="7"/>
  <c r="I20" i="7"/>
  <c r="G20" i="7"/>
  <c r="AZ19" i="7"/>
  <c r="AY19" i="7"/>
  <c r="AX19" i="7"/>
  <c r="O19" i="7"/>
  <c r="M19" i="7"/>
  <c r="K19" i="7"/>
  <c r="I19" i="7"/>
  <c r="G19" i="7"/>
  <c r="AZ8" i="7"/>
  <c r="AY8" i="7"/>
  <c r="AX8" i="7"/>
  <c r="O8" i="7"/>
  <c r="M8" i="7"/>
  <c r="K8" i="7"/>
  <c r="I8" i="7"/>
  <c r="G8" i="7"/>
  <c r="Y129" i="6"/>
  <c r="AY44" i="5"/>
  <c r="AX44" i="5"/>
  <c r="AW44" i="5"/>
  <c r="AY43" i="5"/>
  <c r="AX43" i="5"/>
  <c r="AW43" i="5"/>
  <c r="AY42" i="5"/>
  <c r="AX42" i="5"/>
  <c r="AW42" i="5"/>
  <c r="AY41" i="5"/>
  <c r="AX41" i="5"/>
  <c r="AW41" i="5"/>
  <c r="AY40" i="5"/>
  <c r="AX40" i="5"/>
  <c r="AW40" i="5"/>
  <c r="AY39" i="5"/>
  <c r="AX39" i="5"/>
  <c r="AW39" i="5"/>
  <c r="AY38" i="5"/>
  <c r="AX38" i="5"/>
  <c r="AW38" i="5"/>
  <c r="AY37" i="5"/>
  <c r="AX37" i="5"/>
  <c r="AW37" i="5"/>
  <c r="N36" i="5"/>
  <c r="AW36" i="5" s="1"/>
  <c r="N35" i="5"/>
  <c r="AX35" i="5" s="1"/>
  <c r="AY34" i="5"/>
  <c r="AX34" i="5"/>
  <c r="AW34" i="5"/>
  <c r="AY33" i="5"/>
  <c r="AX33" i="5"/>
  <c r="AW33" i="5"/>
  <c r="AY32" i="5"/>
  <c r="AX32" i="5"/>
  <c r="AW32" i="5"/>
  <c r="AY31" i="5"/>
  <c r="AX31" i="5"/>
  <c r="AW31" i="5"/>
  <c r="AY30" i="5"/>
  <c r="AX30" i="5"/>
  <c r="AW30" i="5"/>
  <c r="AY29" i="5"/>
  <c r="AX29" i="5"/>
  <c r="AW29" i="5"/>
  <c r="AY28" i="5"/>
  <c r="AX28" i="5"/>
  <c r="AW28" i="5"/>
  <c r="AK27" i="5"/>
  <c r="AY27" i="5" s="1"/>
  <c r="AP26" i="5"/>
  <c r="AY26" i="5" s="1"/>
  <c r="AY25" i="5"/>
  <c r="AX25" i="5"/>
  <c r="AW25" i="5"/>
  <c r="AY24" i="5"/>
  <c r="AX24" i="5"/>
  <c r="AW24" i="5"/>
  <c r="AY23" i="5"/>
  <c r="AX23" i="5"/>
  <c r="AW23" i="5"/>
  <c r="AY22" i="5"/>
  <c r="AX22" i="5"/>
  <c r="AW22" i="5"/>
  <c r="AY21" i="5"/>
  <c r="AX21" i="5"/>
  <c r="AW21" i="5"/>
  <c r="AK20" i="5"/>
  <c r="AX20" i="5" s="1"/>
  <c r="AY19" i="5"/>
  <c r="AX19" i="5"/>
  <c r="AW19" i="5"/>
  <c r="AY18" i="5"/>
  <c r="AX18" i="5"/>
  <c r="AW18" i="5"/>
  <c r="AY17" i="5"/>
  <c r="AX17" i="5"/>
  <c r="AW17" i="5"/>
  <c r="AY16" i="5"/>
  <c r="AX16" i="5"/>
  <c r="AW16" i="5"/>
  <c r="AY15" i="5"/>
  <c r="AX15" i="5"/>
  <c r="AW15" i="5"/>
  <c r="AY14" i="5"/>
  <c r="AX14" i="5"/>
  <c r="AW14" i="5"/>
  <c r="AY13" i="5"/>
  <c r="AX13" i="5"/>
  <c r="AW13" i="5"/>
  <c r="AY12" i="5"/>
  <c r="AX12" i="5"/>
  <c r="AW12" i="5"/>
  <c r="AY11" i="5"/>
  <c r="AX11" i="5"/>
  <c r="AW11" i="5"/>
  <c r="AS10" i="5"/>
  <c r="AK10" i="5"/>
  <c r="AY9" i="5"/>
  <c r="AX9" i="5"/>
  <c r="AW9" i="5"/>
  <c r="AY8" i="5"/>
  <c r="AX8" i="5"/>
  <c r="AW8" i="5"/>
  <c r="AY7" i="5"/>
  <c r="AX7" i="5"/>
  <c r="AW7" i="5"/>
  <c r="ET114" i="6" l="1"/>
  <c r="EU114" i="6" s="1"/>
  <c r="BC30" i="7"/>
  <c r="BC35" i="7"/>
  <c r="BC33" i="7"/>
  <c r="BC38" i="7"/>
  <c r="BC34" i="7"/>
  <c r="BC15" i="7"/>
  <c r="BC40" i="7"/>
  <c r="BC31" i="7"/>
  <c r="BC32" i="7"/>
  <c r="BC45" i="7"/>
  <c r="BC16" i="7"/>
  <c r="BC39" i="7"/>
  <c r="BC47" i="7"/>
  <c r="BC46" i="7"/>
  <c r="BC17" i="7"/>
  <c r="BC44" i="7"/>
  <c r="BC13" i="7"/>
  <c r="BC18" i="7"/>
  <c r="BC43" i="7"/>
  <c r="BC41" i="7"/>
  <c r="BC26" i="7"/>
  <c r="BC42" i="7"/>
  <c r="EU8" i="6"/>
  <c r="ET50" i="6"/>
  <c r="EU50" i="6" s="1"/>
  <c r="ES30" i="6"/>
  <c r="ET30" i="6" s="1"/>
  <c r="EU30" i="6" s="1"/>
  <c r="ES41" i="6"/>
  <c r="ET41" i="6" s="1"/>
  <c r="EU41" i="6" s="1"/>
  <c r="BA22" i="7"/>
  <c r="BB22" i="7" s="1"/>
  <c r="AZ33" i="5"/>
  <c r="BA33" i="5" s="1"/>
  <c r="AZ39" i="5"/>
  <c r="BA39" i="5" s="1"/>
  <c r="AZ34" i="5"/>
  <c r="BA34" i="5" s="1"/>
  <c r="BA21" i="7"/>
  <c r="BB21" i="7" s="1"/>
  <c r="G48" i="7"/>
  <c r="BA19" i="7"/>
  <c r="BB19" i="7" s="1"/>
  <c r="BA8" i="7"/>
  <c r="BB8" i="7" s="1"/>
  <c r="I48" i="7"/>
  <c r="K48" i="7"/>
  <c r="BA20" i="7"/>
  <c r="BB20" i="7" s="1"/>
  <c r="AY10" i="5"/>
  <c r="AZ18" i="5"/>
  <c r="BA18" i="5" s="1"/>
  <c r="AZ41" i="5"/>
  <c r="BA41" i="5" s="1"/>
  <c r="AZ28" i="5"/>
  <c r="BA28" i="5" s="1"/>
  <c r="AZ32" i="5"/>
  <c r="BA32" i="5" s="1"/>
  <c r="AZ42" i="5"/>
  <c r="BA42" i="5" s="1"/>
  <c r="AZ25" i="5"/>
  <c r="BA25" i="5" s="1"/>
  <c r="AZ23" i="5"/>
  <c r="BA23" i="5" s="1"/>
  <c r="AZ19" i="5"/>
  <c r="BA19" i="5" s="1"/>
  <c r="AZ29" i="5"/>
  <c r="BA29" i="5" s="1"/>
  <c r="AZ24" i="5"/>
  <c r="BA24" i="5" s="1"/>
  <c r="AZ16" i="5"/>
  <c r="BA16" i="5" s="1"/>
  <c r="AZ43" i="5"/>
  <c r="BA43" i="5" s="1"/>
  <c r="AZ21" i="5"/>
  <c r="BA21" i="5" s="1"/>
  <c r="AZ30" i="5"/>
  <c r="BA30" i="5" s="1"/>
  <c r="AZ17" i="5"/>
  <c r="BA17" i="5" s="1"/>
  <c r="AZ9" i="5"/>
  <c r="BA9" i="5" s="1"/>
  <c r="AZ12" i="5"/>
  <c r="BA12" i="5" s="1"/>
  <c r="AZ8" i="5"/>
  <c r="BA8" i="5" s="1"/>
  <c r="AZ13" i="5"/>
  <c r="BA13" i="5" s="1"/>
  <c r="AZ40" i="5"/>
  <c r="BA40" i="5" s="1"/>
  <c r="AZ22" i="5"/>
  <c r="BA22" i="5" s="1"/>
  <c r="AZ31" i="5"/>
  <c r="BA31" i="5" s="1"/>
  <c r="AZ11" i="5"/>
  <c r="BA11" i="5" s="1"/>
  <c r="AZ15" i="5"/>
  <c r="BA15" i="5" s="1"/>
  <c r="AZ38" i="5"/>
  <c r="BA38" i="5" s="1"/>
  <c r="AZ14" i="5"/>
  <c r="BA14" i="5" s="1"/>
  <c r="AZ37" i="5"/>
  <c r="BA37" i="5" s="1"/>
  <c r="AZ44" i="5"/>
  <c r="BA44" i="5" s="1"/>
  <c r="AZ7" i="5"/>
  <c r="BA7" i="5" s="1"/>
  <c r="AY35" i="5"/>
  <c r="AZ35" i="5" s="1"/>
  <c r="AX10" i="5"/>
  <c r="AY20" i="5"/>
  <c r="AZ20" i="5" s="1"/>
  <c r="AX27" i="5"/>
  <c r="AZ27" i="5" s="1"/>
  <c r="BA27" i="5" s="1"/>
  <c r="AY36" i="5"/>
  <c r="AW35" i="5"/>
  <c r="AW26" i="5"/>
  <c r="AX26" i="5"/>
  <c r="AZ26" i="5" s="1"/>
  <c r="BA26" i="5" s="1"/>
  <c r="AW10" i="5"/>
  <c r="AW20" i="5"/>
  <c r="AW27" i="5"/>
  <c r="AX36" i="5"/>
  <c r="BC20" i="7" l="1"/>
  <c r="BC21" i="7"/>
  <c r="BC19" i="7"/>
  <c r="BC8" i="7"/>
  <c r="BC22" i="7"/>
  <c r="EU129" i="6"/>
  <c r="ET129" i="6"/>
  <c r="BA20" i="5"/>
  <c r="AZ10" i="5"/>
  <c r="BA10" i="5" s="1"/>
  <c r="BB48" i="7"/>
  <c r="AZ36" i="5"/>
  <c r="BA36" i="5" s="1"/>
  <c r="BA35" i="5"/>
  <c r="AW45" i="5"/>
  <c r="AY45" i="5"/>
  <c r="AX45" i="5"/>
  <c r="BC48" i="7" l="1"/>
  <c r="BA45" i="5"/>
  <c r="DF108" i="2" l="1"/>
  <c r="DE116" i="2"/>
  <c r="CA116" i="2" l="1"/>
  <c r="CS9" i="2"/>
  <c r="X116" i="2" l="1"/>
  <c r="BX116" i="2"/>
  <c r="BS116" i="2"/>
  <c r="BN116" i="2"/>
  <c r="BD116" i="2"/>
  <c r="AT116" i="2"/>
  <c r="AJ116" i="2"/>
  <c r="AB116" i="2"/>
  <c r="R116" i="2"/>
  <c r="O116" i="2"/>
  <c r="X11" i="3" l="1"/>
  <c r="Y11" i="3" s="1"/>
  <c r="X10" i="3"/>
  <c r="Y10" i="3" s="1"/>
  <c r="V11" i="3"/>
  <c r="V10" i="3"/>
  <c r="F11" i="3"/>
  <c r="G11" i="3" s="1"/>
  <c r="F10" i="3"/>
  <c r="G10" i="3" s="1"/>
  <c r="I51" i="2" l="1"/>
  <c r="Z13" i="3" l="1"/>
  <c r="CX100" i="2" l="1"/>
  <c r="CX75" i="2"/>
  <c r="CY75" i="2" s="1"/>
  <c r="CZ75" i="2" s="1"/>
  <c r="CX51" i="2"/>
  <c r="CY51" i="2" l="1"/>
  <c r="CZ51" i="2" s="1"/>
  <c r="CX116" i="2"/>
  <c r="CY100" i="2"/>
  <c r="CZ100" i="2" s="1"/>
  <c r="W10" i="3"/>
  <c r="W11" i="3"/>
  <c r="CY116" i="2" l="1"/>
  <c r="CZ116" i="2"/>
  <c r="F51" i="2"/>
  <c r="L51" i="2"/>
  <c r="J51" i="2"/>
  <c r="L11" i="3" l="1"/>
  <c r="L10" i="3"/>
  <c r="Z10" i="3" l="1"/>
  <c r="AB10" i="3"/>
  <c r="AA10" i="3"/>
  <c r="Z11" i="3"/>
  <c r="AA11" i="3"/>
  <c r="AB11" i="3"/>
  <c r="M10" i="3"/>
  <c r="M11" i="3"/>
  <c r="AZ72" i="2"/>
  <c r="BA72" i="2" s="1"/>
  <c r="AA7" i="3"/>
  <c r="Z7" i="3"/>
  <c r="BB72" i="2" l="1"/>
  <c r="BC72" i="2" s="1"/>
  <c r="AA14" i="3"/>
  <c r="Z14" i="3"/>
  <c r="AB14" i="3"/>
  <c r="AB13" i="3"/>
  <c r="AA13" i="3"/>
  <c r="U14" i="3"/>
  <c r="U13" i="3"/>
  <c r="AE31" i="2" l="1"/>
  <c r="Z8" i="3"/>
  <c r="AB8" i="3"/>
  <c r="AA8" i="3"/>
  <c r="AB7" i="3"/>
  <c r="AC7" i="3" s="1"/>
  <c r="AD7" i="3" s="1"/>
  <c r="AE7" i="3" l="1"/>
  <c r="G8" i="3"/>
  <c r="G7" i="3"/>
  <c r="CS76" i="2" l="1"/>
  <c r="CT76" i="2" s="1"/>
  <c r="CU76" i="2" s="1"/>
  <c r="I75" i="2"/>
  <c r="Y63" i="2"/>
  <c r="U63" i="2"/>
  <c r="U116" i="2" s="1"/>
  <c r="AE24" i="2"/>
  <c r="CS24" i="2"/>
  <c r="CT24" i="2" s="1"/>
  <c r="CU24" i="2" s="1"/>
  <c r="AY9" i="2"/>
  <c r="AE81" i="2"/>
  <c r="F21" i="2"/>
  <c r="CD21" i="2"/>
  <c r="CV24" i="2" l="1"/>
  <c r="CW24" i="2" s="1"/>
  <c r="CV76" i="2"/>
  <c r="CW76" i="2" s="1"/>
  <c r="CT9" i="2"/>
  <c r="CU9" i="2" s="1"/>
  <c r="CE21" i="2"/>
  <c r="CF21" i="2" s="1"/>
  <c r="CG21" i="2" s="1"/>
  <c r="CH21" i="2" s="1"/>
  <c r="G21" i="2"/>
  <c r="Y107" i="2"/>
  <c r="Y116" i="2" s="1"/>
  <c r="CS104" i="2"/>
  <c r="CT104" i="2" s="1"/>
  <c r="CU104" i="2" s="1"/>
  <c r="AO104" i="2"/>
  <c r="AO116" i="2" s="1"/>
  <c r="AE88" i="2"/>
  <c r="AE116" i="2" s="1"/>
  <c r="BI88" i="2"/>
  <c r="BI73" i="2"/>
  <c r="F69" i="2"/>
  <c r="F116" i="2" s="1"/>
  <c r="J69" i="2"/>
  <c r="CV104" i="2" l="1"/>
  <c r="CW104" i="2" s="1"/>
  <c r="CV9" i="2"/>
  <c r="CS116" i="2"/>
  <c r="BI116" i="2"/>
  <c r="CT116" i="2"/>
  <c r="CU116" i="2"/>
  <c r="I63" i="2"/>
  <c r="CD52" i="2"/>
  <c r="AY52" i="2"/>
  <c r="AY116" i="2" s="1"/>
  <c r="G30" i="2"/>
  <c r="H30" i="2" s="1"/>
  <c r="M30" i="2"/>
  <c r="N30" i="2" s="1"/>
  <c r="S30" i="2"/>
  <c r="T30" i="2" s="1"/>
  <c r="CW9" i="2" l="1"/>
  <c r="CW116" i="2" s="1"/>
  <c r="CV116" i="2"/>
  <c r="CE52" i="2"/>
  <c r="CF52" i="2" s="1"/>
  <c r="CD116" i="2"/>
  <c r="DC30" i="2"/>
  <c r="DB30" i="2"/>
  <c r="DA30" i="2"/>
  <c r="M95" i="2"/>
  <c r="CG52" i="2" l="1"/>
  <c r="CH52" i="2" s="1"/>
  <c r="M80" i="2"/>
  <c r="L64" i="2"/>
  <c r="L63" i="2"/>
  <c r="L57" i="2"/>
  <c r="M33" i="2"/>
  <c r="I113" i="2"/>
  <c r="I116" i="2" s="1"/>
  <c r="S24" i="2"/>
  <c r="CH116" i="2" l="1"/>
  <c r="CG116" i="2"/>
  <c r="L116" i="2"/>
  <c r="R15" i="3"/>
  <c r="S15" i="3" s="1"/>
  <c r="P15" i="3"/>
  <c r="Q15" i="3" s="1"/>
  <c r="N15" i="3"/>
  <c r="AC14" i="3"/>
  <c r="AD14" i="3" s="1"/>
  <c r="AE14" i="3" s="1"/>
  <c r="I14" i="3"/>
  <c r="AC13" i="3"/>
  <c r="AD13" i="3" s="1"/>
  <c r="AE13" i="3" s="1"/>
  <c r="I13" i="3"/>
  <c r="AC11" i="3"/>
  <c r="AD11" i="3" s="1"/>
  <c r="AE11" i="3" s="1"/>
  <c r="AC10" i="3"/>
  <c r="AD10" i="3" s="1"/>
  <c r="AC8" i="3"/>
  <c r="AD8" i="3" s="1"/>
  <c r="M8" i="3"/>
  <c r="K8" i="3"/>
  <c r="M7" i="3"/>
  <c r="K7" i="3"/>
  <c r="CE115" i="2"/>
  <c r="CF115" i="2" s="1"/>
  <c r="CB115" i="2"/>
  <c r="CC115" i="2" s="1"/>
  <c r="BY115" i="2"/>
  <c r="BZ115" i="2" s="1"/>
  <c r="CE114" i="2"/>
  <c r="CB114" i="2"/>
  <c r="BY114" i="2"/>
  <c r="E114" i="2"/>
  <c r="J113" i="2"/>
  <c r="K113" i="2" s="1"/>
  <c r="G113" i="2"/>
  <c r="H113" i="2" s="1"/>
  <c r="M112" i="2"/>
  <c r="N112" i="2" s="1"/>
  <c r="J112" i="2"/>
  <c r="K112" i="2" s="1"/>
  <c r="G112" i="2"/>
  <c r="H112" i="2" s="1"/>
  <c r="BT111" i="2"/>
  <c r="Z111" i="2"/>
  <c r="AA111" i="2" s="1"/>
  <c r="M110" i="2"/>
  <c r="N110" i="2" s="1"/>
  <c r="J110" i="2"/>
  <c r="K110" i="2" s="1"/>
  <c r="E110" i="2"/>
  <c r="AZ109" i="2"/>
  <c r="BA109" i="2" s="1"/>
  <c r="BB109" i="2" s="1"/>
  <c r="AU109" i="2"/>
  <c r="M108" i="2"/>
  <c r="N108" i="2" s="1"/>
  <c r="J108" i="2"/>
  <c r="K108" i="2" s="1"/>
  <c r="Z107" i="2"/>
  <c r="AA107" i="2" s="1"/>
  <c r="M107" i="2"/>
  <c r="N107" i="2" s="1"/>
  <c r="M106" i="2"/>
  <c r="N106" i="2" s="1"/>
  <c r="G106" i="2"/>
  <c r="H106" i="2" s="1"/>
  <c r="Z105" i="2"/>
  <c r="AA105" i="2" s="1"/>
  <c r="V105" i="2"/>
  <c r="W105" i="2" s="1"/>
  <c r="S105" i="2"/>
  <c r="T105" i="2" s="1"/>
  <c r="AP104" i="2"/>
  <c r="AQ104" i="2" s="1"/>
  <c r="AR104" i="2" s="1"/>
  <c r="AS104" i="2" s="1"/>
  <c r="M103" i="2"/>
  <c r="N103" i="2" s="1"/>
  <c r="J103" i="2"/>
  <c r="K103" i="2" s="1"/>
  <c r="E103" i="2"/>
  <c r="M102" i="2"/>
  <c r="N102" i="2" s="1"/>
  <c r="G102" i="2"/>
  <c r="H102" i="2" s="1"/>
  <c r="M101" i="2"/>
  <c r="N101" i="2" s="1"/>
  <c r="J101" i="2"/>
  <c r="K101" i="2" s="1"/>
  <c r="J100" i="2"/>
  <c r="K100" i="2" s="1"/>
  <c r="G100" i="2"/>
  <c r="H100" i="2" s="1"/>
  <c r="M99" i="2"/>
  <c r="N99" i="2" s="1"/>
  <c r="J99" i="2"/>
  <c r="K99" i="2" s="1"/>
  <c r="G99" i="2"/>
  <c r="H99" i="2" s="1"/>
  <c r="S98" i="2"/>
  <c r="T98" i="2" s="1"/>
  <c r="G98" i="2"/>
  <c r="H98" i="2" s="1"/>
  <c r="Z97" i="2"/>
  <c r="AA97" i="2" s="1"/>
  <c r="V97" i="2"/>
  <c r="W97" i="2" s="1"/>
  <c r="S97" i="2"/>
  <c r="T97" i="2" s="1"/>
  <c r="M96" i="2"/>
  <c r="N96" i="2" s="1"/>
  <c r="J96" i="2"/>
  <c r="K96" i="2" s="1"/>
  <c r="N95" i="2"/>
  <c r="J95" i="2"/>
  <c r="K95" i="2" s="1"/>
  <c r="Z94" i="2"/>
  <c r="AA94" i="2" s="1"/>
  <c r="V94" i="2"/>
  <c r="W94" i="2" s="1"/>
  <c r="J93" i="2"/>
  <c r="K93" i="2" s="1"/>
  <c r="G93" i="2"/>
  <c r="H93" i="2" s="1"/>
  <c r="S92" i="2"/>
  <c r="T92" i="2" s="1"/>
  <c r="M92" i="2"/>
  <c r="N92" i="2" s="1"/>
  <c r="G92" i="2"/>
  <c r="H92" i="2" s="1"/>
  <c r="BO91" i="2"/>
  <c r="Z91" i="2"/>
  <c r="AA91" i="2" s="1"/>
  <c r="Z90" i="2"/>
  <c r="AA90" i="2" s="1"/>
  <c r="V90" i="2"/>
  <c r="W90" i="2" s="1"/>
  <c r="Z89" i="2"/>
  <c r="AA89" i="2" s="1"/>
  <c r="V89" i="2"/>
  <c r="W89" i="2" s="1"/>
  <c r="E89" i="2"/>
  <c r="BJ88" i="2"/>
  <c r="BK88" i="2" s="1"/>
  <c r="BL88" i="2" s="1"/>
  <c r="BM88" i="2" s="1"/>
  <c r="AF88" i="2"/>
  <c r="AG88" i="2" s="1"/>
  <c r="M87" i="2"/>
  <c r="N87" i="2" s="1"/>
  <c r="G87" i="2"/>
  <c r="H87" i="2" s="1"/>
  <c r="M86" i="2"/>
  <c r="N86" i="2" s="1"/>
  <c r="J86" i="2"/>
  <c r="K86" i="2" s="1"/>
  <c r="M85" i="2"/>
  <c r="N85" i="2" s="1"/>
  <c r="J85" i="2"/>
  <c r="K85" i="2" s="1"/>
  <c r="G85" i="2"/>
  <c r="H85" i="2" s="1"/>
  <c r="AP84" i="2"/>
  <c r="Z84" i="2"/>
  <c r="AA84" i="2" s="1"/>
  <c r="V84" i="2"/>
  <c r="W84" i="2" s="1"/>
  <c r="BE83" i="2"/>
  <c r="S83" i="2"/>
  <c r="T83" i="2" s="1"/>
  <c r="Z82" i="2"/>
  <c r="AA82" i="2" s="1"/>
  <c r="V82" i="2"/>
  <c r="W82" i="2" s="1"/>
  <c r="AF81" i="2"/>
  <c r="AG81" i="2" s="1"/>
  <c r="S81" i="2"/>
  <c r="T81" i="2" s="1"/>
  <c r="N80" i="2"/>
  <c r="J80" i="2"/>
  <c r="K80" i="2" s="1"/>
  <c r="G80" i="2"/>
  <c r="H80" i="2" s="1"/>
  <c r="Z79" i="2"/>
  <c r="AA79" i="2" s="1"/>
  <c r="V79" i="2"/>
  <c r="W79" i="2" s="1"/>
  <c r="S78" i="2"/>
  <c r="T78" i="2" s="1"/>
  <c r="G78" i="2"/>
  <c r="H78" i="2" s="1"/>
  <c r="M77" i="2"/>
  <c r="N77" i="2" s="1"/>
  <c r="J77" i="2"/>
  <c r="K77" i="2" s="1"/>
  <c r="AF76" i="2"/>
  <c r="AG76" i="2" s="1"/>
  <c r="S75" i="2"/>
  <c r="T75" i="2" s="1"/>
  <c r="J75" i="2"/>
  <c r="K75" i="2" s="1"/>
  <c r="Z74" i="2"/>
  <c r="AA74" i="2" s="1"/>
  <c r="S74" i="2"/>
  <c r="T74" i="2" s="1"/>
  <c r="BJ73" i="2"/>
  <c r="BK73" i="2" s="1"/>
  <c r="BL73" i="2" s="1"/>
  <c r="BM73" i="2" s="1"/>
  <c r="M73" i="2"/>
  <c r="N73" i="2" s="1"/>
  <c r="S72" i="2"/>
  <c r="T72" i="2" s="1"/>
  <c r="Z70" i="2"/>
  <c r="AA70" i="2" s="1"/>
  <c r="V70" i="2"/>
  <c r="W70" i="2" s="1"/>
  <c r="K69" i="2"/>
  <c r="G69" i="2"/>
  <c r="H69" i="2" s="1"/>
  <c r="M68" i="2"/>
  <c r="N68" i="2" s="1"/>
  <c r="G68" i="2"/>
  <c r="H68" i="2" s="1"/>
  <c r="Z67" i="2"/>
  <c r="AA67" i="2" s="1"/>
  <c r="V67" i="2"/>
  <c r="W67" i="2" s="1"/>
  <c r="Z66" i="2"/>
  <c r="AA66" i="2" s="1"/>
  <c r="V66" i="2"/>
  <c r="W66" i="2" s="1"/>
  <c r="Z65" i="2"/>
  <c r="AA65" i="2" s="1"/>
  <c r="V65" i="2"/>
  <c r="W65" i="2" s="1"/>
  <c r="M64" i="2"/>
  <c r="N64" i="2" s="1"/>
  <c r="J64" i="2"/>
  <c r="K64" i="2" s="1"/>
  <c r="Z63" i="2"/>
  <c r="AA63" i="2" s="1"/>
  <c r="V63" i="2"/>
  <c r="W63" i="2" s="1"/>
  <c r="M63" i="2"/>
  <c r="N63" i="2" s="1"/>
  <c r="J63" i="2"/>
  <c r="K63" i="2" s="1"/>
  <c r="G63" i="2"/>
  <c r="H63" i="2" s="1"/>
  <c r="Z62" i="2"/>
  <c r="AA62" i="2" s="1"/>
  <c r="V62" i="2"/>
  <c r="W62" i="2" s="1"/>
  <c r="S61" i="2"/>
  <c r="T61" i="2" s="1"/>
  <c r="G61" i="2"/>
  <c r="H61" i="2" s="1"/>
  <c r="AK60" i="2"/>
  <c r="S60" i="2"/>
  <c r="T60" i="2" s="1"/>
  <c r="Z59" i="2"/>
  <c r="AA59" i="2" s="1"/>
  <c r="V59" i="2"/>
  <c r="W59" i="2" s="1"/>
  <c r="K58" i="2"/>
  <c r="H58" i="2"/>
  <c r="N57" i="2"/>
  <c r="H57" i="2"/>
  <c r="J56" i="2"/>
  <c r="K56" i="2" s="1"/>
  <c r="G56" i="2"/>
  <c r="H56" i="2" s="1"/>
  <c r="Z55" i="2"/>
  <c r="AA55" i="2" s="1"/>
  <c r="V55" i="2"/>
  <c r="W55" i="2" s="1"/>
  <c r="BJ54" i="2"/>
  <c r="J54" i="2"/>
  <c r="K54" i="2" s="1"/>
  <c r="E54" i="2"/>
  <c r="Z53" i="2"/>
  <c r="AA53" i="2" s="1"/>
  <c r="V53" i="2"/>
  <c r="W53" i="2" s="1"/>
  <c r="AZ52" i="2"/>
  <c r="BA52" i="2" s="1"/>
  <c r="M51" i="2"/>
  <c r="N51" i="2" s="1"/>
  <c r="K51" i="2"/>
  <c r="G51" i="2"/>
  <c r="H51" i="2" s="1"/>
  <c r="E51" i="2"/>
  <c r="AC50" i="2"/>
  <c r="AD50" i="2" s="1"/>
  <c r="P50" i="2"/>
  <c r="Q50" i="2" s="1"/>
  <c r="AC49" i="2"/>
  <c r="AD49" i="2" s="1"/>
  <c r="P49" i="2"/>
  <c r="Q49" i="2" s="1"/>
  <c r="AC48" i="2"/>
  <c r="AD48" i="2" s="1"/>
  <c r="P48" i="2"/>
  <c r="Q48" i="2" s="1"/>
  <c r="AC47" i="2"/>
  <c r="AD47" i="2" s="1"/>
  <c r="P47" i="2"/>
  <c r="Q47" i="2" s="1"/>
  <c r="AC46" i="2"/>
  <c r="AD46" i="2" s="1"/>
  <c r="P46" i="2"/>
  <c r="Q46" i="2" s="1"/>
  <c r="AC45" i="2"/>
  <c r="AD45" i="2" s="1"/>
  <c r="P45" i="2"/>
  <c r="Q45" i="2" s="1"/>
  <c r="AC44" i="2"/>
  <c r="AD44" i="2" s="1"/>
  <c r="P44" i="2"/>
  <c r="Q44" i="2" s="1"/>
  <c r="AC43" i="2"/>
  <c r="AD43" i="2" s="1"/>
  <c r="P43" i="2"/>
  <c r="Q43" i="2" s="1"/>
  <c r="AC42" i="2"/>
  <c r="AD42" i="2" s="1"/>
  <c r="P42" i="2"/>
  <c r="Q42" i="2" s="1"/>
  <c r="AC41" i="2"/>
  <c r="AD41" i="2" s="1"/>
  <c r="P41" i="2"/>
  <c r="Q41" i="2" s="1"/>
  <c r="P40" i="2"/>
  <c r="Q40" i="2" s="1"/>
  <c r="AC39" i="2"/>
  <c r="AD39" i="2" s="1"/>
  <c r="P39" i="2"/>
  <c r="Q39" i="2" s="1"/>
  <c r="AC38" i="2"/>
  <c r="AD38" i="2" s="1"/>
  <c r="P38" i="2"/>
  <c r="Q38" i="2" s="1"/>
  <c r="AC37" i="2"/>
  <c r="P37" i="2"/>
  <c r="Z36" i="2"/>
  <c r="AA36" i="2" s="1"/>
  <c r="V36" i="2"/>
  <c r="W36" i="2" s="1"/>
  <c r="N35" i="2"/>
  <c r="K35" i="2"/>
  <c r="H35" i="2"/>
  <c r="AA34" i="2"/>
  <c r="W34" i="2"/>
  <c r="N33" i="2"/>
  <c r="J33" i="2"/>
  <c r="K33" i="2" s="1"/>
  <c r="Z32" i="2"/>
  <c r="AA32" i="2" s="1"/>
  <c r="V32" i="2"/>
  <c r="W32" i="2" s="1"/>
  <c r="AF31" i="2"/>
  <c r="AG31" i="2" s="1"/>
  <c r="S31" i="2"/>
  <c r="T31" i="2" s="1"/>
  <c r="T29" i="2"/>
  <c r="K29" i="2"/>
  <c r="H29" i="2"/>
  <c r="AA28" i="2"/>
  <c r="W28" i="2"/>
  <c r="S27" i="2"/>
  <c r="T27" i="2" s="1"/>
  <c r="G27" i="2"/>
  <c r="H27" i="2" s="1"/>
  <c r="J26" i="2"/>
  <c r="K26" i="2" s="1"/>
  <c r="G26" i="2"/>
  <c r="H26" i="2" s="1"/>
  <c r="J25" i="2"/>
  <c r="K25" i="2" s="1"/>
  <c r="G25" i="2"/>
  <c r="H25" i="2" s="1"/>
  <c r="AF24" i="2"/>
  <c r="AG24" i="2" s="1"/>
  <c r="T24" i="2"/>
  <c r="J23" i="2"/>
  <c r="K23" i="2" s="1"/>
  <c r="G23" i="2"/>
  <c r="H23" i="2" s="1"/>
  <c r="M22" i="2"/>
  <c r="N22" i="2" s="1"/>
  <c r="J22" i="2"/>
  <c r="K22" i="2" s="1"/>
  <c r="G22" i="2"/>
  <c r="H22" i="2" s="1"/>
  <c r="H21" i="2"/>
  <c r="M20" i="2"/>
  <c r="N20" i="2" s="1"/>
  <c r="J20" i="2"/>
  <c r="K20" i="2" s="1"/>
  <c r="Z19" i="2"/>
  <c r="AA19" i="2" s="1"/>
  <c r="V19" i="2"/>
  <c r="W19" i="2" s="1"/>
  <c r="Z18" i="2"/>
  <c r="AA18" i="2" s="1"/>
  <c r="V18" i="2"/>
  <c r="W18" i="2" s="1"/>
  <c r="Z17" i="2"/>
  <c r="AA17" i="2" s="1"/>
  <c r="V17" i="2"/>
  <c r="W17" i="2" s="1"/>
  <c r="S16" i="2"/>
  <c r="G16" i="2"/>
  <c r="H16" i="2" s="1"/>
  <c r="J15" i="2"/>
  <c r="K15" i="2" s="1"/>
  <c r="G15" i="2"/>
  <c r="H15" i="2" s="1"/>
  <c r="M14" i="2"/>
  <c r="N14" i="2" s="1"/>
  <c r="J14" i="2"/>
  <c r="K14" i="2" s="1"/>
  <c r="G14" i="2"/>
  <c r="H14" i="2" s="1"/>
  <c r="Z13" i="2"/>
  <c r="AA13" i="2" s="1"/>
  <c r="V13" i="2"/>
  <c r="W13" i="2" s="1"/>
  <c r="M13" i="2"/>
  <c r="N13" i="2" s="1"/>
  <c r="J13" i="2"/>
  <c r="K13" i="2" s="1"/>
  <c r="G13" i="2"/>
  <c r="H13" i="2" s="1"/>
  <c r="J12" i="2"/>
  <c r="G12" i="2"/>
  <c r="Z11" i="2"/>
  <c r="AA11" i="2" s="1"/>
  <c r="V11" i="2"/>
  <c r="W11" i="2" s="1"/>
  <c r="M11" i="2"/>
  <c r="Z10" i="2"/>
  <c r="V10" i="2"/>
  <c r="AZ9" i="2"/>
  <c r="AF9" i="2"/>
  <c r="DC104" i="2" l="1"/>
  <c r="DB104" i="2"/>
  <c r="DA104" i="2"/>
  <c r="DC21" i="2"/>
  <c r="DB21" i="2"/>
  <c r="DA21" i="2"/>
  <c r="DC73" i="2"/>
  <c r="DB73" i="2"/>
  <c r="DA73" i="2"/>
  <c r="DA72" i="2"/>
  <c r="DC72" i="2"/>
  <c r="DB72" i="2"/>
  <c r="BB52" i="2"/>
  <c r="BC52" i="2" s="1"/>
  <c r="CB116" i="2"/>
  <c r="BC109" i="2"/>
  <c r="AH31" i="2"/>
  <c r="AI31" i="2" s="1"/>
  <c r="DA31" i="2" s="1"/>
  <c r="AH88" i="2"/>
  <c r="AI88" i="2" s="1"/>
  <c r="AH81" i="2"/>
  <c r="AI81" i="2" s="1"/>
  <c r="DC81" i="2" s="1"/>
  <c r="AH24" i="2"/>
  <c r="AI24" i="2" s="1"/>
  <c r="DA24" i="2" s="1"/>
  <c r="AH76" i="2"/>
  <c r="AI76" i="2" s="1"/>
  <c r="AA10" i="2"/>
  <c r="AA116" i="2" s="1"/>
  <c r="Z116" i="2"/>
  <c r="Q37" i="2"/>
  <c r="Q116" i="2" s="1"/>
  <c r="P116" i="2"/>
  <c r="AL60" i="2"/>
  <c r="AK116" i="2"/>
  <c r="AD37" i="2"/>
  <c r="AD116" i="2" s="1"/>
  <c r="AC116" i="2"/>
  <c r="BF83" i="2"/>
  <c r="BE116" i="2"/>
  <c r="BZ114" i="2"/>
  <c r="BZ116" i="2" s="1"/>
  <c r="BY116" i="2"/>
  <c r="BU111" i="2"/>
  <c r="BT116" i="2"/>
  <c r="CC114" i="2"/>
  <c r="CC116" i="2" s="1"/>
  <c r="N11" i="2"/>
  <c r="N116" i="2" s="1"/>
  <c r="M116" i="2"/>
  <c r="T16" i="2"/>
  <c r="T116" i="2" s="1"/>
  <c r="S116" i="2"/>
  <c r="H12" i="2"/>
  <c r="H116" i="2" s="1"/>
  <c r="G116" i="2"/>
  <c r="BA9" i="2"/>
  <c r="BB9" i="2" s="1"/>
  <c r="AZ116" i="2"/>
  <c r="K12" i="2"/>
  <c r="K116" i="2" s="1"/>
  <c r="J116" i="2"/>
  <c r="AV109" i="2"/>
  <c r="AU116" i="2"/>
  <c r="CF114" i="2"/>
  <c r="CF116" i="2" s="1"/>
  <c r="CE116" i="2"/>
  <c r="AG9" i="2"/>
  <c r="AF116" i="2"/>
  <c r="BK54" i="2"/>
  <c r="BJ116" i="2"/>
  <c r="AQ84" i="2"/>
  <c r="AP116" i="2"/>
  <c r="BP91" i="2"/>
  <c r="BO116" i="2"/>
  <c r="W10" i="2"/>
  <c r="W116" i="2" s="1"/>
  <c r="V116" i="2"/>
  <c r="DA33" i="2"/>
  <c r="AE8" i="3"/>
  <c r="DA75" i="2"/>
  <c r="DA100" i="2"/>
  <c r="DB51" i="2"/>
  <c r="DA51" i="2"/>
  <c r="DC51" i="2"/>
  <c r="DC75" i="2"/>
  <c r="DB75" i="2"/>
  <c r="DC100" i="2"/>
  <c r="DB100" i="2"/>
  <c r="AE10" i="3"/>
  <c r="AB15" i="3"/>
  <c r="AA15" i="3"/>
  <c r="Z15" i="3"/>
  <c r="O15" i="3"/>
  <c r="DB82" i="2"/>
  <c r="DC82" i="2"/>
  <c r="DA82" i="2"/>
  <c r="DC63" i="2"/>
  <c r="DA63" i="2"/>
  <c r="DB63" i="2"/>
  <c r="DA115" i="2"/>
  <c r="DA18" i="2"/>
  <c r="DA28" i="2"/>
  <c r="DA36" i="2"/>
  <c r="DA79" i="2"/>
  <c r="DA55" i="2"/>
  <c r="DA62" i="2"/>
  <c r="DA105" i="2"/>
  <c r="DC97" i="2"/>
  <c r="DB97" i="2"/>
  <c r="DA97" i="2"/>
  <c r="DA32" i="2"/>
  <c r="DA53" i="2"/>
  <c r="DB17" i="2"/>
  <c r="DA17" i="2"/>
  <c r="DC17" i="2"/>
  <c r="DA34" i="2"/>
  <c r="DB19" i="2"/>
  <c r="DA19" i="2"/>
  <c r="DB40" i="2"/>
  <c r="DA40" i="2"/>
  <c r="DC40" i="2"/>
  <c r="DC95" i="2"/>
  <c r="DB95" i="2"/>
  <c r="DA95" i="2"/>
  <c r="DC78" i="2"/>
  <c r="DB78" i="2"/>
  <c r="DA78" i="2"/>
  <c r="DC103" i="2"/>
  <c r="DB103" i="2"/>
  <c r="DA103" i="2"/>
  <c r="DC86" i="2"/>
  <c r="DB86" i="2"/>
  <c r="DA86" i="2"/>
  <c r="DA108" i="2"/>
  <c r="DA112" i="2"/>
  <c r="DC113" i="2"/>
  <c r="DA113" i="2"/>
  <c r="DB113" i="2"/>
  <c r="DC110" i="2"/>
  <c r="DB110" i="2"/>
  <c r="DA110" i="2"/>
  <c r="DA107" i="2"/>
  <c r="DB106" i="2"/>
  <c r="DC106" i="2"/>
  <c r="DA106" i="2"/>
  <c r="DB107" i="2"/>
  <c r="DC107" i="2"/>
  <c r="DC102" i="2"/>
  <c r="DA102" i="2"/>
  <c r="DB102" i="2"/>
  <c r="DC101" i="2"/>
  <c r="DB101" i="2"/>
  <c r="DA101" i="2"/>
  <c r="DB98" i="2"/>
  <c r="DC98" i="2"/>
  <c r="DA98" i="2"/>
  <c r="DA96" i="2"/>
  <c r="DC96" i="2"/>
  <c r="DB96" i="2"/>
  <c r="DC93" i="2"/>
  <c r="DB93" i="2"/>
  <c r="DA93" i="2"/>
  <c r="DC99" i="2"/>
  <c r="DB99" i="2"/>
  <c r="DA99" i="2"/>
  <c r="DA92" i="2"/>
  <c r="DC92" i="2"/>
  <c r="DB92" i="2"/>
  <c r="DC87" i="2"/>
  <c r="DA87" i="2"/>
  <c r="DB87" i="2"/>
  <c r="DB85" i="2"/>
  <c r="DA85" i="2"/>
  <c r="DC85" i="2"/>
  <c r="DA77" i="2"/>
  <c r="DC77" i="2"/>
  <c r="DB77" i="2"/>
  <c r="DC80" i="2"/>
  <c r="DB80" i="2"/>
  <c r="DA80" i="2"/>
  <c r="DC69" i="2"/>
  <c r="DB69" i="2"/>
  <c r="DA69" i="2"/>
  <c r="DB68" i="2"/>
  <c r="DA68" i="2"/>
  <c r="DC68" i="2"/>
  <c r="DA64" i="2"/>
  <c r="DC64" i="2"/>
  <c r="DB64" i="2"/>
  <c r="DC61" i="2"/>
  <c r="DB61" i="2"/>
  <c r="DA61" i="2"/>
  <c r="DA58" i="2"/>
  <c r="DC58" i="2"/>
  <c r="DB58" i="2"/>
  <c r="DC57" i="2"/>
  <c r="DA57" i="2"/>
  <c r="DB57" i="2"/>
  <c r="DC56" i="2"/>
  <c r="DA56" i="2"/>
  <c r="DB56" i="2"/>
  <c r="DC35" i="2"/>
  <c r="DB35" i="2"/>
  <c r="DA35" i="2"/>
  <c r="DC33" i="2"/>
  <c r="DB33" i="2"/>
  <c r="DA20" i="2"/>
  <c r="DC20" i="2"/>
  <c r="DB20" i="2"/>
  <c r="DA26" i="2"/>
  <c r="DA27" i="2"/>
  <c r="DC27" i="2"/>
  <c r="DB27" i="2"/>
  <c r="DC29" i="2"/>
  <c r="DA29" i="2"/>
  <c r="DB29" i="2"/>
  <c r="DC13" i="2"/>
  <c r="DB13" i="2"/>
  <c r="DA13" i="2"/>
  <c r="DB23" i="2"/>
  <c r="DC23" i="2"/>
  <c r="DA23" i="2"/>
  <c r="DA25" i="2"/>
  <c r="DC25" i="2"/>
  <c r="DB25" i="2"/>
  <c r="DA14" i="2"/>
  <c r="DC14" i="2"/>
  <c r="DB14" i="2"/>
  <c r="DA22" i="2"/>
  <c r="DB22" i="2"/>
  <c r="DC22" i="2"/>
  <c r="DB15" i="2"/>
  <c r="DA15" i="2"/>
  <c r="DC15" i="2"/>
  <c r="DA67" i="2"/>
  <c r="DB108" i="2"/>
  <c r="DB79" i="2"/>
  <c r="DC34" i="2"/>
  <c r="DC47" i="2"/>
  <c r="DA42" i="2"/>
  <c r="DB67" i="2"/>
  <c r="DC105" i="2"/>
  <c r="DB44" i="2"/>
  <c r="DA90" i="2"/>
  <c r="DB26" i="2"/>
  <c r="DB41" i="2"/>
  <c r="DC50" i="2"/>
  <c r="DB34" i="2"/>
  <c r="DC36" i="2"/>
  <c r="DC43" i="2"/>
  <c r="DC28" i="2"/>
  <c r="DB28" i="2"/>
  <c r="DA45" i="2"/>
  <c r="DA50" i="2"/>
  <c r="DC48" i="2"/>
  <c r="DB50" i="2"/>
  <c r="DC70" i="2"/>
  <c r="DC32" i="2"/>
  <c r="DB32" i="2"/>
  <c r="DB65" i="2"/>
  <c r="DC79" i="2"/>
  <c r="DB105" i="2"/>
  <c r="DC19" i="2"/>
  <c r="DC26" i="2"/>
  <c r="DC59" i="2"/>
  <c r="DB59" i="2"/>
  <c r="DA59" i="2"/>
  <c r="DC39" i="2"/>
  <c r="DC18" i="2"/>
  <c r="DB18" i="2"/>
  <c r="DC53" i="2"/>
  <c r="DB53" i="2"/>
  <c r="DA41" i="2"/>
  <c r="DB42" i="2"/>
  <c r="DB43" i="2"/>
  <c r="DA47" i="2"/>
  <c r="DB62" i="2"/>
  <c r="DB36" i="2"/>
  <c r="DC41" i="2"/>
  <c r="DC42" i="2"/>
  <c r="DB47" i="2"/>
  <c r="DC90" i="2"/>
  <c r="DB90" i="2"/>
  <c r="DA39" i="2"/>
  <c r="DA46" i="2"/>
  <c r="DB46" i="2"/>
  <c r="DC62" i="2"/>
  <c r="DB70" i="2"/>
  <c r="DC74" i="2"/>
  <c r="DB74" i="2"/>
  <c r="DC94" i="2"/>
  <c r="DA94" i="2"/>
  <c r="DB94" i="2"/>
  <c r="DB39" i="2"/>
  <c r="DC46" i="2"/>
  <c r="DA65" i="2"/>
  <c r="DA38" i="2"/>
  <c r="DB38" i="2"/>
  <c r="DB45" i="2"/>
  <c r="DC65" i="2"/>
  <c r="DB66" i="2"/>
  <c r="DA66" i="2"/>
  <c r="DC67" i="2"/>
  <c r="DC45" i="2"/>
  <c r="DC38" i="2"/>
  <c r="DC44" i="2"/>
  <c r="DA44" i="2"/>
  <c r="DC49" i="2"/>
  <c r="DB49" i="2"/>
  <c r="DA49" i="2"/>
  <c r="DA43" i="2"/>
  <c r="DB48" i="2"/>
  <c r="DA48" i="2"/>
  <c r="DC55" i="2"/>
  <c r="DB55" i="2"/>
  <c r="DC66" i="2"/>
  <c r="DA74" i="2"/>
  <c r="DB89" i="2"/>
  <c r="DA89" i="2"/>
  <c r="DB115" i="2"/>
  <c r="DC89" i="2"/>
  <c r="DA70" i="2"/>
  <c r="DC108" i="2"/>
  <c r="DC112" i="2"/>
  <c r="DC115" i="2"/>
  <c r="DB112" i="2"/>
  <c r="DC88" i="2" l="1"/>
  <c r="DB88" i="2"/>
  <c r="DA88" i="2"/>
  <c r="DA81" i="2"/>
  <c r="DB81" i="2"/>
  <c r="DD81" i="2" s="1"/>
  <c r="DC76" i="2"/>
  <c r="DB76" i="2"/>
  <c r="DA76" i="2"/>
  <c r="DB52" i="2"/>
  <c r="DC52" i="2"/>
  <c r="DA52" i="2"/>
  <c r="DC24" i="2"/>
  <c r="DB31" i="2"/>
  <c r="DC31" i="2"/>
  <c r="DB24" i="2"/>
  <c r="BU116" i="2"/>
  <c r="BV111" i="2"/>
  <c r="BV116" i="2" s="1"/>
  <c r="BP116" i="2"/>
  <c r="BQ91" i="2"/>
  <c r="BQ116" i="2" s="1"/>
  <c r="BK116" i="2"/>
  <c r="BL54" i="2"/>
  <c r="BL116" i="2" s="1"/>
  <c r="BF116" i="2"/>
  <c r="BG83" i="2"/>
  <c r="BH83" i="2" s="1"/>
  <c r="AV116" i="2"/>
  <c r="AW109" i="2"/>
  <c r="AX109" i="2" s="1"/>
  <c r="AQ116" i="2"/>
  <c r="AR84" i="2"/>
  <c r="AR116" i="2" s="1"/>
  <c r="AL116" i="2"/>
  <c r="AM60" i="2"/>
  <c r="AN60" i="2" s="1"/>
  <c r="BA116" i="2"/>
  <c r="DB11" i="2"/>
  <c r="AH9" i="2"/>
  <c r="AH116" i="2" s="1"/>
  <c r="DC11" i="2"/>
  <c r="DC16" i="2"/>
  <c r="DA11" i="2"/>
  <c r="DC12" i="2"/>
  <c r="DD87" i="2"/>
  <c r="DG87" i="2" s="1"/>
  <c r="DA16" i="2"/>
  <c r="AG116" i="2"/>
  <c r="DB16" i="2"/>
  <c r="DB12" i="2"/>
  <c r="DA12" i="2"/>
  <c r="DB114" i="2"/>
  <c r="DC37" i="2"/>
  <c r="DA10" i="2"/>
  <c r="DA114" i="2"/>
  <c r="DB10" i="2"/>
  <c r="DB37" i="2"/>
  <c r="DC10" i="2"/>
  <c r="DA37" i="2"/>
  <c r="DC114" i="2"/>
  <c r="DD75" i="2"/>
  <c r="DG75" i="2" s="1"/>
  <c r="DD51" i="2"/>
  <c r="DG51" i="2" s="1"/>
  <c r="DD100" i="2"/>
  <c r="DG100" i="2" s="1"/>
  <c r="AC15" i="3"/>
  <c r="AD15" i="3" s="1"/>
  <c r="AE15" i="3" s="1"/>
  <c r="AE16" i="3" s="1"/>
  <c r="DD97" i="2"/>
  <c r="DG97" i="2" s="1"/>
  <c r="DD26" i="2"/>
  <c r="DD68" i="2"/>
  <c r="DG68" i="2" s="1"/>
  <c r="DD79" i="2"/>
  <c r="DG79" i="2" s="1"/>
  <c r="DD108" i="2"/>
  <c r="DG108" i="2" s="1"/>
  <c r="DD64" i="2"/>
  <c r="DG64" i="2" s="1"/>
  <c r="DD56" i="2"/>
  <c r="DG56" i="2" s="1"/>
  <c r="DD42" i="2"/>
  <c r="DD67" i="2"/>
  <c r="DG67" i="2" s="1"/>
  <c r="DD36" i="2"/>
  <c r="DD44" i="2"/>
  <c r="DD41" i="2"/>
  <c r="DD19" i="2"/>
  <c r="DD98" i="2"/>
  <c r="DG98" i="2" s="1"/>
  <c r="DD69" i="2"/>
  <c r="DG69" i="2" s="1"/>
  <c r="DD113" i="2"/>
  <c r="DG113" i="2" s="1"/>
  <c r="DD34" i="2"/>
  <c r="DD105" i="2"/>
  <c r="DG105" i="2" s="1"/>
  <c r="DD32" i="2"/>
  <c r="DD43" i="2"/>
  <c r="DD28" i="2"/>
  <c r="DD35" i="2"/>
  <c r="DD103" i="2"/>
  <c r="DG103" i="2" s="1"/>
  <c r="DD48" i="2"/>
  <c r="DD17" i="2"/>
  <c r="DD47" i="2"/>
  <c r="DD115" i="2"/>
  <c r="DD65" i="2"/>
  <c r="DG65" i="2" s="1"/>
  <c r="DD70" i="2"/>
  <c r="DG70" i="2" s="1"/>
  <c r="DD62" i="2"/>
  <c r="DG62" i="2" s="1"/>
  <c r="DD50" i="2"/>
  <c r="DD45" i="2"/>
  <c r="DD20" i="2"/>
  <c r="DD30" i="2"/>
  <c r="DD86" i="2"/>
  <c r="DG86" i="2" s="1"/>
  <c r="DD58" i="2"/>
  <c r="DG58" i="2" s="1"/>
  <c r="DD38" i="2"/>
  <c r="DD13" i="2"/>
  <c r="DG13" i="2" s="1"/>
  <c r="DD110" i="2"/>
  <c r="DG110" i="2" s="1"/>
  <c r="DD93" i="2"/>
  <c r="DG93" i="2" s="1"/>
  <c r="DD78" i="2"/>
  <c r="DG78" i="2" s="1"/>
  <c r="DD73" i="2"/>
  <c r="DG73" i="2" s="1"/>
  <c r="DF73" i="2" s="1"/>
  <c r="DD102" i="2"/>
  <c r="DG102" i="2" s="1"/>
  <c r="DD85" i="2"/>
  <c r="DG85" i="2" s="1"/>
  <c r="DD107" i="2"/>
  <c r="DG107" i="2" s="1"/>
  <c r="DD89" i="2"/>
  <c r="DG89" i="2" s="1"/>
  <c r="DD29" i="2"/>
  <c r="DD14" i="2"/>
  <c r="DD33" i="2"/>
  <c r="DD74" i="2"/>
  <c r="DG74" i="2" s="1"/>
  <c r="DD95" i="2"/>
  <c r="DG95" i="2" s="1"/>
  <c r="DD94" i="2"/>
  <c r="DG94" i="2" s="1"/>
  <c r="DD61" i="2"/>
  <c r="DG61" i="2" s="1"/>
  <c r="DD77" i="2"/>
  <c r="DG77" i="2" s="1"/>
  <c r="DD101" i="2"/>
  <c r="DG101" i="2" s="1"/>
  <c r="DD57" i="2"/>
  <c r="DG57" i="2" s="1"/>
  <c r="DD106" i="2"/>
  <c r="DG106" i="2" s="1"/>
  <c r="DD66" i="2"/>
  <c r="DG66" i="2" s="1"/>
  <c r="DD80" i="2"/>
  <c r="DG80" i="2" s="1"/>
  <c r="DD46" i="2"/>
  <c r="DD18" i="2"/>
  <c r="DD25" i="2"/>
  <c r="DD15" i="2"/>
  <c r="DD40" i="2"/>
  <c r="DD22" i="2"/>
  <c r="DD55" i="2"/>
  <c r="DG55" i="2" s="1"/>
  <c r="DD27" i="2"/>
  <c r="DD104" i="2"/>
  <c r="DG104" i="2" s="1"/>
  <c r="DF104" i="2" s="1"/>
  <c r="DD90" i="2"/>
  <c r="DG90" i="2" s="1"/>
  <c r="DD53" i="2"/>
  <c r="DD23" i="2"/>
  <c r="DD92" i="2"/>
  <c r="DG92" i="2" s="1"/>
  <c r="DD82" i="2"/>
  <c r="DG82" i="2" s="1"/>
  <c r="DD39" i="2"/>
  <c r="DD96" i="2"/>
  <c r="DG96" i="2" s="1"/>
  <c r="DD72" i="2"/>
  <c r="DG72" i="2" s="1"/>
  <c r="DF72" i="2" s="1"/>
  <c r="DD112" i="2"/>
  <c r="DG112" i="2" s="1"/>
  <c r="DD99" i="2"/>
  <c r="DG99" i="2" s="1"/>
  <c r="DD59" i="2"/>
  <c r="DG59" i="2" s="1"/>
  <c r="DD49" i="2"/>
  <c r="DD63" i="2"/>
  <c r="DG63" i="2" s="1"/>
  <c r="DD21" i="2"/>
  <c r="DD88" i="2" l="1"/>
  <c r="DG88" i="2" s="1"/>
  <c r="DH88" i="2" s="1"/>
  <c r="DB109" i="2"/>
  <c r="DA109" i="2"/>
  <c r="DC109" i="2"/>
  <c r="DD52" i="2"/>
  <c r="DG52" i="2" s="1"/>
  <c r="DF52" i="2" s="1"/>
  <c r="DC83" i="2"/>
  <c r="DB83" i="2"/>
  <c r="DA83" i="2"/>
  <c r="DG81" i="2"/>
  <c r="DF81" i="2" s="1"/>
  <c r="DD76" i="2"/>
  <c r="DG76" i="2" s="1"/>
  <c r="DF76" i="2" s="1"/>
  <c r="DC60" i="2"/>
  <c r="DB60" i="2"/>
  <c r="DA60" i="2"/>
  <c r="DD24" i="2"/>
  <c r="DG24" i="2" s="1"/>
  <c r="DF24" i="2" s="1"/>
  <c r="DD31" i="2"/>
  <c r="DG31" i="2" s="1"/>
  <c r="BW111" i="2"/>
  <c r="BR91" i="2"/>
  <c r="BM54" i="2"/>
  <c r="BC9" i="2"/>
  <c r="BC116" i="2" s="1"/>
  <c r="BB116" i="2"/>
  <c r="AS84" i="2"/>
  <c r="AI9" i="2"/>
  <c r="DD11" i="2"/>
  <c r="DG11" i="2" s="1"/>
  <c r="DD16" i="2"/>
  <c r="DG16" i="2" s="1"/>
  <c r="DD12" i="2"/>
  <c r="DG12" i="2" s="1"/>
  <c r="DD10" i="2"/>
  <c r="DG10" i="2" s="1"/>
  <c r="DD37" i="2"/>
  <c r="DG37" i="2" s="1"/>
  <c r="DD114" i="2"/>
  <c r="DG114" i="2" s="1"/>
  <c r="DF95" i="2"/>
  <c r="DF85" i="2"/>
  <c r="DF70" i="2"/>
  <c r="DF63" i="2"/>
  <c r="DF65" i="2"/>
  <c r="DF106" i="2"/>
  <c r="DF105" i="2"/>
  <c r="DF74" i="2"/>
  <c r="DF88" i="2"/>
  <c r="DF77" i="2"/>
  <c r="DF113" i="2"/>
  <c r="DF101" i="2"/>
  <c r="DF82" i="2"/>
  <c r="DF78" i="2"/>
  <c r="DF87" i="2"/>
  <c r="DF68" i="2"/>
  <c r="DF75" i="2"/>
  <c r="DF56" i="2"/>
  <c r="DF102" i="2"/>
  <c r="DF55" i="2"/>
  <c r="DF93" i="2"/>
  <c r="DF69" i="2"/>
  <c r="DF67" i="2"/>
  <c r="DF62" i="2"/>
  <c r="DF96" i="2"/>
  <c r="DF64" i="2"/>
  <c r="DF86" i="2"/>
  <c r="DF59" i="2"/>
  <c r="DF80" i="2"/>
  <c r="DF66" i="2"/>
  <c r="DF61" i="2"/>
  <c r="DF89" i="2"/>
  <c r="DF110" i="2"/>
  <c r="DF98" i="2"/>
  <c r="DF103" i="2"/>
  <c r="DF90" i="2"/>
  <c r="DF92" i="2"/>
  <c r="DF99" i="2"/>
  <c r="DF112" i="2"/>
  <c r="DF94" i="2"/>
  <c r="DF107" i="2"/>
  <c r="DF97" i="2"/>
  <c r="AD16" i="3"/>
  <c r="DG29" i="2"/>
  <c r="DG20" i="2"/>
  <c r="DG47" i="2"/>
  <c r="DG36" i="2"/>
  <c r="DG45" i="2"/>
  <c r="DG17" i="2"/>
  <c r="DG43" i="2"/>
  <c r="DG26" i="2"/>
  <c r="DG22" i="2"/>
  <c r="DG50" i="2"/>
  <c r="DG48" i="2"/>
  <c r="DG32" i="2"/>
  <c r="DG23" i="2"/>
  <c r="DG40" i="2"/>
  <c r="DG38" i="2"/>
  <c r="DG19" i="2"/>
  <c r="DG42" i="2"/>
  <c r="DG41" i="2"/>
  <c r="DG25" i="2"/>
  <c r="DG35" i="2"/>
  <c r="DG34" i="2"/>
  <c r="DG49" i="2"/>
  <c r="DG18" i="2"/>
  <c r="DG14" i="2"/>
  <c r="DG28" i="2"/>
  <c r="DG44" i="2"/>
  <c r="DG21" i="2"/>
  <c r="DG53" i="2"/>
  <c r="DG15" i="2"/>
  <c r="DG33" i="2"/>
  <c r="DG39" i="2"/>
  <c r="DG27" i="2"/>
  <c r="DG46" i="2"/>
  <c r="DG30" i="2"/>
  <c r="DF100" i="2"/>
  <c r="DH100" i="2"/>
  <c r="DF51" i="2"/>
  <c r="DH51" i="2"/>
  <c r="DF79" i="2"/>
  <c r="DH79" i="2"/>
  <c r="DH13" i="2"/>
  <c r="DF13" i="2"/>
  <c r="DG115" i="2"/>
  <c r="DH106" i="2"/>
  <c r="DH113" i="2"/>
  <c r="DH108" i="2"/>
  <c r="DH96" i="2"/>
  <c r="DH61" i="2"/>
  <c r="DH78" i="2"/>
  <c r="DH63" i="2"/>
  <c r="DH57" i="2"/>
  <c r="DH94" i="2"/>
  <c r="DH89" i="2"/>
  <c r="DH93" i="2"/>
  <c r="DH87" i="2"/>
  <c r="DH95" i="2"/>
  <c r="DH74" i="2"/>
  <c r="DH98" i="2"/>
  <c r="DH68" i="2"/>
  <c r="DH72" i="2"/>
  <c r="DH110" i="2"/>
  <c r="DH69" i="2"/>
  <c r="DH104" i="2"/>
  <c r="DH59" i="2"/>
  <c r="DH82" i="2"/>
  <c r="DH97" i="2"/>
  <c r="DH85" i="2"/>
  <c r="DH62" i="2"/>
  <c r="DH103" i="2"/>
  <c r="DH105" i="2"/>
  <c r="DH101" i="2"/>
  <c r="DH67" i="2"/>
  <c r="DH99" i="2"/>
  <c r="DH92" i="2"/>
  <c r="DH55" i="2"/>
  <c r="DH80" i="2"/>
  <c r="DH102" i="2"/>
  <c r="DH58" i="2"/>
  <c r="DH70" i="2"/>
  <c r="DH56" i="2"/>
  <c r="DH73" i="2"/>
  <c r="DH90" i="2"/>
  <c r="DH107" i="2"/>
  <c r="DH77" i="2"/>
  <c r="DH112" i="2"/>
  <c r="DH66" i="2"/>
  <c r="DH86" i="2"/>
  <c r="DH65" i="2"/>
  <c r="DH64" i="2"/>
  <c r="DH75" i="2"/>
  <c r="DD83" i="2" l="1"/>
  <c r="DG83" i="2" s="1"/>
  <c r="DF83" i="2" s="1"/>
  <c r="DD109" i="2"/>
  <c r="DG109" i="2" s="1"/>
  <c r="DF109" i="2" s="1"/>
  <c r="BW116" i="2"/>
  <c r="DC111" i="2"/>
  <c r="DB111" i="2"/>
  <c r="DA111" i="2"/>
  <c r="DH81" i="2"/>
  <c r="BR116" i="2"/>
  <c r="DA91" i="2"/>
  <c r="DC91" i="2"/>
  <c r="DB91" i="2"/>
  <c r="DD60" i="2"/>
  <c r="DG60" i="2" s="1"/>
  <c r="DF60" i="2" s="1"/>
  <c r="AS116" i="2"/>
  <c r="DC84" i="2"/>
  <c r="DB84" i="2"/>
  <c r="DA84" i="2"/>
  <c r="DH76" i="2"/>
  <c r="BM116" i="2"/>
  <c r="DC54" i="2"/>
  <c r="DB54" i="2"/>
  <c r="DA54" i="2"/>
  <c r="AI116" i="2"/>
  <c r="DC9" i="2"/>
  <c r="DA9" i="2"/>
  <c r="DB9" i="2"/>
  <c r="DH32" i="2"/>
  <c r="DF32" i="2"/>
  <c r="DH30" i="2"/>
  <c r="DF30" i="2"/>
  <c r="DH31" i="2"/>
  <c r="DF31" i="2"/>
  <c r="DH10" i="2"/>
  <c r="DF10" i="2"/>
  <c r="DH28" i="2"/>
  <c r="DF26" i="2"/>
  <c r="DH29" i="2"/>
  <c r="DH114" i="2"/>
  <c r="DF114" i="2"/>
  <c r="DF11" i="2"/>
  <c r="DH33" i="2"/>
  <c r="DF33" i="2"/>
  <c r="DH26" i="2"/>
  <c r="DH52" i="2"/>
  <c r="DH49" i="2"/>
  <c r="DF49" i="2"/>
  <c r="DH46" i="2"/>
  <c r="DF46" i="2"/>
  <c r="DH27" i="2"/>
  <c r="DF27" i="2"/>
  <c r="DH12" i="2"/>
  <c r="DF12" i="2"/>
  <c r="DH34" i="2"/>
  <c r="DH41" i="2"/>
  <c r="DF41" i="2"/>
  <c r="DH48" i="2"/>
  <c r="DF48" i="2"/>
  <c r="DH43" i="2"/>
  <c r="DF43" i="2"/>
  <c r="DH36" i="2"/>
  <c r="DF36" i="2"/>
  <c r="DH16" i="2"/>
  <c r="DF16" i="2"/>
  <c r="DH53" i="2"/>
  <c r="DF53" i="2"/>
  <c r="DH37" i="2"/>
  <c r="DF37" i="2"/>
  <c r="DH39" i="2"/>
  <c r="DF39" i="2"/>
  <c r="DH14" i="2"/>
  <c r="DF14" i="2"/>
  <c r="DH42" i="2"/>
  <c r="DF42" i="2"/>
  <c r="DH40" i="2"/>
  <c r="DF40" i="2"/>
  <c r="DH50" i="2"/>
  <c r="DF50" i="2"/>
  <c r="DH17" i="2"/>
  <c r="DF17" i="2"/>
  <c r="DH47" i="2"/>
  <c r="DF47" i="2"/>
  <c r="DH21" i="2"/>
  <c r="DF21" i="2"/>
  <c r="DH35" i="2"/>
  <c r="DH15" i="2"/>
  <c r="DF15" i="2"/>
  <c r="DH18" i="2"/>
  <c r="DF18" i="2"/>
  <c r="DH25" i="2"/>
  <c r="DF25" i="2"/>
  <c r="DH19" i="2"/>
  <c r="DF19" i="2"/>
  <c r="DH23" i="2"/>
  <c r="DF23" i="2"/>
  <c r="DH22" i="2"/>
  <c r="DF22" i="2"/>
  <c r="DH45" i="2"/>
  <c r="DF45" i="2"/>
  <c r="DH20" i="2"/>
  <c r="DF20" i="2"/>
  <c r="DH38" i="2"/>
  <c r="DF38" i="2"/>
  <c r="DH44" i="2"/>
  <c r="DF44" i="2"/>
  <c r="DF115" i="2"/>
  <c r="DH24" i="2"/>
  <c r="DH115" i="2"/>
  <c r="DH83" i="2" l="1"/>
  <c r="DH60" i="2"/>
  <c r="DH109" i="2"/>
  <c r="DD111" i="2"/>
  <c r="DG111" i="2" s="1"/>
  <c r="DD91" i="2"/>
  <c r="DG91" i="2" s="1"/>
  <c r="DF91" i="2" s="1"/>
  <c r="DD84" i="2"/>
  <c r="DG84" i="2" s="1"/>
  <c r="DD54" i="2"/>
  <c r="DG54" i="2" s="1"/>
  <c r="DD9" i="2"/>
  <c r="DG9" i="2" s="1"/>
  <c r="DH11" i="2"/>
  <c r="DF9" i="2" l="1"/>
  <c r="DF111" i="2"/>
  <c r="DH111" i="2"/>
  <c r="DH91" i="2"/>
  <c r="DF84" i="2"/>
  <c r="DH84" i="2"/>
  <c r="DF54" i="2"/>
  <c r="DH54" i="2"/>
  <c r="DH9" i="2"/>
  <c r="DF116"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NELCY</author>
  </authors>
  <commentList>
    <comment ref="CD21" authorId="0" shapeId="0" xr:uid="{00000000-0006-0000-0000-000001000000}">
      <text>
        <r>
          <rPr>
            <b/>
            <sz val="9"/>
            <color indexed="81"/>
            <rFont val="Tahoma"/>
            <family val="2"/>
          </rPr>
          <t xml:space="preserve">Se toma el valor unitario del pliego según la cotización $1.300 X 30, para hallar el valor del paquete requerido
</t>
        </r>
      </text>
    </comment>
    <comment ref="K30" authorId="0" shapeId="0" xr:uid="{00000000-0006-0000-0000-000002000000}">
      <text>
        <r>
          <rPr>
            <b/>
            <sz val="9"/>
            <color indexed="81"/>
            <rFont val="Tahoma"/>
            <family val="2"/>
          </rPr>
          <t xml:space="preserve">24/07/2025
El valor según cotización incluido iva es de $12.000
</t>
        </r>
      </text>
    </comment>
    <comment ref="D51" authorId="0" shapeId="0" xr:uid="{00000000-0006-0000-0000-000003000000}">
      <text>
        <r>
          <rPr>
            <b/>
            <sz val="9"/>
            <color indexed="81"/>
            <rFont val="Tahoma"/>
            <family val="2"/>
          </rPr>
          <t>31/07/2025
Se cambió unidad de medida</t>
        </r>
      </text>
    </comment>
  </commentList>
</comments>
</file>

<file path=xl/sharedStrings.xml><?xml version="1.0" encoding="utf-8"?>
<sst xmlns="http://schemas.openxmlformats.org/spreadsheetml/2006/main" count="1890" uniqueCount="814">
  <si>
    <t>ANALISIS COTIZACIONES</t>
  </si>
  <si>
    <t xml:space="preserve">RESULTADO  DEL ANALISIS </t>
  </si>
  <si>
    <t>ELEMENTO Y/O PRODUCTO</t>
  </si>
  <si>
    <t>DESCRIPCIÓN / ESPECIFICACIÓN TÉCNICA</t>
  </si>
  <si>
    <t>UNIDAD DE MEDIDA</t>
  </si>
  <si>
    <t>CANTIDAD A COTIZAR</t>
  </si>
  <si>
    <t xml:space="preserve">VALOR UNITARIO IVA INCLUIDO </t>
  </si>
  <si>
    <t xml:space="preserve">VALOR TOTAL IVA INCLUIDO </t>
  </si>
  <si>
    <t xml:space="preserve">MEDIANA (Unitario) </t>
  </si>
  <si>
    <t>PROMEDIO (Unitario)</t>
  </si>
  <si>
    <t>DESVIACIÓN ESTÁNDAR (Unitario)</t>
  </si>
  <si>
    <t>VALOR TOTAL (IVA INCLUIDO)</t>
  </si>
  <si>
    <t xml:space="preserve">OBSERVACIONES </t>
  </si>
  <si>
    <t>Acuarelas</t>
  </si>
  <si>
    <t>Archivador - Az</t>
  </si>
  <si>
    <t xml:space="preserve">Bandas Elásticas </t>
  </si>
  <si>
    <t xml:space="preserve">Bisturí </t>
  </si>
  <si>
    <t>Bitacoras De Campo</t>
  </si>
  <si>
    <t>Block Hojas Iris</t>
  </si>
  <si>
    <t>Borrador De Tablero</t>
  </si>
  <si>
    <t xml:space="preserve">Borradores </t>
  </si>
  <si>
    <t>Cajas Para Archivo</t>
  </si>
  <si>
    <t>Carpeta</t>
  </si>
  <si>
    <t>Carpetas Para Archivo</t>
  </si>
  <si>
    <t xml:space="preserve">Cintas </t>
  </si>
  <si>
    <t>Clip Mariposa</t>
  </si>
  <si>
    <t>Corrector</t>
  </si>
  <si>
    <t xml:space="preserve">Cosedoras </t>
  </si>
  <si>
    <t>Crayolas</t>
  </si>
  <si>
    <t>Cuaderno</t>
  </si>
  <si>
    <t xml:space="preserve">Formato Carnets De Vacunación </t>
  </si>
  <si>
    <t xml:space="preserve">Formato Consentimiento Informado </t>
  </si>
  <si>
    <t xml:space="preserve">Formato Dado De Alta De Paciente </t>
  </si>
  <si>
    <t xml:space="preserve">Formato De Adopciones </t>
  </si>
  <si>
    <t xml:space="preserve">Formato Entrega Satisfactoria De Paciente </t>
  </si>
  <si>
    <t xml:space="preserve">Formato Eutanasia </t>
  </si>
  <si>
    <t xml:space="preserve">Formato Historia Clinica Brigadas Medico Veterinarias </t>
  </si>
  <si>
    <t xml:space="preserve">Formato Historia Clinica Esterilizaciones </t>
  </si>
  <si>
    <t>Formato Historia Clinica Urgencias</t>
  </si>
  <si>
    <t xml:space="preserve">Formato Hoja De Anestesia </t>
  </si>
  <si>
    <t xml:space="preserve">Formato Recomedaciones Post Quirugicas </t>
  </si>
  <si>
    <t xml:space="preserve">Formato Retiro De Puntos Y Seguimiento </t>
  </si>
  <si>
    <t>Gancho Legajador Plástico</t>
  </si>
  <si>
    <t xml:space="preserve">Ganchos </t>
  </si>
  <si>
    <t>Grapas</t>
  </si>
  <si>
    <t xml:space="preserve">Grapas </t>
  </si>
  <si>
    <t xml:space="preserve">Huelleros </t>
  </si>
  <si>
    <t>Lápiz Mina Negra</t>
  </si>
  <si>
    <t>Lápiz Mina Roja</t>
  </si>
  <si>
    <t>Libro De Actas</t>
  </si>
  <si>
    <t xml:space="preserve">Lupa </t>
  </si>
  <si>
    <t>Marcador Borrable</t>
  </si>
  <si>
    <t xml:space="preserve">Marcadores </t>
  </si>
  <si>
    <t>Notas Autoadhesivas</t>
  </si>
  <si>
    <t>Papel</t>
  </si>
  <si>
    <t>Papel Kraft</t>
  </si>
  <si>
    <t>Papel Bond</t>
  </si>
  <si>
    <t>Papel Contact</t>
  </si>
  <si>
    <t>Papel Fotográfico</t>
  </si>
  <si>
    <t>Papel Para Origami</t>
  </si>
  <si>
    <t>Papel Periódico</t>
  </si>
  <si>
    <t>Papel Seda</t>
  </si>
  <si>
    <t xml:space="preserve">Pegante </t>
  </si>
  <si>
    <t>Perforadora</t>
  </si>
  <si>
    <t>Pinceles</t>
  </si>
  <si>
    <t xml:space="preserve">Pinceles </t>
  </si>
  <si>
    <t>Pistola Silicona</t>
  </si>
  <si>
    <t>Plastilina</t>
  </si>
  <si>
    <t>Reglas</t>
  </si>
  <si>
    <t xml:space="preserve">Resaltadores </t>
  </si>
  <si>
    <t xml:space="preserve">Saca Ganchos </t>
  </si>
  <si>
    <t>Silicona</t>
  </si>
  <si>
    <t>Sobres</t>
  </si>
  <si>
    <t xml:space="preserve">Sobres </t>
  </si>
  <si>
    <t>Stickers</t>
  </si>
  <si>
    <t>Tablas Planillera</t>
  </si>
  <si>
    <t>Tablero Magnético</t>
  </si>
  <si>
    <t>Tableros</t>
  </si>
  <si>
    <t xml:space="preserve">Tableros </t>
  </si>
  <si>
    <t>Tajalápiz</t>
  </si>
  <si>
    <t xml:space="preserve">Talonario </t>
  </si>
  <si>
    <t>Temperas</t>
  </si>
  <si>
    <t>Tijeras</t>
  </si>
  <si>
    <t>Tijeras Zigzag</t>
  </si>
  <si>
    <t>Tinta Para Sello</t>
  </si>
  <si>
    <t>Vinilos</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</si>
  <si>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</si>
  <si>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Bandas de Caucho Bandas elásticas, Caja de 18 Unidades, 90 mm x 2mm</t>
  </si>
  <si>
    <t>Bisturí 18mm plástico Cuchilla corrediza y cambiable Con bloqueo de cuchilla</t>
  </si>
  <si>
    <t>Block iris tamaño carta (21,5 x 28 cm) y  tamaño oficio (22 x 33 cm), 90 g/m² a 120 g/m², ideal para uso con lápices, colores, marcadores, micropuntas, crayones y témperas de bajo contenido de agua, Mínimo 40 hojas por block.</t>
  </si>
  <si>
    <t>Bolígrafo negro Cuerpo plástico o polietileno translucido o color negro; punta metálica, con tapa, redondo, rectangular o hexagonal, Caja X 12 Unidades</t>
  </si>
  <si>
    <t>Borrador de nata No tóxico Medidas aproximadas 5.5 a 6.3 cm * 0.8 a 1 en el espesor * 1.9 a 2.3 cm. largo 5.5.</t>
  </si>
  <si>
    <t xml:space="preserve">Carpeta legajadora oficio plástica </t>
  </si>
  <si>
    <t>CARTULINA Pulpas: Mecánica sin blanqueamiento. Valor pH: Debido a la naturaleza de los materiales empleados para la fabricación de estas cartulinas, el pH tiende hacia la acidez, por lo que su uso debe ser específicamente para archivos de gestión y para series de mediano tiempo d</t>
  </si>
  <si>
    <t>Papel cartulina de distintos colores Bristol, pliego 216 gr/m2 o superior x 30 Unidades</t>
  </si>
  <si>
    <t>Cinta adhesiva de empaque en rollo 48 mm x 100 mts</t>
  </si>
  <si>
    <t>Cinta adhesiva para enmascarar multipropósito 12 mm x 40 mts</t>
  </si>
  <si>
    <t>Cinta adhesiva para enmascarar multipropósito 48 mm x 40 mts</t>
  </si>
  <si>
    <t>Cinta adhesiva Transparente 12 mm x 40 mts</t>
  </si>
  <si>
    <t>Cinta Magica Medidas aproximadas 18mm a 20 mm x 31 a 34m</t>
  </si>
  <si>
    <t>Clip mariposa gigante, Alambre metálico bajo carbono, con recubrimiento de cinc electrolítico (galvánico) Caja X 50 Und</t>
  </si>
  <si>
    <t>Caja colores 24 Unidades colores surtidos</t>
  </si>
  <si>
    <t>Caja de colores  X 12 Und , 17 cm de largo</t>
  </si>
  <si>
    <t>Corrector 8 mm 7 a 12 ml Largo del lápiz entre 1268 y 137 mm Diámetro de la punta metálica entre 0,8 y 1 mm, Caja x 12 Unds</t>
  </si>
  <si>
    <t>Cosedora metálica de alta resistencia, para gancho estándar 26/6</t>
  </si>
  <si>
    <t>Grapadora Cosedora Metálica De Pinza Estandar + Ganchos Kit</t>
  </si>
  <si>
    <t>Caja de crayolas surtidas x 12 Und</t>
  </si>
  <si>
    <t>Cuaderno 18 cm x 23 cm con logo ALCB</t>
  </si>
  <si>
    <t>Cuaderno argollados x100 r1-2</t>
  </si>
  <si>
    <t>Cuaderno Cosido Mediano Cuadriculado Book - 50 Hojas</t>
  </si>
  <si>
    <t>Paquetes de fichas bibliográficas (colores: azul, blanco, amarillo, verde y rosado: 3 paquetes de cada color)</t>
  </si>
  <si>
    <t>Formato Papel bond 75g carta con la NTC 4436:1998 y la NTC 5397. Especificaciones de impresión Según ALCB</t>
  </si>
  <si>
    <t>Clip estándar pequeño, Alambre con un recubrimiento superficial galvanizado que le da buena presentación y evita la oxidación, dimensión: Diámetro 0.80-0.81 mm, longitud 31.5 – 32.5 mm, ancho 7.6-8.0 mm. Caja X 100 Und</t>
  </si>
  <si>
    <t>Clip mariposa gigante x 12 Alambre metálico</t>
  </si>
  <si>
    <t>Grapa Caja  para grapadora industrial</t>
  </si>
  <si>
    <t>Huellero dactilar color negro, libre de cloro, no se decolora, no tóxico, tinta de secado rápido y no se corre. Para mínimo 2000 huellas</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</si>
  <si>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</si>
  <si>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Libro de actas 400 folios Papel bond mínimo entre 56 a 60g, tapa en cartón plastificado 32 a 34 cm largo por 20 a 23 de ancho para registro 400 folios rayados</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</si>
  <si>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</si>
  <si>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</si>
  <si>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Marcador permanente Tinta indeleble a base de alcohol de secado rápido, calor y humedad, para escribir sobre cualquier superficie Longitud de cuerpo entre 120 - 155 mm, diámetro 12 - 18 mm negro</t>
  </si>
  <si>
    <t>Marcador permanente Tinta indeleble a base de alcohol de secado rápido, calor y humedad, para escribir sobre cualquier superficie Longitud de cuerpo entre 120 - 155 mm, diámetro 12 - 18 mm negro, verde, azul o rojo, Caja x 20 Unds</t>
  </si>
  <si>
    <t xml:space="preserve">Marcador Punta Fina Permanente, Negro X 12 para diferentes superficies papel, plástico, metal secado rápido y resiste a la decoloración </t>
  </si>
  <si>
    <t xml:space="preserve">Marcador Tinta acrílica a base de agua, no tóxica, de secado rápido y resistente al agua una vez seca.Punta fina (0.7 mm) o punta media (1-2 mm), según la actividad. Ideal para detalles y trazos definidos en superficies como piedra, madera, papel, cartón.por Caja </t>
  </si>
  <si>
    <t>Banderitas paquete  x100 colores surtidos</t>
  </si>
  <si>
    <t>Notas Autoadhesivas Mínimo de 3 x 5 cms Colores surtidos, paquete X 100 hojas</t>
  </si>
  <si>
    <t>Block de papel blanco cuadriculado Carta (8.5" x 11") / 216 mm x 279 mm, 75 – 90 g/m² (resistente para escritura con lápiz, lapicero o micropunta), 50 a 80 hojas por block (según presentación), Unidad</t>
  </si>
  <si>
    <t>Papel bond 75g carta con la NTC 4436:1998 y la NTC 5397. Resmas de 500 hojas, Caja x 10 resmas</t>
  </si>
  <si>
    <t>Papel silueta negros, amarillos, azul, rojo y verde.</t>
  </si>
  <si>
    <t>Papel Kraft, 60 grs, 70 cm x 100 cm,</t>
  </si>
  <si>
    <t>Papel tamaño carta (21.6 cm x 27.9 cm) o A4 (21 cm x 29.7 cm), según disponibilidad, 300 g/m², Mínimo 10 a 20 hojas por block</t>
  </si>
  <si>
    <t>Papel bond para plotter pliegos de 1000 mm x 700mm, de gramaje de 75 grs</t>
  </si>
  <si>
    <t>Rollo Contact 45 cm x 5 metros (medida estándar, transparente brillante</t>
  </si>
  <si>
    <t>Rollo Contact x 20 metros transparente</t>
  </si>
  <si>
    <t>Papel Kraft Pliego 60gr X 25 Unidades</t>
  </si>
  <si>
    <t>Rollo Papel Kraft 60cm X 5 Kilos -130 Mts - 60 Gr</t>
  </si>
  <si>
    <t>Papel periódico pliego 70cmx100cm</t>
  </si>
  <si>
    <t xml:space="preserve">Papel seda Pliegos de 50 x 70 cm o tamaños de 20 x 30 cm, Surtido de colores vivos (mínimo 10 tonos diferentes), también disponible en tonos tierra , Paquetes de 50 o 100 hojas (surtido o por color). </t>
  </si>
  <si>
    <t>Pegante en barra sin componentes tóxicos Forma redonda, cierre hermético Mínimo 40 g</t>
  </si>
  <si>
    <t>Pegante líquido 225g unidad</t>
  </si>
  <si>
    <t>Perforadora 2 Huecos, 150 Hojas: Con regla indicadora, discos protectores de plásticos, diámetro de perforación 6-7mm, base en ABS, palanca ergonómica, depósito para papel perforado, pinner y cortadores</t>
  </si>
  <si>
    <t>Perforadora:
• Capacidad máxima: 70 hojas de 80 g
• Guías de papel ajustables
• Diámetro de la perforación: 6 mm</t>
  </si>
  <si>
    <t>Pinceles en madera punta redonda #2 x Caja12 Unidades</t>
  </si>
  <si>
    <t>Pinceles #2 x Docena Caja (13)</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</si>
  <si>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</si>
  <si>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Plastilina En Barra  Surtida 55gr Caja X 12 Unidades plastilina en barra de 55gramos x 12 Unidades
12 barras de plastilina peso 55 gramos por cada barra colores surtidos  incluye blanco, negro y los colores primarios</t>
  </si>
  <si>
    <t xml:space="preserve">Regla Metalica </t>
  </si>
  <si>
    <t>Regla Plastica de 50 cm</t>
  </si>
  <si>
    <t>Resaltador desechable Amarillo, verde, naranja, rosado o celeste Filtrona en felpa acrílica o resina termoplástica Punta biselada, Caja x 10 Unds.</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</si>
  <si>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</si>
  <si>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Saca ganchos para grapa Acero cromado combinado con plástico ABS</t>
  </si>
  <si>
    <t>Silicona Barra Transparente Gruesa Diametro: 11.2Mm Largo: 30Cm Cantidad: 25 Barras (1Kilo)</t>
  </si>
  <si>
    <t>Silicona liquida 250 mililitros Silicona liquida fría.</t>
  </si>
  <si>
    <t>Sobre de felpa para CD de 12 cm, con doble bolsillo, Caja x 100 Unds</t>
  </si>
  <si>
    <t>Sobre de manila carta de 75 g, medidas aproximadas 22,5 x 29 cms. Tipo solapa universal, paquete x 100 Unds</t>
  </si>
  <si>
    <t>Rotulo Sticker Autoadhesivo Safari 2.5 Cm X 500</t>
  </si>
  <si>
    <t>Tabla Planillera de plástico Oficio Tamaño: 35 cm alto x 23 cm largo - tamaño oficio Clip: 8 cm alto x 20 cm largo Tabla de plástico con bordes redondos.</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</si>
  <si>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</si>
  <si>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 Corcho 140X 100CM</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</si>
  <si>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</si>
  <si>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 en corcho, tamaño 60 x 80 cm, marco en madera, superficie grano fino productos que protege el medio ambiente, de fácil colgado en la pared.</t>
  </si>
  <si>
    <t>Tajalápiz Metal, con cuchilla de acero inoxidable 1 orificio para minas de 2mm</t>
  </si>
  <si>
    <t xml:space="preserve">Como soportes de asistencia técnica talonarios por 200  -original y dos copias - Papel Químico autocopiantes - tamaño oficio </t>
  </si>
  <si>
    <t xml:space="preserve">Tempera (vinilo), en frasco de 80 c.c c/u, empaque x 6 Unds, colores primarios Blanco, negros, amarillos, azul, rojo y verde. </t>
  </si>
  <si>
    <t>Tijera de acero inoxidable mango en plástico y fibra de vidrio Entre 17 - 21 cms de largo</t>
  </si>
  <si>
    <t>Vinilo Grande Caja X 10 Unidades Colores Surtidos
- Elemento: Vinilos x 10 Unidades
- Cantidad: 150 gr . C/u
- Colores Disponibles: amarillo, naranja, rosa, verde, verde limón, rojo, blanco, negro, azul oscuro, cafe, morado</t>
  </si>
  <si>
    <t>Caja</t>
  </si>
  <si>
    <t>Unid</t>
  </si>
  <si>
    <t>Paquete</t>
  </si>
  <si>
    <t>Rollo</t>
  </si>
  <si>
    <t>Block</t>
  </si>
  <si>
    <t>Pliego</t>
  </si>
  <si>
    <t>Kilo</t>
  </si>
  <si>
    <t>RICOH MP 501</t>
  </si>
  <si>
    <t>Print Cartridge Ricoh MP 601 / Toner Negro</t>
  </si>
  <si>
    <t>Unidad</t>
  </si>
  <si>
    <t>RICOH IM 550</t>
  </si>
  <si>
    <t>Print Cartridge Ricoh IM 600 / Toner</t>
  </si>
  <si>
    <t>CARTUCHOS DE TINTA</t>
  </si>
  <si>
    <t>CABEZALES</t>
  </si>
  <si>
    <t>ZEBRA GC420d</t>
  </si>
  <si>
    <t>ZEBRA GK420d</t>
  </si>
  <si>
    <t>Borrador para tablero Elaborado en felpa sintética, fieltro o paño chalet. La base debe ser en madera o plástico</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</si>
  <si>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</si>
  <si>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</si>
  <si>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Grapa metálica con recubrimiento galvanizado. Dimensiones: Long pata 5.90-6.30 mm, long. Barra 106.0 – 107.0 mm, número de grapas x barra 209 Unds / Caja X 5000  Und</t>
  </si>
  <si>
    <t>Cuadernos A5 con hojas ecológicas, portada personalizada. Diseño aportado por la Alcaldia de Ciudad Bolivar</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</si>
  <si>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</si>
  <si>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Notas autoadhesivas medianas de 7.5 cms x 7.5 cms Colores surtidos, paquete x 100 Unds</t>
  </si>
  <si>
    <t xml:space="preserve">Tamaño 15 x 15 cm (6" x 6") – también puede usarse en otros 
Tamaño  10 x 10 cm 
Tamaño 20 x 20 cm según el nivel del grupo y tipo de figura a realizar.
Papel liviano (entre 60 y 80 g/m²), flexible, resistente al plegado, que mantenga los dobleces sin romperse.
Suave al tacto, superficie lisa, sin recubrimientos brillantes. Opcional: una cara de color y otra blanca para mayor orientación en figuras complejas.
Colores	Surtido de colores sólidos (mínimo 10 diferentes), también puede incluir estampados con motivos naturales o ecológicos.
Tipo Block </t>
  </si>
  <si>
    <t>Tamaño del papel A4, Tipo de papel Fotográfico Cantidad de hojas 20 Gramaje 180 g Formato de venta Resma x20 Hojas Unidades por pack 20.</t>
  </si>
  <si>
    <t>Tinta para Sellos, 28 cc, color negro, Alta definición, tinta acuosa libre de aceites. Envase plástico de alta resistencia. Frasco dispensador flexible. (28cc). Secado rápido de 25 Segundos</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</si>
  <si>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</si>
  <si>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COMERCIALIZADORA Y PRODUCTORA POLUX S.A.S.
NIT: 900.595.362-9</t>
  </si>
  <si>
    <t>DISPERSIÓN PRECIOS (Promedio)</t>
  </si>
  <si>
    <t>THE ANIMAL SHOP SAS
900.693.209-1</t>
  </si>
  <si>
    <t>SISCOP SISTEMAS Y COPIADORAS SAS
NIT. 900.553.744-9</t>
  </si>
  <si>
    <t>TELEMARKETER - TBL SAS
NIT 901.012.708-6</t>
  </si>
  <si>
    <t>VALOR UNITARIO NO INCLUYE IVA (R.S.)</t>
  </si>
  <si>
    <t>Gancho legajador Plástico, paquete x 100 Unds</t>
  </si>
  <si>
    <t>ARTE Y DISEÑO BEJOHAN - OSCAR ARIAS
NIT: 80.025.504-1</t>
  </si>
  <si>
    <t>DÍGITOS &amp; DISEÑOS INDUSTRIA GRÁFICA S.A.S.
NIT: 900.068.916-9</t>
  </si>
  <si>
    <t>Papelografo para Papel grande y resistente, ideal para exposiciones y trabajos grupales.
Tamaño estándar: 70 cm x 100 cm.</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</si>
  <si>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mínimo 6 a 12 Unidades, en estuche de tela, cartón o tubo plástico reutilizable.</t>
  </si>
  <si>
    <t>VALOR UNITARIO ANTES DE IVA</t>
  </si>
  <si>
    <t>IVA</t>
  </si>
  <si>
    <t>VALOR UNITARIO IVA INCLUIDO</t>
  </si>
  <si>
    <t>PAPELERIA Y CACHARRERIA NCA
NIT: 39.797.006-6</t>
  </si>
  <si>
    <t>VALOR UNITARIO TECHO (IVA INCLUIDO)</t>
  </si>
  <si>
    <t>VALOR TOTAL IVA INCLUIDO</t>
  </si>
  <si>
    <t>Colores x 24 Un</t>
  </si>
  <si>
    <t>Colores x 12 Un</t>
  </si>
  <si>
    <t xml:space="preserve">Caja Bolígrafos </t>
  </si>
  <si>
    <t>Cartulina Pulpas</t>
  </si>
  <si>
    <t>Octavo de Cartulinas</t>
  </si>
  <si>
    <t>Pliego de Cartulinas</t>
  </si>
  <si>
    <t xml:space="preserve">No. </t>
  </si>
  <si>
    <t>Carpeta, Archivador A-z Plastificado Tamaño Carta</t>
  </si>
  <si>
    <t>Carpeta yute de 600 gramos, Kraft, Refuerzo en tela coleta, Tapa exterior plastificada, Con aleta vertical, Acabados perfectos, dos tapa</t>
  </si>
  <si>
    <t>Caja Referencia X200, con rotulo externo para su identificación. cartón corrugado de pared sencilla con recubrimiento interno especificaciones técnicas Resistencia a la compresión vertical.
El cartón corrugado debe tener una resistencia a la compresión vertical (RCV) de 790 ó 930 kgf/m, determinada según (NTC973:1997 o NTC 4183:1997 o NTC 5272:2004)</t>
  </si>
  <si>
    <t>ECORECICLAJE UNIVERSAL
NIT: 80.205.905-2</t>
  </si>
  <si>
    <t>CAJAS DE CARTON BIOVERDE SAS
NIT: 901.002.846-1</t>
  </si>
  <si>
    <t>Mayor valor a asumir después de ajuste</t>
  </si>
  <si>
    <t>Fichas Bibliográficas</t>
  </si>
  <si>
    <t>Formato Formula  Medica</t>
  </si>
  <si>
    <t>Formato Historia Clinica</t>
  </si>
  <si>
    <t>Papelógrafo</t>
  </si>
  <si>
    <t>Se toma la mediana como medida de tendencia central para el cálculo</t>
  </si>
  <si>
    <t>Se toma el promedio como medida de tendencia central para el cálculo</t>
  </si>
  <si>
    <t>PGI-35 </t>
  </si>
  <si>
    <t>PGI-35: "Tanque de tinta negra a base de pigmento" Para CANON PIXMA</t>
  </si>
  <si>
    <t>CLI-36</t>
  </si>
  <si>
    <t>CLI-36: "Tanque de tinta de color a base de colorante (Cian, Magenta, Amarillo, Negro)" Para CANON PIXMA</t>
  </si>
  <si>
    <t>SECRETARIA DE GOBIERNO
ALCALDIA LOCAL DE CIUDAD BOLIVAR</t>
  </si>
  <si>
    <t>ÍTEM</t>
  </si>
  <si>
    <t xml:space="preserve">VALOR UNITARIO
IVA INCLUIDO </t>
  </si>
  <si>
    <t>FILAMENTO DE IMPRESIÓN 3D PLA</t>
  </si>
  <si>
    <t>Rollo estiquer blanco transferencia térmica / Rollo 110 mm x 74 ni- Half-Inch-Wax- 5cc 748, Papel normal de 5 cm x 7 cm</t>
  </si>
  <si>
    <t>Rollo estiquer blanco transferencia térmica / Papel Térmico de 100 mm x 75 mm, Papel Térmico de 50 mm x 70 mm</t>
  </si>
  <si>
    <t>Filamento de impresión 3D PLA / Filamento PLA de colores variados para impresora 3D con características de impresión: Diámetro del filamento: 1.75 mm; Extrusora: Individual Bowden; Diámetro de la boquilla: MK8 de 0.4 mm; Temperatura máxima de impresión 260°C (Rollo)</t>
  </si>
  <si>
    <t>Rollo x 1 Kilo</t>
  </si>
  <si>
    <t>PANAMERICANA
NIT: 830.037.946-3
(Página Web)</t>
  </si>
  <si>
    <t>MICROSCOPIOS Y EQUIPOS ESPECIALES
NIT: 830.023.974-9
(Página Web)</t>
  </si>
  <si>
    <t>FALABELLA
NIT: 900.499.362-8
(Página Web)</t>
  </si>
  <si>
    <t>SUMI MEGA S.A.S.
NIT: 900.334.852-7
(Página Web)</t>
  </si>
  <si>
    <t>MEGA DISTRIBUCIONES
NIT: 901.114.745-7
(Página Web)</t>
  </si>
  <si>
    <t>PAPELERÍA EL MAYORISTA -  INVERSIONES GOMAR LTDA.
NIT: 805.007.170-6
(Página Web)</t>
  </si>
  <si>
    <t>HOMECENTER - SODIMAC COLOMBIA S.A.
NIT: 800.242.106-2
(Página Web)</t>
  </si>
  <si>
    <t>PELIKAN COLOMBIA
NIT: 860.001.789-7
(Página Web)</t>
  </si>
  <si>
    <t>ERGONOMUS S.A.S.
NIT: 900.642.173-5
(Página Web)</t>
  </si>
  <si>
    <t>COMERCIAL PAPELERA
NIT: 860.528.396-9
(Página Web)</t>
  </si>
  <si>
    <t>COMERCIALIZADORA Y PRODUCTORA POLUX S.A.S.
NIT: 900.595.362-9
(SECOP II)</t>
  </si>
  <si>
    <t>SOLUTEK INFORMATICA SAS
NIT: 900.309.569-1</t>
  </si>
  <si>
    <t>PAPELERÍA LÁPIZ ROJO - LUIS HERNANDO VARGAS GUERRA
NIT: 80.184.438-2</t>
  </si>
  <si>
    <t>ESCOLARES VERSALLES SAS  
NIT 800.088.063-4</t>
  </si>
  <si>
    <t>DISTRIBUIDORA NACIONAL GROUP
NIT 901.708.000-9</t>
  </si>
  <si>
    <t xml:space="preserve">COMPAÑÍA PAPELERIA NACIONAL SAS
Nit: 900.009.495-8 </t>
  </si>
  <si>
    <t>COMERCIALIZADORA DISFENIX
NIT: 900.348.994-5</t>
  </si>
  <si>
    <t>VALOR UNITARIO TECHO
(IVA INCLUIDO)</t>
  </si>
  <si>
    <t>ATIX 360 S.A.S.
NIT: 901.018.556-0</t>
  </si>
  <si>
    <t>FILL 3D COLOMBIA S.A.S.
NIT: 901.548.086-4</t>
  </si>
  <si>
    <t>BIMEK LTDA.
NIT: 830.117.024-1</t>
  </si>
  <si>
    <t>FLEXCO S.A.S.
NIT: 816.000.975-6</t>
  </si>
  <si>
    <t>LA GRAN PAPELERIA GR S.A.S.
NIT: 901.254.017-3</t>
  </si>
  <si>
    <t>BURBUJA SUMINISTROS S.A.S.
NIT: 901.263.045-8</t>
  </si>
  <si>
    <t>VALOR UNITARIO INCLUIDA CARGA TRIBUTARIA Y ADMINISTRACIÓN</t>
  </si>
  <si>
    <t>VALOR CARGA TRIBUTARIA Y ADMINISTRACIÓN (15%)</t>
  </si>
  <si>
    <t>SUESCUN COMPANY S.A.S
NIT: 900.948.622-5
(Cotización física y página web)</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</si>
  <si>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</si>
  <si>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ALMACENES ÉXITO 
NIT. 890.900.608-9</t>
  </si>
  <si>
    <t>DOTACIONES ZOLU
NIT. 80.155.819-1</t>
  </si>
  <si>
    <t>NACIONAL DE GRECAS Y EQUIPOS INDUSTRIALES
NIT. 900.719.747-6</t>
  </si>
  <si>
    <t>REDSIS
NIT. 79.985.948</t>
  </si>
  <si>
    <t>K-TRONIX</t>
  </si>
  <si>
    <t>FREEZER SHOP ELECTRODOMESTICOS
NIT. 1.015.480.003</t>
  </si>
  <si>
    <t xml:space="preserve">TELONES COLOMBIA
NIT. </t>
  </si>
  <si>
    <t>GRECAS AGUILLA</t>
  </si>
  <si>
    <t>FALABELLA 
NIT. 900.017.447-8</t>
  </si>
  <si>
    <t>SMS TECNOLOGIA QUE TRANSFORMA VIDAS
NIT. 900.799.138-1</t>
  </si>
  <si>
    <t>STEREN COLOMBIA SAS 
NIT. 901.109.730</t>
  </si>
  <si>
    <t>Tempo Foods SAS
:901825930-4</t>
  </si>
  <si>
    <t>AUDIOVISUALES DE COLOMBIA SAS
NIT 901337835 -9</t>
  </si>
  <si>
    <t>FERREELECTRICOS INDUSTRIALES FONTIBON S.A.S</t>
  </si>
  <si>
    <t>COMERCIAL DE HERRAMIENTAS S.A.S 
NIT.  900309261</t>
  </si>
  <si>
    <t>ORTOPEDICOS Y HOSPITALARIOS MULTISALUD</t>
  </si>
  <si>
    <t>MATERIALES NUEVO OCCIDENTE S.A.S
NIT. 900.549.099-0</t>
  </si>
  <si>
    <t xml:space="preserve">ELECTRICOS FONTIBON 
NIT. </t>
  </si>
  <si>
    <t>FERRELECTRICOS JEP SAS 
NIT. 830.048.145</t>
  </si>
  <si>
    <t xml:space="preserve">EIF ELECTRICOS INDUSTRIALES DE FONTIBON 
NIT. </t>
  </si>
  <si>
    <t>DEPOSITO FONTIVON A&amp;V SAS</t>
  </si>
  <si>
    <t>CRISTALERIA Y PANADERIA UNIVERSAL
NIT. 79.192.406-0</t>
  </si>
  <si>
    <t xml:space="preserve">DISTRI ILUMINACIONES FONTIBON 
NIT. </t>
  </si>
  <si>
    <t xml:space="preserve">DOTACIONES H&amp;S
NIT. </t>
  </si>
  <si>
    <t xml:space="preserve">REPRESENTACIONES Y DISTRIBUCIONES NOSOTROS LTDA
NIT. </t>
  </si>
  <si>
    <t>TORO INDUSTRIAL
NIT. 901.204.317-4</t>
  </si>
  <si>
    <t>LA FERIA DE GRECA
NIT.830.048.145</t>
  </si>
  <si>
    <t>OPEN TECNOLOGIA &amp; SERVICIOS
NIT. 900.603.858-5</t>
  </si>
  <si>
    <t xml:space="preserve">IMMATEK S.A.S
NIT. 900.552.572-4 </t>
  </si>
  <si>
    <t>FERRETERIA LA OPORTUNIDAD S.A.S
NIT. 900.497.580-8</t>
  </si>
  <si>
    <t>CYC ELECTRONIC
NIT. 900.349.557-4</t>
  </si>
  <si>
    <t>HOMECENTER
NIT. 800.242.106-2</t>
  </si>
  <si>
    <t>CARPAS EVOLUTION SAS 
NIT. 901793727</t>
  </si>
  <si>
    <t xml:space="preserve"> VITTORIA ONE SHOP 
NIT. 900924625</t>
  </si>
  <si>
    <t xml:space="preserve">Magenta Estampado Diseño y Confección SAS
NIT. 901.463.086-8
</t>
  </si>
  <si>
    <t>LEON PARASOLES CARPA Y ADQUILERES
NIT. 901546277-5</t>
  </si>
  <si>
    <t xml:space="preserve">ELECTRICOS AVAL
NIT. 901117651-7 </t>
  </si>
  <si>
    <t>ESCOLARES VERSALES S.A.S
NIT: 800.088.063 -4</t>
  </si>
  <si>
    <t xml:space="preserve">COMPAÑÍA PAPELERA NACIONAL S.A.S.
NIT: 900.009.495 - 8 </t>
  </si>
  <si>
    <t>LUEGOPAGO
NIT. 901361936-5</t>
  </si>
  <si>
    <t>TIPICOS VIBER 
NIT. 19.412.300-2</t>
  </si>
  <si>
    <t>GRUPO ZINGAL 
NIT. 901.669.731-6</t>
  </si>
  <si>
    <t>TU FERRETERIA.COM
NIT.  901069288</t>
  </si>
  <si>
    <t>ITEM</t>
  </si>
  <si>
    <t>CANTIDAD</t>
  </si>
  <si>
    <t>VALOR UNITARIO INCLUIDO IVA</t>
  </si>
  <si>
    <t>DISPERCIÓN PRECIOS (Promedio)</t>
  </si>
  <si>
    <t>VALOR UNITARIO  (IVA INCLUIDO)</t>
  </si>
  <si>
    <t>Computador portátil</t>
  </si>
  <si>
    <t>Procesador: Intel Core i5 de 12 Generación 1235U
Nombre del sistema operativo: FreeDOS
Capacidad de disco SSD: 512 GB
Memoria RAM: 8 GB
Tarjeta gráfica: Gráficos Intel Iris X
Con pantalla táctil: No
Resolución de la pantalla: 1366 px x 768 px y puesta en sitio de entrega.</t>
  </si>
  <si>
    <t xml:space="preserve">SE TOMA EL PROMEDIO COMO MEDIDA DE TENDENCIA CENTRAL </t>
  </si>
  <si>
    <t>Computador de mesa</t>
  </si>
  <si>
    <t>Intel Core i5 12450H RAM 8 GB 512 GB SSD Idea Centre AIO 3 y puesta en sitio de entrega.</t>
  </si>
  <si>
    <t xml:space="preserve">SE TOMA LA MEDIANA COMO MEDIDA DE TENDENCIA CENTRAL </t>
  </si>
  <si>
    <t xml:space="preserve">TV de 60 pulgadas. </t>
  </si>
  <si>
    <t>Televisor de 60 pulgadas 4K. Tecnología HDR para una calidad de imagen mejorada. Cuenta con conexión HDMI y USB. y puesta en sitio de entrega.</t>
  </si>
  <si>
    <t>Base metálica soporte TV</t>
  </si>
  <si>
    <t>Soporte Pedestal 1.88m Ultra Resistente Para Tv 32- 60 Color Negro y puesta en sitio de entrega.</t>
  </si>
  <si>
    <t>Impresora multifuncional</t>
  </si>
  <si>
    <t>Modo de impresión a doble cara: Manual
Tecnología de impresión: Inyección de tinta
Impresión: Impresión a color
Impresión dúplex: Si
Resolución máxima: 5760 x 1440 DPI
Velocidad de impresión (negro, calidad normal, A4/US Carta): 33 ppm
Velocidad de impresión (color, calidad normal, A4/US Carta): 15 ppm y puesta en sitio de entrega.</t>
  </si>
  <si>
    <t xml:space="preserve">Video Beam </t>
  </si>
  <si>
    <t xml:space="preserve">Voltaje: 110V
Conexiones de entrada: RCA Video In.
Consumo energético de 110W.
Tecnología de proyección Tecnologí 3LCD de 3 chips.
Proyecta imagen de 30" - 350".
Conectividad Bluetooth.
Incluye control remoto.
Con parlantes incorporados en el proyector.
Luminosidad 4000 lúmenes -
Y puesta en sitio de entrega. </t>
  </si>
  <si>
    <t>Pantalla Telón de Proyección Pared 280 x 210cm</t>
  </si>
  <si>
    <t xml:space="preserve">
Relación de aspecto 1:1, ajustable a 4:3 y 16:9.
Imagen en diagonal hasta 100"
Sistema manual para instalar al techo y a la pared.
Parte trasera de color negro para mejor recepción de luz.
Bordes negros para mayor contraste y ganancia de imagen.
Superficie de color blanco.
Material Matte White (material sintetico) que conserva la resolución y luminancia del proyector.
De uso es manual 
Recomendable para proyectar en 3D.
Es compatible con formatos 4.3 y 16.9
Carcasa resistente y moderna. 
</t>
  </si>
  <si>
    <t xml:space="preserve">Cabina de sonido con trípode </t>
  </si>
  <si>
    <t>Cabina de sonido con trípode incluido.
Suministro de cabina Activa de 15" Top Pack de 350 WTTS o superior, P3 Display / Reproducción: Bluetooth / Radio FM/ USB / SD / MP3
 • Ecualizador gráfico /. 2 entradas de micrófono con volumen
Independiente de línea XLR/RCA / Jack 3.5 con volumen independiente / 1 salida de línea XLR • Salida para bafle pasivo
 Incluye trípode y micrófono
 Incluye soporte 
Incluye transporte, y puesta en sitio de entrega.</t>
  </si>
  <si>
    <t xml:space="preserve">Sistemas de micrófonos </t>
  </si>
  <si>
    <t xml:space="preserve">
Sistema de micrófono inalámbrico UHF de 4 canales (PTU-5000), PTU-5000 y puesta en sitio de entrega.</t>
  </si>
  <si>
    <t>Ventiladores de pared</t>
  </si>
  <si>
    <t>Ventilador Pared Awf-18bl Pro Balinera Cantidad de aspas 4 Aspas Gris Diámetro 18 " Material de las aspas Plástico 110V y puesta en sitio de entrega.</t>
  </si>
  <si>
    <t>Ventilador de techo</t>
  </si>
  <si>
    <t>Ventilador De Techo. En Valineras Cantidad De Aspas 3 Color De La Estructura Blanco Color De Las Aspas Blanco Diámetro 56 Frecuencia 80w Material De Las Aspas Metal 110v y puesta en sitio de entrega.</t>
  </si>
  <si>
    <t>Greca para 240 tintos</t>
  </si>
  <si>
    <t>Características: Fabricadas en lámina de acero inoxidable tipo 430. / Servicios de agua, leche y café Llaves en bronce cromado de chupa. / Recipiente interno en acero inoxidable. / Resistencias de unidad sellada de larga durabilidad. Switch de 3 calores para controlar la temperatura. Consumo 1800 wtt a 110 volt. Dimensiones: / Alto: 85 cm Consumo eléctrico: 1800 WTT y puesta en sitio de entrega.</t>
  </si>
  <si>
    <t>Toldo Carpa 6x3 Paredes Plegable Impermeable Reforzado (para las juntas que no tienen salón)</t>
  </si>
  <si>
    <t>Tipo de producto Toldo- Altura abierto 2,19 m Ancho abierto 6 - Peso-12 kg- Otros a prueba de agua a prueba de nieve-Con protección UV
Es resistente a los impactos-retráctil-Material de la cubierta-Lona-Material del soporte-Acero-Accesorios incluidos-TOLDO 3X6 y puesta en sitio de entrega.</t>
  </si>
  <si>
    <t>Punto Ecológico 3 Puestos 53L  Blanco Verde Negro Con Tapa Vaivén</t>
  </si>
  <si>
    <t xml:space="preserve">Punto Ecológico con estructura metálica 3 canecas x 55 Litros cada una, es ideal para reciclar y mantener tus espacios limpios y ordenados. Su calidad y diseño le permite gran durabilidad tanto en zonas exteriores como interiores, y está fabricado con los mejores materiales para garantizar la calidad del producto. Además, cuenta con toda la información necesaria y acorde a la norma para su fácil utilización, y es perfecto para zonas de tráfico pesado de personas. y puesta en sitio de entrega.
</t>
  </si>
  <si>
    <t>Escalera Extensible 16 Pasos Capacidad 150 Kg Tr Color Plateado</t>
  </si>
  <si>
    <t>Sirena 110v Para Alarmas Comunitarias Pánico emergencia y seguridad en su entorno. Con un potente nivel de sonido de 128 dB y un alcance de 120 metros, su diseño resistente a la intemperie asegura un funcionamiento óptimo en diversas condiciones climática y puesta en sitio de entrega.</t>
  </si>
  <si>
    <t>Carretilla</t>
  </si>
  <si>
    <t xml:space="preserve">Carretilla grande P/plastica N/neumatica y puesta en sitio de entrega.
</t>
  </si>
  <si>
    <t xml:space="preserve">SE TOMA LA PROMEDIO COMO MEDIDA DE TENDENCIA CENTRAL </t>
  </si>
  <si>
    <t>Juego de herramientas de jardinería de 10 piezas, herramientas manuales de jardinería con estuche de transporte.</t>
  </si>
  <si>
    <t>Kit de herramientas completo 10 en 1: el juego de herramientas de jardín incluye un rastrillo de tres dientes, una pala redonda grande, una pala afilada grande, un cuchillo de deshierbar, una pala redonda pequeña, una pala pequeña y afilada, un rastrillo pequeño, tijeras de podar, una botella rociadora y tijeras de seto, que cubren todas las herramientas esenciales de jardinería. Este kit de herramientas es perfecto para una variedad de actividades de jardinería como excavar, deshierbar, rastrillar, aflojar el suelo, airear, trasplantar, podar y regar. y puesta en sitio de entrega.</t>
  </si>
  <si>
    <t xml:space="preserve">Tablero Acrílico Blanco </t>
  </si>
  <si>
    <t>Tablero acrílico resistentes a los golpes, a la luz solar y a la intemperie, 80x120 + Trípode  y puesta en sitio de entrega.</t>
  </si>
  <si>
    <t>Olla Caldero Grande 113 Litros 60x40cm Sancocho</t>
  </si>
  <si>
    <t>60cm X 40cm (Alto x Diámetro). Aluminio GOLD. Enviamos Bien Protegida  y puesta en sitio de entrega.</t>
  </si>
  <si>
    <t>Megáfono Recargable 9 50w, USB, Bluetooth, Aux Prophonic</t>
  </si>
  <si>
    <t>Megáfono 9 pulgadas, usb, sd, Aux 3.5, bluetooth, 50w, sistema de grabación de 200 segundos, 3 tipos de sirena, entrada 12v, batería de litio recargable 7.4 v duración max 4 horas , correa, cable para conectar a la cigarrera del carro,  y puesta en sitio de entrega.</t>
  </si>
  <si>
    <t>Kit básico para emergencias y desastres naturales (tipo morral)</t>
  </si>
  <si>
    <t>Detalle del producto cantidad:1. alcohol antiséptico frasco x 120ml tapa rosca/1 algodón paq x 5gr/1 aplicadores paq x 20 und/1 bajalenguas paq x 20 und/5 cura unidad/1 gasa estéril 7.5x7.5 por 2 und/1 guante par empacado individual vinilo/1 pito metálico/ 1 preservativo/1 tijera sencilla/1 toalla higiénica unidad/1 libreta/2 cabestrillo sencillo/1 esferos/1 linterna dinamo recargable no necesita pilas/1 listado teléfonos de emergencia/1 morral sencillo elaborado en lona morral de 35cm x 30cm x 8 cm compuesto por dos bolsillos (uno grande y uno pequeño), bolsillos internos en vinilo, reata para cargar en hombros, estampado a una tinta/ manta isotérmica desechable para emergencias y res/1 manual de primeros auxilios/3 tapabocas sencillo  producto por unidad en empaque individual/1 bisturí pequeño/1 pilas doble tipo aa precio por par/ 1 radio/1 paquete de pañuelos kleenex.  y puesta en sitio de entrega.</t>
  </si>
  <si>
    <t>Camilla De Emergencia con señal, gancho y Inmovilizador de cabeza</t>
  </si>
  <si>
    <t>Camilla de emergencia inmovilizadora para rescate y transporte con inmovilizador de cabeza bloque, señalización para pegar a la pared y gancho soporte para colgar la tabla plástica a la pared. Características principales: Estructura resistente: Fabricada en plástico de alta densidad, garantizando durabilidad y fácil limpieza.
Arnés de seguridad: Con múltiples puntos de ajuste para asegurar al paciente de forma cómoda y segura.
Inmovilizador de cabeza: acolchado para mayor confort del paciente durante el transporte.
Soportes para pared: Incluye soportes metálicos para fijar la camilla a la pared cuando no esté en uso, debe contener
1 x Camilla plástica.
1 x Arnés para sujeción del paciente.
1 x Aviso con instrucciones de uso.
1 x Soporte de pared.
1 x Inmovilizador de cabeza. y puesta en sitio de entrega.</t>
  </si>
  <si>
    <t>Paleta Señal Punto De Encuentro De 30 X 30 Cm Reflectiva</t>
  </si>
  <si>
    <t xml:space="preserve">Paleta de punto de encuentro de 30 cm reflectiva/Todas las señales de tránsito son fabricadas bajo el manual de señalización vial del instituto nacional de vías INVIAS 2015  y puesta en sitio de entrega.
</t>
  </si>
  <si>
    <t>Caja de herramientas básica.</t>
  </si>
  <si>
    <t>Juego de herramientas de 20 piezas con caja de almacenamiento portátil, kit básico de herramientas para la reparación y el mantenimiento diarios, [de primera calidad], hecho de acero de alta calidad, su superficie está tratada con tecnología anticorrosión, lo que lo hace muy resistente y duradero- [Uso multipropósito]. Incluye varios productos de herramientas de usos básicos y cotidianos, [Portátil y práctico] - Cada herramienta está perfectamente organizada en una caja de herramientas de plástico.  y puesta en sitio de entrega.</t>
  </si>
  <si>
    <t xml:space="preserve">Pica 5 Lbs Piqueta Cabo De Fibra De Vidrio </t>
  </si>
  <si>
    <t>Talacho-pico 5 lb con mango de fibra de vidrio de 36" CARACTERÍSTICAS: Cabeza forjada en acero al carbono/Mango de fibra de vidrio de inyección sencilla con grip antiaderente/Ideal para excavar en suelo duro con su punta talacho y para romper superficies rocosas como grava y tierra seca endurecida con su punta pico/Cabeza 5 lb (2.3 kg)./Mango 36" (91 cm)/Escoplo 110 mm.  y puesta en sitio de entrega.</t>
  </si>
  <si>
    <t>Pala redonda Puño 'd'</t>
  </si>
  <si>
    <t>Herramienta esencial para cualquier trabajo de jardinería o construcción. Con un mango de madera de 50.8/ proporciona un agarre cómodo y seguro, con un peso de 880 g, altura de 37.4 cm y ancho de 15.2 cm, largo total de la pala es de 68.5 cm, lo que permite un alcance adecuado para la mayoría de las tareas de jardinería. La forma redonda de la cajuela facilita la excavación y el movimiento de la tierra, haciendo que sus tareas sean más eficientes.  y puesta en sitio de entrega.</t>
  </si>
  <si>
    <t>Sirenas de emergencia</t>
  </si>
  <si>
    <t>Sirena 110v Para Alarmas Comunitarias Pánico emergencia y seguridad en su entorno. Con un potente nivel de sonido de 128 dB y un alcance de 120 metros, su diseño resistente a la intemperie asegura un funcionamiento óptimo en diversas condiciones climáticas. Fabricada en PVC, es un dispositivo nuevo que no requiere batería de respaldo, lo que la hace fácil de instalar y mantener.  y puesta en sitio de entrega.</t>
  </si>
  <si>
    <t>Nevera Convencional 235 Lts</t>
  </si>
  <si>
    <t>Alta Eficiencia Energética, Dispensador de Agua, Lámina Grafito, Organización Práctica, Bandejas en Cristal Templado, Peso del paquete: 39.16 kg/Medidas: 140 cm x 55 cm x 67 cm.  y puesta en sitio de entrega.</t>
  </si>
  <si>
    <t xml:space="preserve">Licuadora </t>
  </si>
  <si>
    <t>Descripción: 6 Cuchillas en acero inoxidable con exclusiva tecnología POWELIX® para un licuado perfecto/10 velocidades/ pulso: Máximo control en tus recetas/Potencia de 600W: Eficiencia y rapidez en tus preparaciones/Vaso de vidrio de 1,75 L termorresistente: Ideal para sopas y batidos/Capacidad Útil 1.25 Litros/Sistema de acople Carbón Drive: Mayor resistencia y durabilidad.  y puesta en sitio de entrega.</t>
  </si>
  <si>
    <t xml:space="preserve">Tanque/caneca 65 Litros </t>
  </si>
  <si>
    <t>Las medidas del tanque son las siguientes: Alto: 55.6 cm/Ancho: 51.3 cm/Diámetro: 44.2 cm/Capacidad: 65 Litros  y puesta en sitio de entrega.</t>
  </si>
  <si>
    <t>Linterna LED Recargable</t>
  </si>
  <si>
    <t>Especificaciones: MAh: 600/Frecuencia: 60 Hz/Intensidad luminosa: 30 lm/Máx. distancia de iluminación: 65 a 100 metros/Tensión: 127 V/Tiempo de descarga: 3 h/ Vida: 100 000 h/ Incluye:1 Batería recargable de plomo-ácido de 4 V c.c. 0,5 Ah. Características: Cuerpo fabricado plástico/Iluminación tradicional, lente plano y haz multiled/Recargable/ Se conecta directamente a la corriente eléctrica</t>
  </si>
  <si>
    <t>Extensión Eléctrica X 30 Mts</t>
  </si>
  <si>
    <t>La extensión eléctrica uso con un largo de cable de 30 metros, cuenta con 3 tomas, lo que te permitirá conectar varios dispositivos al mismo tiempo, brindándote mayor comodidad y versatilidad. Con diseño resistente y duradero garantiza un uso seguro y confiable.  y puesta en sitio de entrega.</t>
  </si>
  <si>
    <t>Cucharones metálico grande</t>
  </si>
  <si>
    <t>Cucharón de metal grande para sopa, largo de acero inoxidable con mango.  y puesta en sitio de entrega.</t>
  </si>
  <si>
    <t>Estufa a gas (4) puestos</t>
  </si>
  <si>
    <t>La Estufa De Mesa Torre Gas con cuatro quemadores, su diseño empotrable y dimensiones compactas de 51.5 cm de ancho y 51 cm de profundidad, fabricada con parrillas en alambrón, esta estufa asegura durabilidad y resistencia al uso diario, cuenta con válvulas de seguridad que ofrecen tranquilidad durante su uso, con un peso de 5.3 kg y una altura de solo 18 cm.  y puesta en sitio de entrega.</t>
  </si>
  <si>
    <t>Bandera Colombia Escudo 150x90cm Exterior Grande Doble Cara</t>
  </si>
  <si>
    <t>Dimensiones: 150cm (ancho) x 100cm (largo) aproximadamente/Diseño: Dobladillo para meter el tubo + ESCUDO./Material: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</si>
  <si>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Bandera Bogotá 150x90cm Exterior Grande Doble Cara</t>
  </si>
  <si>
    <t>Dimensiones: 150cm (ancho) x 100cm (largo) aproximadamente/Diseño: Dobladillo para meter el tubo/Material: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</si>
  <si>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Bandera de Asojuntas con escudo 150x90cm Exterior Grande Doble Cara</t>
  </si>
  <si>
    <t>Dimensiones: 150cm (ancho) x 100cm (largo) aproximadamente/Diseño: Dobladillo para meter el tubo + ESCUDO./Material: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</si>
  <si>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Asta de banderas metálico</t>
  </si>
  <si>
    <t>Asta de bandera, estructura vertical diseñada para sostener y exhibir banderas, en aluminio, acero inoxidable o fibra de vidrio para garantizar resistencia a la intemperie y durabilidad. Los mástiles para sostener banderas de 150x90cm, que permita la exhibición en eventos como reuniones formales. sección superior donde se engancha la bandera con poleas para facilitar el izado. esenciales que permitan su visualización en diversos entornos y puesta en sitio de entrega.</t>
  </si>
  <si>
    <t xml:space="preserve">TOTAL </t>
  </si>
  <si>
    <t>NOTA METODOLÓGICA SOBRE LA DETERMINACIÓN DE LOS PRECIOS UNITARIOS TECHO
Para efectos del presente estudio de mercado, la Entidad ha definido el siguiente criterio para la determinación de los precios unitarios techo, con base en las cotizaciones obtenidas:
Cuando la dispersión de los precios cotizados (calculada mediante el coeficiente de variación) es inferior al 15%, se considera que existe una alta consistencia en las cotizaciones, por lo que se adopta el promedio como valor representativo del precio unitario techo.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Este criterio busca garantizar transparencia, objetividad y razonabilidad en la determinación de los precios de referencia utilizados por la Entidad, alineado con buenas prácticas de análisis de datos de mercado.</t>
  </si>
  <si>
    <t>TRENDY
NIT.  901374981-3</t>
  </si>
  <si>
    <t xml:space="preserve">EXHIBOLSAS LAS PAISITAS
</t>
  </si>
  <si>
    <t>AIPE PAPELERRA 
NIT.  813010383</t>
  </si>
  <si>
    <t xml:space="preserve">BISUTERIA FINA 
NIT. 900986368 </t>
  </si>
  <si>
    <t xml:space="preserve">FANTY ADORNOS
NIT. 52.105.664
</t>
  </si>
  <si>
    <t>EL REY DE LOS ADORNOS SAS 
NIT. 8000810428</t>
  </si>
  <si>
    <t>EL RINCON DEL TIPLE
NIT. 1020802759-7</t>
  </si>
  <si>
    <t>MAJA BELLEZA
NIT. 901777696</t>
  </si>
  <si>
    <t>DISTRIBUIRDORA LUZA</t>
  </si>
  <si>
    <t>LA MINA 
NIT. 901.649.369-7</t>
  </si>
  <si>
    <t>SANTORINE BISUTERIA 
NIT. 9016680251</t>
  </si>
  <si>
    <t>TONO MUSIC 
NIT. NIT, 80110102-6</t>
  </si>
  <si>
    <t>INNGO MARKETING CULTURAL 
NIT. 900.893.185-1</t>
  </si>
  <si>
    <t xml:space="preserve">DISTRIBUIDORA Y COSMETICOS MONELIZZ
NIT. </t>
  </si>
  <si>
    <t xml:space="preserve">ALMACEN LOS MONOS </t>
  </si>
  <si>
    <t xml:space="preserve">VIOLETA MAKEUD
</t>
  </si>
  <si>
    <t>TIENDA DE MUSICA
Nit: 890.916.911</t>
  </si>
  <si>
    <t>MUSICALES BONILLA 
NIT 901860844</t>
  </si>
  <si>
    <t>ALL MUSIC
NIT: 901779308</t>
  </si>
  <si>
    <t xml:space="preserve">CABEZA DE MARTILLO
NIT.  900.356.527-2 </t>
  </si>
  <si>
    <t>EL EMPERADOR
NIT. 901114393</t>
  </si>
  <si>
    <t>MUEBLES Y ARTESANIAS CRISTIAN 
NIT. 87.710.847-4</t>
  </si>
  <si>
    <t>ARTESANIAS ACOSTA DORA
NIT. 20.271.810</t>
  </si>
  <si>
    <t xml:space="preserve">TIPICOS SAN MIGUEL
</t>
  </si>
  <si>
    <t xml:space="preserve">ARTESANIAS NACIR
</t>
  </si>
  <si>
    <t xml:space="preserve">SUMINISTROS Y PAPELERIA INKJET
</t>
  </si>
  <si>
    <t xml:space="preserve">EXHIBOLSAS LAS PAISITAS
NIT.  </t>
  </si>
  <si>
    <t xml:space="preserve">TEO TIN 
</t>
  </si>
  <si>
    <t xml:space="preserve">FANTANOVIOS Y COSMETICOS EL OSKAR 
</t>
  </si>
  <si>
    <t>ARTESANIAS EL INDIO 
NIT. 19.194.442-3</t>
  </si>
  <si>
    <t>AVIA MAKE UP 
NIT. 901381815</t>
  </si>
  <si>
    <t>BLUE MARINE 
NIT. 901738198</t>
  </si>
  <si>
    <t>COSMETICOS MAYA
NIT.</t>
  </si>
  <si>
    <t>SUBLIMACION GRAFICA S.A.S.
NIT. 900.692.649‑2</t>
  </si>
  <si>
    <t xml:space="preserve">ZOLUSHKA BALLET S.A.S.
NIT. 901524375‑4 </t>
  </si>
  <si>
    <t>ALL WE AR
NIT. 901491512-3</t>
  </si>
  <si>
    <t>ARABESQUE
NIT. 90112026-8</t>
  </si>
  <si>
    <t xml:space="preserve"> T‑Shirt Lab S.A.S.
NIT. 830.016.029‑4</t>
  </si>
  <si>
    <t>CONNITED S PELUCAS DE COLOMBIA S.A.S.
NIT.  900772118-7</t>
  </si>
  <si>
    <t>DISTRIBUIDORA NACIONAL DE SOMBREROS S.A.S.
NIT.  890918413‑9</t>
  </si>
  <si>
    <t>HAIR EXTENSIONES S.A.S.
NIT. 901845070-0</t>
  </si>
  <si>
    <t>SCARPE BALLET S.A.S. 
NIT. 901650294-5</t>
  </si>
  <si>
    <t>SOMBREROS DLUNA S.A.S
NIT. 901932251.</t>
  </si>
  <si>
    <t xml:space="preserve">EXITO
NIT. 890900608-9. </t>
  </si>
  <si>
    <t>DISTRIBUIDORA NACIONAL GROUP S.A.S.
NIT 901.708.000-9</t>
  </si>
  <si>
    <t>TELEMARKETER BPO &amp; LOGISTICS SAS
NIT. 901012708 - 6</t>
  </si>
  <si>
    <t xml:space="preserve">CONFECCIONES PAULINA MALU
</t>
  </si>
  <si>
    <t>CONFECCIONES COLOMBIANAS DE TEXTILES S.A.S.
NIT. 901155035-1</t>
  </si>
  <si>
    <t>FUNDACION CEDHI 
NIT.  900.032.841 - 1</t>
  </si>
  <si>
    <t xml:space="preserve">OFFIGRAND MAYORISTA SAS
NIT: 901642603-4
</t>
  </si>
  <si>
    <t>TODO EN DEPORTES 1
NIT: 830013803-5</t>
  </si>
  <si>
    <t>CLUB DEPORTIVO EAGLES SKATE DEL MUNICIPIO DE MOSQUERA
NIT.  901.773.493</t>
  </si>
  <si>
    <t xml:space="preserve">DOTACIONES Y SUMINISTROS LA 17 SAS
NIT.  9004641907 
</t>
  </si>
  <si>
    <t>PROTEGERNOS SEGURIDAD INDUSTRIAL
NIT. 9005888907</t>
  </si>
  <si>
    <t>ADORNOS Y ENCAJES EL UNIVERSO
NIT 9012297254​​</t>
  </si>
  <si>
    <t>LA NOVEDAD DE LOS ADORNOS SAS 
NIT 9012298933</t>
  </si>
  <si>
    <t>DEPOSITO FONTIBON A&amp;V SAS
NIT: 900531144.</t>
  </si>
  <si>
    <t>PINTURAS EL MUNDIAL DEL COLOR 
NIT. 79.845.412-5</t>
  </si>
  <si>
    <t>TODO PINTURAS SANM 
NIT. 8110453713​​</t>
  </si>
  <si>
    <t>LOS TRES ELEFANTES
Nit 86003047-8</t>
  </si>
  <si>
    <t xml:space="preserve">CIRCOROTOS
</t>
  </si>
  <si>
    <t>SANDRA CAMPOS COLLECTION
NIT. 900969283</t>
  </si>
  <si>
    <t>TONSON S.A.S
NIT. 9011658990.</t>
  </si>
  <si>
    <t>MICHE PRODUCCIONES LTDA
NIT 8020106517</t>
  </si>
  <si>
    <t>VALOR TOTAL  INCLUIDO IVA</t>
  </si>
  <si>
    <t>MEDIANA (Unitario)</t>
  </si>
  <si>
    <t>Kit de maquillaje fashion – Profesional artístico</t>
  </si>
  <si>
    <t>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</si>
  <si>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unidad</t>
  </si>
  <si>
    <t xml:space="preserve"> Diabolo</t>
  </si>
  <si>
    <t>Diabolo grande pro+, baquetas fibra de vidrio.  Puesto en el sitio de entreda.</t>
  </si>
  <si>
    <t>Platos chinos</t>
  </si>
  <si>
    <t>Compuesto de PAD (Polietileno de alta densidad), peso 110 gramos, mide 240 mm, Incluye baqueta de madera, colores variados.  Puesto en el sitio de entreda.</t>
  </si>
  <si>
    <t>ula-ula</t>
  </si>
  <si>
    <t>Pieza o objeto en forma de circunferencia, los aros de ula-ula pueden estar hechos de diversos materiales, como plástico, bambú.  Puesto en el sitio de entreda.</t>
  </si>
  <si>
    <t>Cajas de Malabarismo (TRIO) 13cm x 18cm</t>
  </si>
  <si>
    <t xml:space="preserve">Cigar Box: cajas de malabarismo. de 13 X 18 cm
Compuesta de madera terciada de placa natural fibra larga
Peso de las cajas entre 200 a 220 gramos
 Puesto en el sitio de entreda.
</t>
  </si>
  <si>
    <t>Clava Pánico Bicolor</t>
  </si>
  <si>
    <t>Clavas Modelo: Pánico Bicolor Mango: Liso
Compuesta por botella y mango de PAD, alma de plástico reforzada de PAD, tope y regatón caucho termoplástico.
Mango: Liso
Largo: 52 cm
Peso: 220 grs
 Puesto en el sitio de entreda.</t>
  </si>
  <si>
    <t>Pelota de Rebote 65mm G-Force Play</t>
  </si>
  <si>
    <t>Pelota de Rebote Modelo: G-Force 65mm
Pelota de goma para rebotar
Rebote del 90%
Peso: 155 gr
Diametro: 65mm
 Puesto en el sitio de entreda.</t>
  </si>
  <si>
    <t>Pelota Mr. Babache Stage 72mm</t>
  </si>
  <si>
    <t>72mmPeso: 110gr Colores disponibles: Rojo, Púrpura, Amarillo, Blanco, Rosa, Azul, Naranjo, Verde.  Puesto en el sitio de entreda.</t>
  </si>
  <si>
    <t>Pelota Burbuja 63mm Color</t>
  </si>
  <si>
    <t>Pelota de PVC rellena con semillas mijo63 mm (110 grs) Textura lisa o piel de durazno Colores blanco, amarillo flúor, azul, magenta, naranja, negro, verde, rojo, amarillo primario, morado, verde menta, azul crema.  Puesto en el sitio de entreda.</t>
  </si>
  <si>
    <t>Bandera Ajedrez</t>
  </si>
  <si>
    <t>Bandera tela con Diseños Ajedrez. Medidas 56cm x68 cm.   Destorcedor de rodamientos. Tirador de perilla para poi.  Puesto en el sitio de entreda.</t>
  </si>
  <si>
    <t>Aro Mr. Babache 24 cm C/U</t>
  </si>
  <si>
    <t>Argolla diámetro: 24cm Colores Disponibles.  Puesto en el sitio de entreda.</t>
  </si>
  <si>
    <t>Sombrero Volador</t>
  </si>
  <si>
    <t>Sombrero Modelo: Volador Sombrero de lanzamiento para malabarear. Puesto en el sitio de entreda.</t>
  </si>
  <si>
    <t>Hula hula plegable Cabeza de Martillo 90 cm</t>
  </si>
  <si>
    <t>Hula Hula Clip Martillo. Clip Polietileno. Ideal para transportarlo. Varios diámetros y colores disponibles. Clip puede ser metálico o plástico.  Puesto en el sitio de entreda.</t>
  </si>
  <si>
    <t xml:space="preserve">lápiz </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</si>
  <si>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  Puesto en el sitio de entreda.</t>
  </si>
  <si>
    <t xml:space="preserve">Caja </t>
  </si>
  <si>
    <t>Borrador</t>
  </si>
  <si>
    <t>Borrador Miga de Pan, caja X 12.  Puesto en el sitio de entreda.</t>
  </si>
  <si>
    <t>Tajalápiz con deposito.  Puesto en el sitio de entreda.</t>
  </si>
  <si>
    <t xml:space="preserve">Cuaderno </t>
  </si>
  <si>
    <t>Cuaderno de notas cuadriculado de 100 hojas, X caja de 12 und.  Puesto en el sitio de entreda.</t>
  </si>
  <si>
    <t>Resmas</t>
  </si>
  <si>
    <t>Resmas de papel media carta 72GR natural X 500 Hojas</t>
  </si>
  <si>
    <t>Bases blancas</t>
  </si>
  <si>
    <t>Base cremosa blanca para maquillaje artístico.  Puesto en el sitio de entreda.</t>
  </si>
  <si>
    <t xml:space="preserve"> paletas combinadas</t>
  </si>
  <si>
    <t>Paletas de maquillaje combinadas 24 colores en crema.  Puesto en el sitio de entreda.</t>
  </si>
  <si>
    <t>Set de pinceles de cerda suave set de 6.  Puesto en el sitio de entreda.</t>
  </si>
  <si>
    <t>Sombras mate y nacarada personales</t>
  </si>
  <si>
    <t>Paleta de sombras de 24 colores para maquillaje artístico.  Puesto en el sitio de entreda.</t>
  </si>
  <si>
    <t>lápices delineadores</t>
  </si>
  <si>
    <t>Set de lápices delineadores para maquillaje artístico X 6 .  Puesto en el sitio de entreda.</t>
  </si>
  <si>
    <t>Desmaquillantes</t>
  </si>
  <si>
    <t>Agua micelar, aceite de coco, agua de rosas u otros líquidos desmaquillantes.  Puesto en el sitio de entreda.</t>
  </si>
  <si>
    <t>Toallas desmaquilladoras</t>
  </si>
  <si>
    <t>Toallas desmaquilladoras x 50 und.  Puesto en el sitio de entreda.</t>
  </si>
  <si>
    <t>Bolsos personales</t>
  </si>
  <si>
    <t>Bolso de tamaño pequeño o mediano donde quepa elementos de maquillaje .  Puesto en el sitio de entreda.</t>
  </si>
  <si>
    <t>Trusas</t>
  </si>
  <si>
    <t>Trusas Tallas S, M,L,XL colores a definir .  Puesto en el sitio de entreda.</t>
  </si>
  <si>
    <t>Vestidos</t>
  </si>
  <si>
    <t>Vestidos de dama según temática o tipo.  Puesto en el sitio de entreda.</t>
  </si>
  <si>
    <t>Camisas</t>
  </si>
  <si>
    <t>Camisas en algodón perchado de diversos colores y tallas.  Puesto en el sitio de entreda.</t>
  </si>
  <si>
    <t>Baletas</t>
  </si>
  <si>
    <t>Baletas surtidas en tallas para personajes.  Puesto en el sitio de entreda.</t>
  </si>
  <si>
    <t>Sombreros</t>
  </si>
  <si>
    <t>Sombreros en material sintetico de diversos estilos y colores según personajes.  Puesto en el sitio de entreda.</t>
  </si>
  <si>
    <t>Pelucas</t>
  </si>
  <si>
    <t>Pelucas de pelo artificial de diferentes colores y tamaños.  Puesto en el sitio de entreda.</t>
  </si>
  <si>
    <t>Accesorios</t>
  </si>
  <si>
    <t>Accesorios variados personalizados para algunos personajes ( aretes, parches, pañoletas etc.).  Puesto en el sitio de entreda.</t>
  </si>
  <si>
    <t>Cuaderno 50H</t>
  </si>
  <si>
    <t>Cuaderno pentagramado de 50 hojas.  Puesto en el sitio de entreda.</t>
  </si>
  <si>
    <t>Campana salsera</t>
  </si>
  <si>
    <t xml:space="preserve">Fabricado en metal (acero, latón o aluminio) o madera (caoba, arce). Diámetros estándar: Timbal "macho": 13"-14" (33-35.5 cm), Timbal "hembra": 14"-15" (35.5-38 cm), Altura promedio: 12"-14" (30-35 cm) . Puesto en el sitio de entrega. </t>
  </si>
  <si>
    <t>Tambor</t>
  </si>
  <si>
    <t>Tambor didáctico, dimensiones 16 × 20 cm. Material cuero y madera .  Puesto en el sitio de entreda.</t>
  </si>
  <si>
    <t>Xilófono</t>
  </si>
  <si>
    <t>Xilófono didáctico en madera 8 Tonos con baquetas en madera.  Puesto en el sitio de entreda.</t>
  </si>
  <si>
    <t>Maracas</t>
  </si>
  <si>
    <t>Maracas en Totumo y madera didácticas.  Puesto en el sitio de entreda.</t>
  </si>
  <si>
    <t>Guitarra acústica</t>
  </si>
  <si>
    <t>Guitarras acústicas de madera Caoba y Abeto de gamma media, de construcción nacional o extranjera con encordado de marca La Bella o similares.  Puesto en el sitio de entreda.</t>
  </si>
  <si>
    <t>Guitarra eléctrica</t>
  </si>
  <si>
    <t>Guitarra eléctrica de 22 trastes de cuerpo de tilo, cuello de Arce
3 pastillas de bobina única y sintonizadores cromados incluidos.
Un solo rollo del puente, cuerdas de acero con un protector de púa.
Selector de captación de 5 vías, 1 botón de control de volumen y 2 botones de control de tono.
*Guitarra de 39"
*Cable
*Picks
*Correa
*Forro semiduro
*Barra de tremulo
*Llave bristol
 Puesto en el sitio de entreda.</t>
  </si>
  <si>
    <t>Percusión</t>
  </si>
  <si>
    <t>Tamboras, llamadores, cajones peruanos, claves, maracas y congas de madera maciza y resonante. (Ceiba, cedro, caoba, etc.) gamma media y construcción ideal de marcas nacionales o importadas con parches de cuero de chivo y tensores en el caso de las tamboras y los llamadores, pieles de vaca en las congas.</t>
  </si>
  <si>
    <t>Bajos eléctricos</t>
  </si>
  <si>
    <t>Bajos eléctricos de referencia 4 cuerdas, en madera arce y caoba encordado la Bella o similares, además de componentes electrónicos óptimos, 24 trastes, construccion ergonomica, pastillas  pasivas de alta calidad diestro,  4.2 de profundidad, ancho del cuerpo  33 cm, largo del cuerpo 116 cm, largo de la escala 863,6 mm.
 Puesto en el sitio de entreda.</t>
  </si>
  <si>
    <t>Teclados</t>
  </si>
  <si>
    <t>Teclado organeta con coltaje de 110 v, cantidad de llaves 61, polifonia maxina de 800, cantidad de ritmos 300, alimentacion electrica, pantalla LCD, con grabador metronomo, incluye microfono.  Puesto en el sitio de entreda.</t>
  </si>
  <si>
    <t>Batería</t>
  </si>
  <si>
    <t>Batería acustica de  5 piezas, mas platillos, mas base y silla. Descripcion: 2 tones de aire medida 12", 13"
Ton de piso de 16"
Bombo de 22" con pedal
Redoblante en acero inoxidable de 14" con base
1 atril de charles con platillos
1 atril de platillo y platillo crash 16"
Silla y baquetas.
 Puesto en el sitio de entreda.</t>
  </si>
  <si>
    <t>Amplificadores de bajo guitarra</t>
  </si>
  <si>
    <t>Amplificador combo, tiene un canal, potencia de salida de 20 w, tipo de conector  de entrada jack 1/4¨, conector de salida 1/4¨, 25 cm de alto,  x 33 cm de ancho  x 39 cm de profundidad.  Puesto en el sitio de entreda.</t>
  </si>
  <si>
    <t>Medias</t>
  </si>
  <si>
    <t>Medias calentadoras para baile en diferentes tallas, material algodón</t>
  </si>
  <si>
    <t>Falda</t>
  </si>
  <si>
    <t>(Pollera) Falda de danzas para ensayo larga, amplia, tela gruesa y pesada, tallas para niñas y adultas, ajuste graduable de amarrar en la cintura - tipo Cumbia, Currulao, Pacifico – unicolor.  Puesto en el sitio de entreda.</t>
  </si>
  <si>
    <t>Pañuelo o pañoleta</t>
  </si>
  <si>
    <t>Pañuelo o pañoleta para baile – satén blanco, negro o rojo, para ensayo  .  Puesto en el sitio de entreda.  Puesto en el sitio de entreda.</t>
  </si>
  <si>
    <t>Sombrero</t>
  </si>
  <si>
    <t>Sombrero tradicional para hombre fibra natural de ala ancha-media.  Puesto en el sitio de entreda.</t>
  </si>
  <si>
    <t>Alpargatas</t>
  </si>
  <si>
    <t>Alpargatas tradicionales artesanal – fique.  Puesto en el sitio de entreda.</t>
  </si>
  <si>
    <t>Ligas para el cabello</t>
  </si>
  <si>
    <t>Liga negra elástica para recoger el cabello.  Puesto en el sitio de entreda.</t>
  </si>
  <si>
    <t>Rodilleras</t>
  </si>
  <si>
    <t>Variadas en colores Para protección en trabajo de piso o superficies duras. Puesto en el sitio de entreda.</t>
  </si>
  <si>
    <t>Calcetines de danza antideslizantes</t>
  </si>
  <si>
    <t>Para proteger el pie y permitir movilidad sobre el piso sin riesgo de resbalar color negro.  Puesto en el sitio de entreda.</t>
  </si>
  <si>
    <t>Vestuario escénico base</t>
  </si>
  <si>
    <t>Trusas o mallas color neutro (negro o piel) para niños.  Puesto en el sitio de entreda.</t>
  </si>
  <si>
    <t>Mat o colchoneta</t>
  </si>
  <si>
    <t>Para calentamientos o trabajo en el suelo, ideal para evitar lesiones.  Puesto en el sitio de entreda.</t>
  </si>
  <si>
    <t>Bandas elásticas de resistencia</t>
  </si>
  <si>
    <t>Tipo gruesa Para ejercicios de estiramiento y fortalecimiento variedad en colores.  Puesto en el sitio de entreda.</t>
  </si>
  <si>
    <t>Foam roller o pelota de masaje</t>
  </si>
  <si>
    <t>Tamaño xl silicona variada en colores.  Puesto en el sitio de entreda.</t>
  </si>
  <si>
    <t>Tela o pañuelo grande</t>
  </si>
  <si>
    <t>Variedad en colores de 50cm cuadrados .  Puesto en el sitio de entreda.</t>
  </si>
  <si>
    <t>Toalla pequeña</t>
  </si>
  <si>
    <t>Toalla de 30cm colores oscuros en algodón.  Puesto en el sitio de entreda.</t>
  </si>
  <si>
    <t>Camiseta  de danza contemporánea</t>
  </si>
  <si>
    <t xml:space="preserve">Camiseta suelta de danza contemporanea en diferentes tallas y colores.  Puesto en el sitio de entreda. </t>
  </si>
  <si>
    <t>Kit de primeros auxilios</t>
  </si>
  <si>
    <t>Incluye curitas, vendas, cinta deportiva, analgésicos y desinfectante.  Puesto en el sitio de entreda.</t>
  </si>
  <si>
    <t>Kit de maquillaje escénico</t>
  </si>
  <si>
    <t>Sombras profesionales (colores primarios mates y satinados), labial rojo y color piel, iluminador, base SP Pro.  Puesto en el sitio de entreda.</t>
  </si>
  <si>
    <t>Kit de peinado</t>
  </si>
  <si>
    <t>Incluye gomina, moñas, cauchos para trenzas o recogidos.  Puesto en el sitio de entreda.</t>
  </si>
  <si>
    <t>Funda para vestuario (Garment bag)</t>
  </si>
  <si>
    <t>Para transportar el vestuario escénico de forma ordenada.  Puesto en el sitio de entreda.</t>
  </si>
  <si>
    <t>Ropa de calentamiento</t>
  </si>
  <si>
    <t>Sudadera negra con el logo según taller.  Puesto en el sitio de entreda.</t>
  </si>
  <si>
    <t>Colbon</t>
  </si>
  <si>
    <t>Colbón es un adhesivo líquido a base de acetato de polivinilo (PVA), comúnmente conocido como pegamento blanco o cola fría, utilizado para pegar papel, cartón y otros materiales. Es un producto versátil, utilizado tanto en el hogar como en oficinas, colegios y talleres de arte.  Puesto en el sitio de entreda.</t>
  </si>
  <si>
    <t>Sed de pinceles para acuarela X 12 pelo de Martha, • Pinceles redondos (para detalles y aplicaciones generales), • Pinceles planos (para áreas grandes y bordes definidos), • Pinceles de lengua de gato (para técnicas específicas), • Pinceles de punta fina (para detalles preciso.  Puesto en el sitio de entreda.</t>
  </si>
  <si>
    <t>Acuarela</t>
  </si>
  <si>
    <t>Sed de acuarelas X 18 - colores surtidos - tuvo c/u por 12 ml. de (calidad artística).  Puesto en el sitio de entreda.</t>
  </si>
  <si>
    <t xml:space="preserve">SE TOMA EL PROMEDIO  COMO MEDIDA DE TENDENCIA CENTRAL </t>
  </si>
  <si>
    <t>Papel Acuarela</t>
  </si>
  <si>
    <t>Block o paquete X 100 hojas de 1/8 Papel Acuarela.  Puesto en el sitio de entreda.</t>
  </si>
  <si>
    <t>Paleta</t>
  </si>
  <si>
    <t>Paleta mescladora de colores - plástica.  Puesto en el sitio de entreda.</t>
  </si>
  <si>
    <t>Esponjas</t>
  </si>
  <si>
    <t>Kit de Esponjas para acuarela - técnicas de absorción.  Puesto en el sitio de entreda.</t>
  </si>
  <si>
    <t>arcilla</t>
  </si>
  <si>
    <t>1kl de arcilla color variados .  Puesto en el sitio de entreda.</t>
  </si>
  <si>
    <t>cerámicas</t>
  </si>
  <si>
    <t>En diferentes tamaños pequeña mediana y grande al natural para pintar.  Puesto en el sitio de entreda.</t>
  </si>
  <si>
    <t>Lápiz B2 y 4B Caja X 12.  Puesto en el sitio de entreda.</t>
  </si>
  <si>
    <t>Bloc papel bond tamaño carta X 100 hojas.  Puesto en el sitio de entreda.</t>
  </si>
  <si>
    <t>Esferos</t>
  </si>
  <si>
    <t>Esfero tinta negra X caja de 12 und.  Puesto en el sitio de entreda.</t>
  </si>
  <si>
    <t>Resaltadores</t>
  </si>
  <si>
    <t>Resaltadores - variedad de colores X caja de 12 und.  Puesto en el sitio de entreda.</t>
  </si>
  <si>
    <t>Papel kraft</t>
  </si>
  <si>
    <t>Rollo papel kraft X 61 cm  Puesto en el sitio de entreda.  Puesto en el sitio de entreda.</t>
  </si>
  <si>
    <t>Libro de trabajo</t>
  </si>
  <si>
    <t>Libro de editorial y autor según la temática de la clase.  Puesto en el sitio de entreda.</t>
  </si>
  <si>
    <t>Cuento Ilustrado</t>
  </si>
  <si>
    <t>Cuentos de editorial y autor según la temática de la clase.  Puesto en el sitio de entreda.</t>
  </si>
  <si>
    <t>Libro Álbum</t>
  </si>
  <si>
    <t>Libro Albúm de editorial y autor según la temática de la clase.  Puesto en el sitio de entreda.</t>
  </si>
  <si>
    <t>Caja de colores</t>
  </si>
  <si>
    <t>Caja de colores por 12 unidades hechos de 100% madera reforestada, y de fácil tajado.  Puesto en el sitio de entreda.</t>
  </si>
  <si>
    <t xml:space="preserve">Cartulina </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</si>
  <si>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  Puesto en el sitio de entreda.</t>
  </si>
  <si>
    <t>Papel iris</t>
  </si>
  <si>
    <t>Block tamaño carta colores surtidos.  Puesto en el sitio de entreda.</t>
  </si>
  <si>
    <t>Papel origami</t>
  </si>
  <si>
    <t>Pegante en barra</t>
  </si>
  <si>
    <t xml:space="preserve"> (Pegante en barra sin componentes tóxicos Forma redonda, cierre hermético Mínimo 40 g).  Puesto en el sitio de entreda.</t>
  </si>
  <si>
    <t>Juego de peines</t>
  </si>
  <si>
    <t xml:space="preserve">Juego de herramientas de peinado del cabello: peines, cepillo de triple burla, cepillo de borde, peines de cola de rata, lazo trenzado con clips.  Puesto en el sitio de entreda. </t>
  </si>
  <si>
    <t>Gel</t>
  </si>
  <si>
    <t>Gel para cabello X 250 gramos.  Puesto en el sitio de entreda.</t>
  </si>
  <si>
    <t>Cera</t>
  </si>
  <si>
    <t>Barra de cera para cabello 50 ml.  Puesto en el sitio de entreda.</t>
  </si>
  <si>
    <t>Bandas elásticas</t>
  </si>
  <si>
    <t xml:space="preserve">Bolsa o caja de Bandas Elásticas Para El Cabello - Trenzas Banda X 600 - colores surtidos. Puesto en el sitio de entrega. </t>
  </si>
  <si>
    <t>Cintas</t>
  </si>
  <si>
    <t xml:space="preserve">Cinta en satín de 1/2 cm – rolo X 25 mts – colores surtidos. Puesto en el sitio de entrega. </t>
  </si>
  <si>
    <t>Maniquí de cabeza cabello para trenzas</t>
  </si>
  <si>
    <t xml:space="preserve">Cabello similar a humano crespo largo. Puesto en el sitio de entrega. </t>
  </si>
  <si>
    <t>olive olv wrat set mousse (espuma fijadora)</t>
  </si>
  <si>
    <t xml:space="preserve">african pride (251 ml). Puesto en el sitio de entrega. </t>
  </si>
  <si>
    <t>Cabello sintético (kanekalon)</t>
  </si>
  <si>
    <t xml:space="preserve">colores surtidos (tonos naturales). Puesto en el sitio de entrega. </t>
  </si>
  <si>
    <t>Gel de cera para trenzas</t>
  </si>
  <si>
    <t xml:space="preserve">extreme Hold 500 ml.  Puesto en el sitio de entreda. Puesto en el sitio de entrega. </t>
  </si>
  <si>
    <t>Ganchos para chochet braids</t>
  </si>
  <si>
    <t>Herramienta de alfombra de gancho de seguridad, ganchillo manual, herramienta de dreadlock de gancho de pelo Ideal para cabello micro, sintético o real. Alta calidad para uso prolongado en Material mango de plástico Tamaño: aproximadamente 16 x 1 cm/6,29 x 0,39 pulgadas.  Puesto en el sitio de entreda.</t>
  </si>
  <si>
    <t xml:space="preserve">Toalla microfibra  </t>
  </si>
  <si>
    <t>Variedad de colores 80x50 cm.  Puesto en el sitio de entreda.</t>
  </si>
  <si>
    <t>Accesorios para peinado</t>
  </si>
  <si>
    <t>Cola de ratón de varios materiales .  Puesto en el sitio de entreda.</t>
  </si>
  <si>
    <t>Pinzas</t>
  </si>
  <si>
    <t>Kit de 5 Pinzas Para Joyas, Bisutería, Corte, Alambre.  Puesto en el sitio de entreda.</t>
  </si>
  <si>
    <t>Mostacilla Checa</t>
  </si>
  <si>
    <t>Mostacilla checa por 250 gramos en colores surtidos.  Puesto en el sitio de entreda.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</si>
  <si>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</si>
  <si>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Puesto en el sitio de entreda.</t>
  </si>
  <si>
    <t>Paños de aguja</t>
  </si>
  <si>
    <t>Aguja pelo (Aguja larga para mostacilla) con 25 unidades cada paño.  Puesto en el sitio de entreda.</t>
  </si>
  <si>
    <t>Hilo búfalo</t>
  </si>
  <si>
    <t>Hilo búfalo calibre B-46 / Rollos X 40 gramos. Variedad de colores.  Puesto en el sitio de entreda.</t>
  </si>
  <si>
    <t>Herrajes</t>
  </si>
  <si>
    <t>Herrajes para aretes tipo pescador, cierres para manillas, separadores, uniones, argollas, infinitos, alfileres de argolla, alfileres de balín, arandelas.  Puesto en el sitio de entreda.</t>
  </si>
  <si>
    <t>Nylon</t>
  </si>
  <si>
    <t>Hilo Nylon Para Joyería Bisutería Pulseras 0.6mm Rollo X100m.  Puesto en el sitio de entreda.</t>
  </si>
  <si>
    <t>Hilo Chino</t>
  </si>
  <si>
    <t>Hilo Chino 0.8mm x 90metros Para Bisutería Manillas X 6 Rollos.  Puesto en el sitio de entreda.</t>
  </si>
  <si>
    <t>Telar</t>
  </si>
  <si>
    <t>Telar de mostacilla bisutería con bandeja, en madera de 9mm de espesor, graduable, longitud máxima 46cm, ancho 16cm. Con bandeja de 10 puestos dimensiones 25cm x 9,5cm material en madera de 9mm de espesor.  Puesto en el sitio de entreda.</t>
  </si>
  <si>
    <t>Aguja de crochet</t>
  </si>
  <si>
    <t>Kit de agujas para croché x 6, en diferente grosor.  Puesto en el sitio de entreda.</t>
  </si>
  <si>
    <t>Hilo</t>
  </si>
  <si>
    <t>Hilo de crochet clásico colores surtidos ovillo de 100 gramos.  Puesto en el sitio de entreda.</t>
  </si>
  <si>
    <t>Tijeras A01. para cortar hilos, alambres y materiales delicados con precisión Puesto en el sitio de entreda.</t>
  </si>
  <si>
    <t>Cartillas</t>
  </si>
  <si>
    <t>Revista con patrones paso a paso de crochet y bisuteria..  Puesto en el sitio de entreda.</t>
  </si>
  <si>
    <t>Marcadores</t>
  </si>
  <si>
    <t>Gancho Marcador De Puntada Crochet X 25unid.  Puesto en el sitio de entreda.</t>
  </si>
  <si>
    <t>Pintura en vinilo</t>
  </si>
  <si>
    <t xml:space="preserve">1 Galon de pintura domestica en diversos colores,  Puesto en el sitio de entrega. </t>
  </si>
  <si>
    <t>Aerosoles</t>
  </si>
  <si>
    <t xml:space="preserve">Aerosol en lata en diversos colores . Puesto en el sitio de entrega. </t>
  </si>
  <si>
    <t>Brochas</t>
  </si>
  <si>
    <t xml:space="preserve">Brocha mona de 2 pulgadas . Puesto en el sitio de entrega. </t>
  </si>
  <si>
    <t>Rodillos</t>
  </si>
  <si>
    <t xml:space="preserve">Rodillo de 9 pulgadas para todo tipo de pinturas . Puesto en el sitio de entrega. </t>
  </si>
  <si>
    <t>Guantes</t>
  </si>
  <si>
    <t xml:space="preserve">Par de guantes, en nitrilo en color ngro, gris o azul, en diferentes tallas . Puesto en el sitio de entrega. </t>
  </si>
  <si>
    <t>Tapabocas</t>
  </si>
  <si>
    <t xml:space="preserve">Tapabocas industrial,negro con antifluido enbalao individualmente.. Puesto en el sitio de entrega. </t>
  </si>
  <si>
    <t>Tiza</t>
  </si>
  <si>
    <t xml:space="preserve">Tiza para demarcancion para pisos, paredes o pizarras. Puesto en el sitio de entrega. </t>
  </si>
  <si>
    <t>Overol</t>
  </si>
  <si>
    <t xml:space="preserve">Overol enterizo en drill color azul, negro o gris. Diferentes tallas. Puesto en el sitio de entrega. </t>
  </si>
  <si>
    <t>Cintas de pintor</t>
  </si>
  <si>
    <t xml:space="preserve">Rollo de cinta de 1 pulgada con adhesivo de facil aplicación y democion, que no dañe la superficie. Puesto en el sitio de entrega. </t>
  </si>
  <si>
    <t xml:space="preserve">Versátil y resistente. Es extendible-Soporta un peso máximo de 150 kg-Cuenta con 16 peldaños. Puesto en el sitio de entrega. </t>
  </si>
  <si>
    <t xml:space="preserve"> DOTACIONES Y ESCOLARES S.A.S.
805,014,520 - 1</t>
  </si>
  <si>
    <t>BIEJ DEPORTES SAS
NIT: 900.291,928</t>
  </si>
  <si>
    <t>AYUDAS PARA TODOS 
NIT. 900454275</t>
  </si>
  <si>
    <t>LA TIENDA INCI
NIT. 860015971</t>
  </si>
  <si>
    <t>YAXA COLOMBIA
NIT. 900570820</t>
  </si>
  <si>
    <t>DECATHLON
NIT. 900868271-1</t>
  </si>
  <si>
    <t>ONBOARD SHOP
NIT. 830,071,698</t>
  </si>
  <si>
    <t>P&amp;P MARCA LA DIFERENCIA
NIT. 901784716</t>
  </si>
  <si>
    <t>TELEMARKETER BPO &amp; LOGISTICS SAS
NIT. 901012708-6</t>
  </si>
  <si>
    <t>CASA OLIMPICA SPORT
NI. CASA OLIMPICA SPORT</t>
  </si>
  <si>
    <t>COMERCIALIZADORA EXCEL SPORT S.A.S</t>
  </si>
  <si>
    <t>EURO BIKES S.A.S.
NIT. 900346454</t>
  </si>
  <si>
    <t>ORLAVE
NIT 8909422172</t>
  </si>
  <si>
    <t>DOYO 
NIT.  9007782490.</t>
  </si>
  <si>
    <t xml:space="preserve">TIENDA MARCIAL COLOMBIA
NIT. 901726064-1. </t>
  </si>
  <si>
    <t xml:space="preserve">GILBERT
</t>
  </si>
  <si>
    <t xml:space="preserve">SPORT CLUB
NIT. 79,359,129-0 </t>
  </si>
  <si>
    <t>VALOR TOTAL UNITARIO INCLUIDO IVA</t>
  </si>
  <si>
    <t>VALOR TOTAL  (IVA INCLUIDO)</t>
  </si>
  <si>
    <t xml:space="preserve">Platillos: Altura de 5cm, 
Diámetro 19 cm. 
 Fabricados en silicona, 
colores fluorescente.
Superficie lisa
Incluye bolsa de Nylon
 Puesto en el sitio de entrega. </t>
  </si>
  <si>
    <t xml:space="preserve">Unidad </t>
  </si>
  <si>
    <t>Balón para  futbol</t>
  </si>
  <si>
    <t xml:space="preserve">Balón para futbol, construcción laminada al calor, cámara interior de butilo de 2 capas y cubierta en pvc, peso entre 567 a 650 g, Circunferencia entre 74,9 a 79 cm, Rebote entre 120 a 150 cm antideslizante de excelente agarre y rebote. Puesto en el sitio de entrega. </t>
  </si>
  <si>
    <t xml:space="preserve">Escaleras de coordinacion </t>
  </si>
  <si>
    <t>Escalera de agilidad y coordinación con medidas de  4 metros de largo X 40 de ancho. Puesto en el sitio de entrega. 
10 casillas de 40cmx40cm, producto nacional elaborado en riata de poliéster fina y plastico.</t>
  </si>
  <si>
    <t xml:space="preserve">Conos </t>
  </si>
  <si>
    <t xml:space="preserve">Cono en silicona, de 40 cm de altura,  color fluorescente. Logos Institucionales, diseño según manual de imagen institucional. Puesto en el sitio de entrega. </t>
  </si>
  <si>
    <t xml:space="preserve">Tulas baloneras </t>
  </si>
  <si>
    <t xml:space="preserve">Tula en lona resistente, capacidad minima 10 balones. Puesto en el sitio de entrega. </t>
  </si>
  <si>
    <t xml:space="preserve">Petos </t>
  </si>
  <si>
    <t>Petos Unisex en tela microfibra o poliéster 100% transpirable que mantiene al jugador fresco y seco, 
Corte holgado que permite libertad de movimiento, 
Variedad de colores para diferenciar a los equipos, con logos institucionales.
Cauchos laterales que permitan un mejor ajuste al cuerpo del deportista.
Las costuras deben ser reforzadas para garantizar durabilidad en uso intensivo
Nota: Se debe contar con las diferentes tallas, estas serán suministradas al tener toda la base de datos de los alumnos participantes en cada una de las diferentes, diciplinas deportivas. 
Puesto en el sitio de entrega.</t>
  </si>
  <si>
    <t xml:space="preserve">Chaqueta deportiva rompevientos con capucha  y bolsillos laterales para los docentes.
Material de nailon, con cuello redondo, manga larga.
Impermeable para lluvias intensas, cierre de cremallera hasta el cuelloencauchetada .
 Fabricación nacional, Unisex. Diseño según manual de imagen institucional. 
Nota: las talals seran definidas al tener toda la base de datos de los docentes contratados para dar la capacitacion en las diferentes diciplinas deportivas (mujer, hombre).
Puesto en el sitio de entrega. 
</t>
  </si>
  <si>
    <t>Balón para  futbol sala</t>
  </si>
  <si>
    <t xml:space="preserve">El balón es esférico, de cuero u otro material adecuado, los balones de fútbol sala tienen un tamaño de talla 4, un peso que varía entre 400 y 440 gramos, y un rebote controlado de 50 a 65 cm, según las normas de la FIFA. Puesto en el sitio de entrega. </t>
  </si>
  <si>
    <t xml:space="preserve">Balon de baloncesto para personas con discapacidad </t>
  </si>
  <si>
    <t xml:space="preserve">Balón de baloncesto tamaño 7, que mide 9,5″ de diámetro. Dos grandes campanas de metal dentro de la bola hacen ruido cuando está en movimiento. Hecho de caucho con una vejiga de caucho sintético enrollada en nailon. Puesto en el sitio de entrega. </t>
  </si>
  <si>
    <t>Balón sonoro (Futbol sala)</t>
  </si>
  <si>
    <t xml:space="preserve">Balones  de pilates </t>
  </si>
  <si>
    <t xml:space="preserve">Balón elastómero suave y resistente de gran diámetro (35-85 cm) relleno de aire. Puesto en el sitio de entrega. </t>
  </si>
  <si>
    <t xml:space="preserve">aros </t>
  </si>
  <si>
    <t xml:space="preserve">Pieza o objeto en forma de circunferencia, los aros de ula-ula pueden estar hechos de diversos materiales, como plástico, bambú. Puesto en el sitio de entrega. </t>
  </si>
  <si>
    <t xml:space="preserve">Raquetas de tenis (iniciación) </t>
  </si>
  <si>
    <t xml:space="preserve">Peso:
Entre 250 y 280 gramos, Tamaño de la cabeza:
Entre 660 y 742 cm², La longitud estándar de 27 pulgadas (68.6 cm) es adecuada para principiantes, Un patrón de encordado más abierto (16x19) ofrece más potencia y efectos, mientras que uno más cerrado (16x18) brinda más control, Las raquetas de iniciación suelen estar fabricadas con materiales compuestos como grafito o aluminio, que ofrecen un buen equilibrio entre ligereza y resistencia, Es importante elegir el tamaño de grip adecuado para la mano, ya que un grip demasiado grande o pequeño dificulta el agarre y el control de la raqueta. Puesto en el sitio de entrega. </t>
  </si>
  <si>
    <t>juegos didacticos (para personas con discapacidad)</t>
  </si>
  <si>
    <t xml:space="preserve">actividades diseñadas para promover el aprendizaje y desarrollo de habilidades a través del juego, adaptando las reglas y materiales para que sean accesibles y atractivos para personas con diversidad funcional. Puesto en el sitio de entrega. </t>
  </si>
  <si>
    <t xml:space="preserve"> Material, caucho de alta resistencia o materiales similares, Varían desde 1 kg hasta 10 kg o más, dependiendo del uso y la necesidad del usuario, tamaño: Pueden variar en diámetro, usualmente entre 25 cm y 30 cm, superficie, texturizada para un mejor agarre, incluso con manos sudadas. Puesto en el sitio de entrega. </t>
  </si>
  <si>
    <t xml:space="preserve">Balón de cuacho, construcción laminada al calor, cámara interior de butilo de 2 capas y cubierta en pvc de 400 grs a 440 grs de peso, rebote de  50 a 65 cm, calibre de 6 a 9 libras. Puesto en el sitio de entrega. </t>
  </si>
  <si>
    <t>Paletas de pateo</t>
  </si>
  <si>
    <t xml:space="preserve">hechas de cuero sintético o lona resistente en el exterior, y rellenas con espuma de alta densidad para absorción de impactos, Pueden ser simples (una sola superficie) o dobles (dos superficies para golpear), y suelen tener asas o correas para sujetarlas firmemente,  Puesto en el sitio de entrega. </t>
  </si>
  <si>
    <t>Paos pequeños</t>
  </si>
  <si>
    <t xml:space="preserve">Paos pequeños. En cuero sintético,   con medidas de 20 cm Ancho X 41 cm Largo X 10 cm Alto, costuras reforzadas, ajustable en velcro, bloque de cojin en alta densidad. Logos institucionales según el manual de imagen institucional.Puesto en el sitio de entrega. </t>
  </si>
  <si>
    <t xml:space="preserve">Balon  de baloncesto </t>
  </si>
  <si>
    <t xml:space="preserve">Balón de baloncesto No 5, elaborado en caucho, diseño antideslizante de construcción vulcanizada,con peso de 450 a 500 gr, circunferencia de 68 a 70 cm, rebote de 120 a 140 cm. Puesto en el sitio de entrega.  </t>
  </si>
  <si>
    <t xml:space="preserve">Paletas de pateo. Paletas de velocidad, para pateo dobles en cuero para pateo de precisión, peso de 0,340 kg, dimensiones de 39 cm x 19 cm x 5cm, color rojo, azul y negro. Puesto en el sitio de entrega. </t>
  </si>
  <si>
    <t>Colchoneta</t>
  </si>
  <si>
    <t xml:space="preserve">Colchoneta gruesa, de material goma impermeable, con medidas de: largo 100cm x 50 cm ancho, espesor de 3 cm, antideslizante, color negro, relleno en espuma de Polietileno excelente densidad, reforzada en esquinas, doble costura. Puesto en el sitio de entrega. </t>
  </si>
  <si>
    <t>Cascos deporte de contacto</t>
  </si>
  <si>
    <t xml:space="preserve">Cascos para competencia. Protector de cabeza color rojo, azul o blanco con logos institucionales, material fine PU + relleno de espuma. Tallas Surtidas. Puesto en el sitio de entrega. </t>
  </si>
  <si>
    <t>Protectores pecho</t>
  </si>
  <si>
    <t>Protector de pecho o pechera reve Puesto en el sitio de entrega. rsible. Protector de pecho o pechera reversible con logos institucionales, en diferentes tallas, composición en 50% poliuretano 30% espuma densa, 20% piel sintética, peso de 960 gramos. Diseño según manual de imagen institucional.</t>
  </si>
  <si>
    <t xml:space="preserve">Uniformes de patinaje </t>
  </si>
  <si>
    <t xml:space="preserve">Uniformes para beneficiarios patinaje totalmente en lycra poliéster, de alta calidad con colores y logos institucionales. Par de medias para patinaje. Incluye diseño y producción. Diseño según manual de imagen institucional. Puesto en el sitio de entrega. </t>
  </si>
  <si>
    <t>Patines semi profesionales.</t>
  </si>
  <si>
    <t xml:space="preserve">Patines semi profesionales. (patín semi profesional, bota en material de alta durabilidad y resistencia, llanta silicona 76mm - 100 mm(según edad) chasis aluminio, rodamiento abec 1, patin ajustable y talla segun la necesidad de la ejecucion (estos elementos serán entregados en la segunda o tercera  sesión de la escuela). Puesto en el sitio de entrega. </t>
  </si>
  <si>
    <t xml:space="preserve">Cascos patinaje </t>
  </si>
  <si>
    <t xml:space="preserve">Cascos de protección: pasta de   policarbonato con politileno expandido (Icopor), sistema de ajuste graduable adicional al sistema de correas. Puesto en el sitio de entrega. </t>
  </si>
  <si>
    <t xml:space="preserve">Banda elastica de poder </t>
  </si>
  <si>
    <t xml:space="preserve">Banda elástica poder 2000 x 22 x 4,5, mm. Puesto en el sitio de entrega. </t>
  </si>
  <si>
    <t xml:space="preserve">Kit de proteccion </t>
  </si>
  <si>
    <t>Kit de protección.2  Coderas y 2 rodilleras y 2 muñequeras de gama profesional para práctica de deporte de patinaje. logos institucionales. V</t>
  </si>
  <si>
    <t xml:space="preserve">Tablas deslizantes de fundamentacion </t>
  </si>
  <si>
    <t>Tabla deslizante de patinaje con medidas  de 2.2 m  x 0.6 m. v</t>
  </si>
  <si>
    <t xml:space="preserve">Raquetas </t>
  </si>
  <si>
    <t xml:space="preserve">Set de 2 raquetas de bádminton de alta calidad están hechas de materiales como fibra de carbono, grafito o plástico reforzado. Estos materiales son ligeros y resistentes, lo que permite a los jugadores manejarlas con facilidad. Puesto en el sitio de entrega. </t>
  </si>
  <si>
    <t xml:space="preserve">tubos de volantes de bádminton de calidad están hechos de materiales de alta calidad, como plumas de ganso o nailon de alta calidad, y ofrecen un buen rendimiento en la pista. Cada tubo contiene 12 volantes de badminton. Puesto en el sitio de entrega. </t>
  </si>
  <si>
    <t>Mallas, postes y base</t>
  </si>
  <si>
    <t xml:space="preserve">Mallas de bádminton de calidad están  nailon, y cumplen con las normas de competencia, las medidas estándar para las redes son de 6,02 cm de largo y 76 cm de alto y Postes de bádminton trasladables. De distintos materiales y con diferentes sistemas de anclaje y fijación para que puedas elegir el más adecuado a tus necesidades, con base estable . Puesto en el sitio de entrega. </t>
  </si>
  <si>
    <t xml:space="preserve">Cinta -Rollo </t>
  </si>
  <si>
    <t xml:space="preserve">La cinta para marcar pistas de badminton tiene un tamaño oficial según la BWF, con rollos que midan 126 metros de largo y 40 mm de ancho, disponible en varios colores como blanco y amarillo. Esta cinta permite marcar más de un campo con un solo rollo. Puesto en el sitio de entrega. </t>
  </si>
  <si>
    <t xml:space="preserve">Balon de voleibol  con tipo de superficie lisa, con material  en cubierta  PVC suave,  cosida a maquina, circunferencia  de 68 cm, tamaño No. 5,  material de la camara en butilo. Puesto en el sitio de entrega. </t>
  </si>
  <si>
    <t>Cascos</t>
  </si>
  <si>
    <t xml:space="preserve">Cascos deportes de nuevas tendencias, con proteccion en la nuca 
Material: Policarbonato resistente. 
Diseño: Aerodinámico y ligero.
Ajuste: Correas ajustables con hebilla de liberación rápida.
Ventilación: Orificios de ventilación para mantener la cabeza fresca
 Puesto en el sitio de entrega. 
</t>
  </si>
  <si>
    <t xml:space="preserve">Tablas </t>
  </si>
  <si>
    <t xml:space="preserve">Rango típico: 7.5" a 8.5"* (pulgadas). - *Longitud (length):  
  - Promedio: *31" a 32.5"*.  - Wheelbase (distancia entre ejes) *:  
  - Entre 13" y 15", siendo 14"-14.5" lo más común.  Madero de pino canadiense  7 capas y truck resistente.
 7-9 capas de madera prensada con resina epoxi o pegamento. Diseño simétrico con nose (parte delantera) y tail (parte trasera) levantados para trucos en ambos extremos. Trucks (ejes). Ruedas, Diámetro*: 50-54mm para street; 55-60mm para rampas, Dureza: 95A-101A (duras) para trucos; 78A-87A (blandas) para terrenos irregulares, Rodamientos: ABEC 5-7 (estándar) o ABEC 9 para alta velocidad .  Puesto en el sitio de entrega. </t>
  </si>
  <si>
    <t xml:space="preserve">objeto ovalado, no redondo, utilizado en el deporte del rugby. Está hecho de cuero o un material sintético adecuado y debe pesar entre 410 y 460 gramos. La circunferencia en su punto más ancho debe estar entre 58 y 62 cm, y su longitud entre 28 y 30 cm. La presión de aire al inicio del partido debe ser de 65,7 a 68,8 kPa (9,5 a 10,0 psi).  Puesto en el sitio de entrega. </t>
  </si>
  <si>
    <t>Juego de platillos</t>
  </si>
  <si>
    <t>Dinamometro Profesional Digital Medidor Fuerza Mano Medico</t>
  </si>
  <si>
    <t xml:space="preserve">Capacidad de medición de 0 a 265 lbs (120 kg) con una división mínima de 0,2 lbs (0,1 kg), gracias a su sensor de alta precisión. Obtenga lecturas exactas de fuerza de agarre en tiempo real. Pantalla clara en el mango y asas ajustables para adaptarse a diferentes tamaños de manos. Su diseño ligero lo hace cómodo y mucho más fácil de usar que los modelos manuales tradicionales. Fabricado con materiales de alta calidad que garantizan su durabilidad, ideal tanto para entrenamientos de fuerza como para evaluaciones clínicas. Puesto en el sitio de entrega. </t>
  </si>
  <si>
    <t>Tallimetro Con Base</t>
  </si>
  <si>
    <t xml:space="preserve">Este estadiometro portátil presenta una construcción robusta y duradera, lo que garantiza su resistencia y precisión en el uso diario.
Está fabricado con materiales de alta calidad que aseguran una medición precisa y confiable de la estatura de los pacientes.
Este estadiometro se puede desmontar fácilmente y transportar en un estuche, Especificaciones:
Rango de medición de  20 – 210 cm. División de 5 mm.
Características físicas:
Dimensiones:420 x 320 x 2150 mm Peso 2.6 kg.
 Puesto en el sitio de entrega. </t>
  </si>
  <si>
    <t>Cínta Métrica Corporal Retráctil</t>
  </si>
  <si>
    <t xml:space="preserve">Características del Producto
Rango de medición: 0 a 150 cm.
Sistema retráctil con botón central para mayor precisión.
Incluye ranura de bloqueo para medición exacta.
Elaborado en plástico ABS de alta calidad.
Medición en milímetros para mayor detalle.
Tamaño compacto: 9 cm x 5 cm x 2 cm.
Peso ligero: 40 g.
Modo de uso sencillo:
Rodea la zona a medir y ajusta la cinta en la ranura circular.
Presiona el botón central para obtener la medida precisa.
 Puesto en el sitio de entrega. </t>
  </si>
  <si>
    <t>Báscula Inteligente Tanita Ironman D/precisión - Blanca</t>
  </si>
  <si>
    <t xml:space="preserve">A diferencia de las básculas tradicionales, que solo muestran el peso, las básculas inteligentes proporcionan datos adicionales que son cruciales para un estilo de vida saludable, como la composición corporal, el índice de masa corporal (IMC), la masa muscular y el porcentaje de grasa corporal. Puesto en el sitio de entrega. 
 Puesto en el sitio de entrega. </t>
  </si>
  <si>
    <r>
      <t>Tiene que tener un peso mínimo de 400 gramos, y máximo de 440 gramos al comienzo del partido y una presión equivalente a 0,4 - 0,6 atmósferas (400- 600 g/cm²) al nivel del mar</t>
    </r>
    <r>
      <rPr>
        <sz val="11"/>
        <color rgb="FF1F1F1F"/>
        <rFont val="Garamond"/>
        <family val="1"/>
      </rPr>
      <t>.</t>
    </r>
    <r>
      <rPr>
        <sz val="11"/>
        <color rgb="FF040C28"/>
        <rFont val="Garamond"/>
        <family val="1"/>
      </rPr>
      <t xml:space="preserve"> Puesto en el sitio de entrega. </t>
    </r>
  </si>
  <si>
    <t>SECRETARIA DE GOBIERNO</t>
  </si>
  <si>
    <t>ESTUDIO DE MERCADO</t>
  </si>
  <si>
    <t xml:space="preserve">CANTIDAD </t>
  </si>
  <si>
    <t xml:space="preserve">
ALCALDIA LOCAL DE CIUDAD BOLIVAR</t>
  </si>
  <si>
    <t xml:space="preserve">SECRETARIA DE GOBIERNO
</t>
  </si>
  <si>
    <t>CON LOS CRESPOS HECHOS</t>
  </si>
  <si>
    <t>Balones de voleibol</t>
  </si>
  <si>
    <t>Lápiz B2 y 4B</t>
  </si>
  <si>
    <t>Balón de rugby</t>
  </si>
  <si>
    <t>Chaqueta rompevientos institucional para docentes</t>
  </si>
  <si>
    <t>Tubos de volantes</t>
  </si>
  <si>
    <t>Balon  de caucho (ESCUELA POLIMOTOR PARA PERSONAS CONDISCAPACIDAD )</t>
  </si>
  <si>
    <t>Balón de caucho ESCUELA POLIMOTOR CONVENCIONAL de 4 a 6 años   )</t>
  </si>
  <si>
    <t>Objeto: “ADQUIRIR LOS ELEMENTOS NECESARIOS PARA EL FUNCIONAMIENTO DE LA ENTIDAD Y LOS DIFERENTES PROGRAMAS Y PROYECTOS A CARGO DEL FONDO DE DESARROLLO LOCAL DE CIUDAD BOLÍVAR, EN EL MARCO DEL PLAN DE DESARROLLO LOCAL, PARA LA VIGENCIA 2025”.</t>
  </si>
  <si>
    <t>PGRANCNETRAL
NIT: 900.843.898-9</t>
  </si>
  <si>
    <t>GARABATOS PAPELERIA
NIT: 802.000.751-5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</si>
</sst>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43" formatCode="_-* #,##0.00_-;\-* #,##0.00_-;_-* &quot;-&quot;??_-;_-@_-"/>
    <numFmt numFmtId="164" formatCode="_-&quot;$&quot;* #,##0_-;\-&quot;$&quot;* #,##0_-;_-&quot;$&quot;* &quot;-&quot;_-;_-@_-"/>
    <numFmt numFmtId="165" formatCode="&quot;$&quot;\ #,##0.00"/>
    <numFmt numFmtId="166" formatCode="_-* #,##0_-;\-* #,##0_-;_-* &quot;-&quot;??_-;_-@_-"/>
    <numFmt numFmtId="167" formatCode="_-&quot;$&quot;\ * #,##0_-;\-&quot;$&quot;\ * #,##0_-;_-&quot;$&quot;\ * &quot;-&quot;??_-;_-@_-"/>
    <numFmt numFmtId="168" formatCode="&quot;$&quot;\ #,##0"/>
  </numFmts>
  <fonts count="27" x14ac:knownFonts="1">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sz val="11"/>
      <color theme="1"/>
      <name val="Garamond"/>
      <family val="1"/>
    </font>
    <font>
      <b/>
      <sz val="11"/>
      <color rgb="FF000000"/>
      <name val="Garamond"/>
      <family val="1"/>
    </font>
    <font>
      <b/>
      <sz val="11"/>
      <name val="Garamond"/>
      <family val="1"/>
    </font>
    <font>
      <b/>
      <sz val="11"/>
      <color theme="1"/>
      <name val="Garamond"/>
      <family val="1"/>
    </font>
    <font>
      <b/>
      <sz val="10"/>
      <color rgb="FF000000"/>
      <name val="Garamond"/>
      <family val="1"/>
    </font>
    <font>
      <sz val="11"/>
      <name val="Garamond"/>
      <family val="1"/>
    </font>
    <font>
      <b/>
      <sz val="10"/>
      <color theme="1"/>
      <name val="Garamond"/>
      <family val="1"/>
    </font>
    <font>
      <sz val="10"/>
      <color theme="1"/>
      <name val="Garamond"/>
      <family val="1"/>
    </font>
    <font>
      <sz val="10"/>
      <color rgb="FF000000"/>
      <name val="Garamond"/>
      <family val="1"/>
    </font>
    <font>
      <sz val="10"/>
      <name val="Garamond"/>
      <family val="1"/>
    </font>
    <font>
      <b/>
      <sz val="10"/>
      <name val="Garamond"/>
      <family val="1"/>
    </font>
    <font>
      <sz val="11"/>
      <color theme="0"/>
      <name val="Garamond"/>
      <family val="1"/>
    </font>
    <font>
      <sz val="11"/>
      <color rgb="FFFF0000"/>
      <name val="Garamond"/>
      <family val="1"/>
    </font>
    <font>
      <b/>
      <sz val="9"/>
      <color indexed="81"/>
      <name val="Tahoma"/>
      <family val="2"/>
    </font>
    <font>
      <b/>
      <sz val="12"/>
      <color rgb="FF000000"/>
      <name val="Garamond"/>
      <family val="1"/>
    </font>
    <font>
      <b/>
      <sz val="12"/>
      <color theme="1"/>
      <name val="Garamond"/>
      <family val="1"/>
    </font>
    <font>
      <sz val="9"/>
      <color theme="1"/>
      <name val="Garamond"/>
      <family val="1"/>
    </font>
    <font>
      <sz val="11"/>
      <color rgb="FF000000"/>
      <name val="Garamond"/>
      <family val="1"/>
    </font>
    <font>
      <sz val="11"/>
      <color rgb="FF001D35"/>
      <name val="Garamond"/>
      <family val="1"/>
    </font>
    <font>
      <b/>
      <sz val="11"/>
      <color theme="0"/>
      <name val="Garamond"/>
      <family val="1"/>
    </font>
    <font>
      <sz val="11"/>
      <color rgb="FF040C28"/>
      <name val="Garamond"/>
      <family val="1"/>
    </font>
    <font>
      <sz val="11"/>
      <color rgb="FF1F1F1F"/>
      <name val="Garamond"/>
      <family val="1"/>
    </font>
    <font>
      <b/>
      <sz val="11"/>
      <color rgb="FFFF0000"/>
      <name val="Garamond"/>
      <family val="1"/>
    </font>
  </fonts>
  <fills count="3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D9D9D9"/>
        <bgColor rgb="FF000000"/>
      </patternFill>
    </fill>
    <fill>
      <patternFill patternType="solid">
        <fgColor rgb="FFFFCCCC"/>
        <bgColor indexed="64"/>
      </patternFill>
    </fill>
    <fill>
      <patternFill patternType="solid">
        <fgColor rgb="FF000099"/>
        <bgColor indexed="64"/>
      </patternFill>
    </fill>
    <fill>
      <patternFill patternType="solid">
        <fgColor rgb="FF99CCFF"/>
        <bgColor indexed="64"/>
      </patternFill>
    </fill>
    <fill>
      <patternFill patternType="solid">
        <fgColor rgb="FFFFFF00"/>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rgb="FF00B0F0"/>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0.14999847407452621"/>
        <bgColor rgb="FF00FFFF"/>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7"/>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9" tint="-0.249977111117893"/>
        <bgColor rgb="FF000000"/>
      </patternFill>
    </fill>
    <fill>
      <patternFill patternType="solid">
        <fgColor theme="2"/>
        <bgColor indexed="64"/>
      </patternFill>
    </fill>
    <fill>
      <patternFill patternType="solid">
        <fgColor theme="2" tint="-9.9978637043366805E-2"/>
        <bgColor rgb="FF00FFFF"/>
      </patternFill>
    </fill>
    <fill>
      <patternFill patternType="solid">
        <fgColor theme="6" tint="0.79998168889431442"/>
        <bgColor indexed="64"/>
      </patternFill>
    </fill>
    <fill>
      <patternFill patternType="solid">
        <fgColor theme="8" tint="-0.249977111117893"/>
        <bgColor rgb="FF000000"/>
      </patternFill>
    </fill>
  </fills>
  <borders count="30">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s>
  <cellStyleXfs count="23">
    <xf numFmtId="0" fontId="0" fillId="0" borderId="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28">
    <xf numFmtId="0" fontId="0" fillId="0" borderId="0" xfId="0"/>
    <xf numFmtId="166" fontId="4" fillId="0" borderId="0" xfId="19" applyNumberFormat="1" applyFont="1" applyAlignment="1">
      <alignment vertical="center"/>
    </xf>
    <xf numFmtId="0" fontId="4" fillId="0" borderId="0" xfId="0" applyFont="1" applyAlignment="1">
      <alignment vertical="center"/>
    </xf>
    <xf numFmtId="0" fontId="8" fillId="2" borderId="2" xfId="0" applyFont="1" applyFill="1" applyBorder="1" applyAlignment="1">
      <alignment horizontal="center" vertical="center" wrapText="1"/>
    </xf>
    <xf numFmtId="44" fontId="10" fillId="2" borderId="2" xfId="5" applyFont="1" applyFill="1" applyBorder="1" applyAlignment="1">
      <alignment horizontal="center" vertical="center" wrapText="1"/>
    </xf>
    <xf numFmtId="0" fontId="11" fillId="0" borderId="0" xfId="0" applyFont="1" applyAlignment="1">
      <alignment vertical="center"/>
    </xf>
    <xf numFmtId="0" fontId="11" fillId="0" borderId="2" xfId="0" applyFont="1" applyBorder="1" applyAlignment="1">
      <alignment vertical="center" wrapText="1"/>
    </xf>
    <xf numFmtId="0" fontId="12" fillId="0" borderId="2" xfId="0" applyFont="1" applyBorder="1" applyAlignment="1">
      <alignment horizontal="justify" vertical="center" wrapText="1"/>
    </xf>
    <xf numFmtId="0" fontId="12" fillId="0" borderId="2" xfId="0" applyFont="1" applyBorder="1" applyAlignment="1">
      <alignment horizontal="center" vertical="center" wrapText="1"/>
    </xf>
    <xf numFmtId="166" fontId="12" fillId="0" borderId="2" xfId="19" applyNumberFormat="1" applyFont="1" applyFill="1" applyBorder="1" applyAlignment="1">
      <alignment vertical="center" wrapText="1"/>
    </xf>
    <xf numFmtId="165" fontId="12" fillId="0" borderId="2" xfId="0" applyNumberFormat="1" applyFont="1" applyBorder="1" applyAlignment="1">
      <alignment vertical="center" wrapText="1"/>
    </xf>
    <xf numFmtId="166" fontId="13" fillId="0" borderId="2" xfId="19" applyNumberFormat="1" applyFont="1" applyFill="1" applyBorder="1" applyAlignment="1">
      <alignment vertical="center"/>
    </xf>
    <xf numFmtId="166" fontId="12" fillId="0" borderId="2" xfId="19" applyNumberFormat="1" applyFont="1" applyFill="1" applyBorder="1" applyAlignment="1">
      <alignment horizontal="center" vertical="center" wrapText="1"/>
    </xf>
    <xf numFmtId="9" fontId="12" fillId="0" borderId="2" xfId="18" applyFont="1" applyFill="1" applyBorder="1" applyAlignment="1">
      <alignment horizontal="center" vertical="center" wrapText="1"/>
    </xf>
    <xf numFmtId="0" fontId="12" fillId="0" borderId="2" xfId="0" applyFont="1" applyBorder="1" applyAlignment="1">
      <alignment vertical="center" wrapText="1"/>
    </xf>
    <xf numFmtId="166" fontId="8" fillId="2" borderId="2" xfId="19" applyNumberFormat="1" applyFont="1" applyFill="1" applyBorder="1" applyAlignment="1">
      <alignment vertical="center" wrapText="1"/>
    </xf>
    <xf numFmtId="166" fontId="14" fillId="2" borderId="2" xfId="19" applyNumberFormat="1" applyFont="1" applyFill="1" applyBorder="1" applyAlignment="1">
      <alignment vertical="center"/>
    </xf>
    <xf numFmtId="165" fontId="8" fillId="2" borderId="2" xfId="0" applyNumberFormat="1" applyFont="1" applyFill="1" applyBorder="1" applyAlignment="1">
      <alignment vertical="center" wrapText="1"/>
    </xf>
    <xf numFmtId="166" fontId="10" fillId="2" borderId="2" xfId="19" applyNumberFormat="1" applyFont="1" applyFill="1" applyBorder="1" applyAlignment="1">
      <alignment horizontal="center" vertical="center" wrapText="1"/>
    </xf>
    <xf numFmtId="166" fontId="4" fillId="0" borderId="0" xfId="0" applyNumberFormat="1" applyFont="1" applyAlignment="1">
      <alignment vertical="center"/>
    </xf>
    <xf numFmtId="166" fontId="8" fillId="2" borderId="5" xfId="19" applyNumberFormat="1" applyFont="1" applyFill="1" applyBorder="1" applyAlignment="1">
      <alignment horizontal="center" vertical="center" wrapText="1"/>
    </xf>
    <xf numFmtId="167" fontId="14" fillId="2" borderId="2" xfId="20" applyNumberFormat="1" applyFont="1" applyFill="1" applyBorder="1" applyAlignment="1">
      <alignment vertical="center"/>
    </xf>
    <xf numFmtId="166" fontId="10" fillId="5" borderId="2" xfId="19" applyNumberFormat="1" applyFont="1" applyFill="1" applyBorder="1" applyAlignment="1">
      <alignment horizontal="center" vertical="center" wrapText="1"/>
    </xf>
    <xf numFmtId="9" fontId="10" fillId="5" borderId="2" xfId="18" applyFont="1" applyFill="1" applyBorder="1" applyAlignment="1">
      <alignment horizontal="center" vertical="center" wrapText="1"/>
    </xf>
    <xf numFmtId="0" fontId="4" fillId="0" borderId="0" xfId="0" applyFont="1" applyAlignment="1">
      <alignment horizontal="center" vertical="center"/>
    </xf>
    <xf numFmtId="166" fontId="13" fillId="0" borderId="2" xfId="19" applyNumberFormat="1" applyFont="1" applyFill="1" applyBorder="1" applyAlignment="1">
      <alignment horizontal="center" vertical="center" wrapText="1"/>
    </xf>
    <xf numFmtId="166" fontId="13" fillId="0" borderId="2" xfId="19" applyNumberFormat="1" applyFont="1" applyFill="1" applyBorder="1" applyAlignment="1">
      <alignment vertical="center" wrapText="1"/>
    </xf>
    <xf numFmtId="165" fontId="13" fillId="0" borderId="2" xfId="0" applyNumberFormat="1" applyFont="1" applyBorder="1" applyAlignment="1">
      <alignment vertical="center" wrapText="1"/>
    </xf>
    <xf numFmtId="0" fontId="9" fillId="0" borderId="0" xfId="0" applyFont="1" applyAlignment="1">
      <alignment vertical="center"/>
    </xf>
    <xf numFmtId="9" fontId="13" fillId="0" borderId="2" xfId="18" applyFont="1" applyFill="1" applyBorder="1" applyAlignment="1">
      <alignment horizontal="center" vertical="center" wrapText="1"/>
    </xf>
    <xf numFmtId="9" fontId="8" fillId="2" borderId="2" xfId="18" applyFont="1" applyFill="1" applyBorder="1" applyAlignment="1">
      <alignment horizontal="center" vertical="center" wrapText="1"/>
    </xf>
    <xf numFmtId="9" fontId="4" fillId="0" borderId="0" xfId="18" applyFont="1" applyAlignment="1">
      <alignment horizontal="center" vertical="center"/>
    </xf>
    <xf numFmtId="0" fontId="15" fillId="0" borderId="0" xfId="0" applyFont="1" applyAlignment="1">
      <alignment vertical="center"/>
    </xf>
    <xf numFmtId="0" fontId="7" fillId="0" borderId="0" xfId="0" applyFont="1" applyAlignment="1">
      <alignment vertical="center"/>
    </xf>
    <xf numFmtId="166" fontId="16" fillId="0" borderId="0" xfId="0" applyNumberFormat="1" applyFont="1" applyAlignment="1">
      <alignment vertical="center"/>
    </xf>
    <xf numFmtId="166" fontId="15" fillId="0" borderId="0" xfId="19" applyNumberFormat="1" applyFont="1" applyAlignment="1">
      <alignment vertical="center"/>
    </xf>
    <xf numFmtId="0" fontId="9" fillId="0" borderId="2" xfId="0" applyFont="1" applyBorder="1" applyAlignment="1">
      <alignment horizontal="center" vertical="center"/>
    </xf>
    <xf numFmtId="0" fontId="13" fillId="0" borderId="2" xfId="0" applyFont="1" applyBorder="1" applyAlignment="1">
      <alignment vertical="center" wrapText="1"/>
    </xf>
    <xf numFmtId="0" fontId="13" fillId="0" borderId="2" xfId="0" applyFont="1" applyBorder="1" applyAlignment="1">
      <alignment horizontal="justify" vertical="center" wrapText="1"/>
    </xf>
    <xf numFmtId="0" fontId="13" fillId="0" borderId="2" xfId="0" applyFont="1" applyBorder="1" applyAlignment="1">
      <alignment horizontal="center" vertical="center" wrapText="1"/>
    </xf>
    <xf numFmtId="0" fontId="4" fillId="2" borderId="2" xfId="0" applyFont="1" applyFill="1" applyBorder="1" applyAlignment="1">
      <alignment horizontal="center" vertical="center"/>
    </xf>
    <xf numFmtId="0" fontId="4" fillId="0" borderId="2" xfId="0" applyFont="1" applyBorder="1" applyAlignment="1">
      <alignment horizontal="center" vertical="center"/>
    </xf>
    <xf numFmtId="166" fontId="4" fillId="0" borderId="0" xfId="19" applyNumberFormat="1" applyFont="1" applyFill="1" applyAlignment="1">
      <alignment vertical="center"/>
    </xf>
    <xf numFmtId="166" fontId="7" fillId="2" borderId="2" xfId="19"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4" fillId="0" borderId="0" xfId="0" applyFont="1"/>
    <xf numFmtId="168" fontId="4" fillId="3" borderId="7" xfId="20" applyNumberFormat="1" applyFont="1" applyFill="1" applyBorder="1" applyAlignment="1">
      <alignment horizontal="center" vertical="center"/>
    </xf>
    <xf numFmtId="168" fontId="4" fillId="3" borderId="7" xfId="0" applyNumberFormat="1" applyFont="1" applyFill="1" applyBorder="1" applyAlignment="1">
      <alignment horizontal="center" vertical="center"/>
    </xf>
    <xf numFmtId="168" fontId="4" fillId="3" borderId="7" xfId="0" applyNumberFormat="1" applyFont="1" applyFill="1" applyBorder="1" applyAlignment="1">
      <alignment horizontal="center"/>
    </xf>
    <xf numFmtId="0" fontId="4" fillId="3" borderId="0" xfId="0" applyFont="1" applyFill="1"/>
    <xf numFmtId="168" fontId="4" fillId="0" borderId="2" xfId="20" applyNumberFormat="1" applyFont="1" applyBorder="1" applyAlignment="1">
      <alignment horizontal="center" vertical="center"/>
    </xf>
    <xf numFmtId="168" fontId="4" fillId="0" borderId="2" xfId="0" applyNumberFormat="1" applyFont="1" applyBorder="1" applyAlignment="1">
      <alignment horizontal="center" vertical="center"/>
    </xf>
    <xf numFmtId="168" fontId="4" fillId="0" borderId="2" xfId="0" applyNumberFormat="1" applyFont="1" applyBorder="1" applyAlignment="1">
      <alignment horizontal="center"/>
    </xf>
    <xf numFmtId="168" fontId="4" fillId="3" borderId="2" xfId="20" applyNumberFormat="1" applyFont="1" applyFill="1" applyBorder="1" applyAlignment="1">
      <alignment horizontal="center" vertical="center"/>
    </xf>
    <xf numFmtId="168" fontId="4" fillId="3" borderId="2" xfId="0" applyNumberFormat="1" applyFont="1" applyFill="1" applyBorder="1" applyAlignment="1">
      <alignment horizontal="center" vertical="center"/>
    </xf>
    <xf numFmtId="168" fontId="4" fillId="3" borderId="2" xfId="0" applyNumberFormat="1" applyFont="1" applyFill="1" applyBorder="1" applyAlignment="1">
      <alignment horizontal="center"/>
    </xf>
    <xf numFmtId="168" fontId="7" fillId="25" borderId="21" xfId="20" applyNumberFormat="1" applyFont="1" applyFill="1" applyBorder="1" applyAlignment="1">
      <alignment horizontal="center" vertical="center"/>
    </xf>
    <xf numFmtId="168" fontId="7" fillId="25" borderId="25" xfId="0" applyNumberFormat="1" applyFont="1" applyFill="1" applyBorder="1" applyAlignment="1">
      <alignment horizontal="center" vertical="center"/>
    </xf>
    <xf numFmtId="168" fontId="7" fillId="25" borderId="0" xfId="0" applyNumberFormat="1" applyFont="1" applyFill="1" applyAlignment="1">
      <alignment horizontal="center" vertical="center"/>
    </xf>
    <xf numFmtId="168" fontId="4" fillId="25" borderId="2" xfId="0" applyNumberFormat="1" applyFont="1" applyFill="1" applyBorder="1" applyAlignment="1">
      <alignment horizontal="center" vertical="center"/>
    </xf>
    <xf numFmtId="3" fontId="4" fillId="0" borderId="0" xfId="0" applyNumberFormat="1" applyFont="1"/>
    <xf numFmtId="168" fontId="4" fillId="0" borderId="0" xfId="20" applyNumberFormat="1" applyFont="1" applyAlignment="1">
      <alignment horizontal="center" vertical="center"/>
    </xf>
    <xf numFmtId="168" fontId="4" fillId="0" borderId="0" xfId="0" applyNumberFormat="1" applyFont="1" applyAlignment="1">
      <alignment horizontal="center" vertical="center"/>
    </xf>
    <xf numFmtId="168" fontId="4" fillId="0" borderId="0" xfId="0" applyNumberFormat="1" applyFont="1" applyAlignment="1">
      <alignment horizontal="center"/>
    </xf>
    <xf numFmtId="44" fontId="4" fillId="0" borderId="0" xfId="20" applyFont="1" applyAlignment="1">
      <alignment horizontal="center" vertical="center"/>
    </xf>
    <xf numFmtId="0" fontId="4" fillId="3" borderId="2" xfId="0" applyFont="1" applyFill="1" applyBorder="1" applyAlignment="1">
      <alignment horizontal="center" vertical="center"/>
    </xf>
    <xf numFmtId="0" fontId="4" fillId="3" borderId="2" xfId="0" applyFont="1" applyFill="1" applyBorder="1" applyAlignment="1">
      <alignment horizontal="left" vertical="center" wrapText="1"/>
    </xf>
    <xf numFmtId="0" fontId="21" fillId="3"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1" fillId="3" borderId="2"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2" xfId="0" applyFont="1" applyFill="1" applyBorder="1" applyAlignment="1">
      <alignment horizontal="center" vertical="center" wrapText="1"/>
    </xf>
    <xf numFmtId="168" fontId="9" fillId="3" borderId="2" xfId="20" applyNumberFormat="1" applyFont="1" applyFill="1" applyBorder="1" applyAlignment="1">
      <alignment horizontal="center" vertical="center"/>
    </xf>
    <xf numFmtId="0" fontId="9" fillId="3" borderId="0" xfId="0" applyFont="1" applyFill="1"/>
    <xf numFmtId="168" fontId="4" fillId="3" borderId="0" xfId="0" applyNumberFormat="1" applyFont="1" applyFill="1" applyAlignment="1">
      <alignment horizontal="center" vertical="center"/>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21" fillId="0" borderId="2" xfId="0" applyFont="1" applyBorder="1" applyAlignment="1">
      <alignment horizontal="center" vertical="center" wrapText="1"/>
    </xf>
    <xf numFmtId="168" fontId="4" fillId="8" borderId="2" xfId="20" applyNumberFormat="1" applyFont="1" applyFill="1" applyBorder="1" applyAlignment="1">
      <alignment horizontal="center" vertical="center"/>
    </xf>
    <xf numFmtId="0" fontId="7" fillId="0" borderId="2" xfId="0" applyFont="1" applyBorder="1" applyAlignment="1">
      <alignment horizontal="center" vertical="center" wrapText="1"/>
    </xf>
    <xf numFmtId="0" fontId="22" fillId="0" borderId="0" xfId="0" applyFont="1" applyAlignment="1">
      <alignment horizontal="left" vertical="center" wrapText="1"/>
    </xf>
    <xf numFmtId="0" fontId="4" fillId="0" borderId="2" xfId="0" applyFont="1" applyBorder="1" applyAlignment="1">
      <alignment horizontal="center" vertical="center" wrapText="1"/>
    </xf>
    <xf numFmtId="168" fontId="4" fillId="0" borderId="10" xfId="20" applyNumberFormat="1" applyFont="1" applyBorder="1" applyAlignment="1">
      <alignment horizontal="center" vertical="center"/>
    </xf>
    <xf numFmtId="168" fontId="4" fillId="3" borderId="10" xfId="20" applyNumberFormat="1" applyFont="1" applyFill="1" applyBorder="1" applyAlignment="1">
      <alignment horizontal="center" vertical="center"/>
    </xf>
    <xf numFmtId="0" fontId="22" fillId="0" borderId="2" xfId="0" applyFont="1" applyBorder="1" applyAlignment="1">
      <alignment horizontal="left" vertical="center" wrapText="1"/>
    </xf>
    <xf numFmtId="0" fontId="4" fillId="0" borderId="14" xfId="0" applyFont="1" applyBorder="1" applyAlignment="1">
      <alignment horizontal="left" vertical="center" wrapText="1"/>
    </xf>
    <xf numFmtId="44" fontId="4" fillId="25" borderId="2" xfId="20" applyFont="1" applyFill="1" applyBorder="1" applyAlignment="1">
      <alignment horizontal="center" vertical="center"/>
    </xf>
    <xf numFmtId="44" fontId="4" fillId="8" borderId="2" xfId="20" applyFont="1" applyFill="1" applyBorder="1" applyAlignment="1">
      <alignment horizontal="center" vertical="center"/>
    </xf>
    <xf numFmtId="0" fontId="4" fillId="25" borderId="2" xfId="0" applyFont="1" applyFill="1" applyBorder="1"/>
    <xf numFmtId="6" fontId="4" fillId="25" borderId="2" xfId="0" applyNumberFormat="1" applyFont="1" applyFill="1" applyBorder="1"/>
    <xf numFmtId="0" fontId="4" fillId="0" borderId="0" xfId="0" applyFont="1" applyAlignment="1">
      <alignment horizontal="left" vertical="center"/>
    </xf>
    <xf numFmtId="167" fontId="4" fillId="3" borderId="7" xfId="20" applyNumberFormat="1" applyFont="1" applyFill="1" applyBorder="1" applyAlignment="1">
      <alignment horizontal="center" vertical="center"/>
    </xf>
    <xf numFmtId="167" fontId="4" fillId="3" borderId="2" xfId="20" applyNumberFormat="1" applyFont="1" applyFill="1" applyBorder="1" applyAlignment="1">
      <alignment horizontal="center" vertical="center"/>
    </xf>
    <xf numFmtId="0" fontId="4" fillId="3" borderId="0" xfId="0" applyFont="1" applyFill="1" applyAlignment="1">
      <alignment horizontal="center" vertical="center"/>
    </xf>
    <xf numFmtId="0" fontId="4" fillId="3" borderId="2" xfId="0" applyFont="1" applyFill="1" applyBorder="1"/>
    <xf numFmtId="167" fontId="4" fillId="3" borderId="0" xfId="20" applyNumberFormat="1" applyFont="1" applyFill="1" applyAlignment="1">
      <alignment horizontal="center" vertical="center"/>
    </xf>
    <xf numFmtId="167" fontId="4" fillId="0" borderId="2" xfId="20" applyNumberFormat="1" applyFont="1" applyBorder="1" applyAlignment="1">
      <alignment horizontal="center" vertical="center"/>
    </xf>
    <xf numFmtId="167" fontId="4" fillId="0" borderId="7" xfId="20" applyNumberFormat="1" applyFont="1" applyBorder="1" applyAlignment="1">
      <alignment horizontal="center" vertical="center"/>
    </xf>
    <xf numFmtId="167" fontId="4" fillId="0" borderId="2" xfId="20" applyNumberFormat="1" applyFont="1" applyBorder="1" applyAlignment="1">
      <alignment vertical="center"/>
    </xf>
    <xf numFmtId="0" fontId="4" fillId="0" borderId="2" xfId="0" applyFont="1" applyBorder="1"/>
    <xf numFmtId="167" fontId="4" fillId="3" borderId="2" xfId="20" applyNumberFormat="1" applyFont="1" applyFill="1" applyBorder="1" applyAlignment="1">
      <alignment vertical="center"/>
    </xf>
    <xf numFmtId="167" fontId="4" fillId="0" borderId="5" xfId="20" applyNumberFormat="1" applyFont="1" applyBorder="1"/>
    <xf numFmtId="167" fontId="4" fillId="0" borderId="2" xfId="20" applyNumberFormat="1" applyFont="1" applyBorder="1"/>
    <xf numFmtId="0" fontId="4" fillId="0" borderId="10" xfId="0" applyFont="1" applyBorder="1"/>
    <xf numFmtId="167" fontId="4" fillId="3" borderId="2" xfId="20" applyNumberFormat="1" applyFont="1" applyFill="1" applyBorder="1"/>
    <xf numFmtId="167" fontId="4" fillId="3" borderId="1" xfId="20" applyNumberFormat="1" applyFont="1" applyFill="1" applyBorder="1" applyAlignment="1">
      <alignment horizontal="center" vertical="center"/>
    </xf>
    <xf numFmtId="6" fontId="4" fillId="0" borderId="0" xfId="0" applyNumberFormat="1" applyFont="1"/>
    <xf numFmtId="167" fontId="4" fillId="3" borderId="10" xfId="20" applyNumberFormat="1" applyFont="1" applyFill="1" applyBorder="1"/>
    <xf numFmtId="3" fontId="4" fillId="25" borderId="2" xfId="0" applyNumberFormat="1" applyFont="1" applyFill="1" applyBorder="1" applyAlignment="1">
      <alignment vertical="center"/>
    </xf>
    <xf numFmtId="0" fontId="5" fillId="2" borderId="2" xfId="0" applyFont="1" applyFill="1" applyBorder="1" applyAlignment="1">
      <alignment horizontal="center" vertical="center" wrapText="1"/>
    </xf>
    <xf numFmtId="166" fontId="7" fillId="5" borderId="2" xfId="19" applyNumberFormat="1" applyFont="1" applyFill="1" applyBorder="1" applyAlignment="1">
      <alignment horizontal="center" vertical="center" wrapText="1"/>
    </xf>
    <xf numFmtId="9" fontId="7" fillId="5" borderId="2" xfId="18" applyFont="1" applyFill="1" applyBorder="1" applyAlignment="1">
      <alignment horizontal="center" vertical="center" wrapText="1"/>
    </xf>
    <xf numFmtId="0" fontId="9" fillId="0" borderId="2" xfId="0" applyFont="1" applyBorder="1" applyAlignment="1">
      <alignment vertical="center" wrapText="1"/>
    </xf>
    <xf numFmtId="0" fontId="9" fillId="0" borderId="2" xfId="0" applyFont="1" applyBorder="1" applyAlignment="1">
      <alignment horizontal="justify" vertical="center" wrapText="1"/>
    </xf>
    <xf numFmtId="0" fontId="9" fillId="0" borderId="2" xfId="0" applyFont="1" applyBorder="1" applyAlignment="1">
      <alignment horizontal="center" vertical="center" wrapText="1"/>
    </xf>
    <xf numFmtId="166" fontId="9" fillId="0" borderId="2" xfId="19" applyNumberFormat="1" applyFont="1" applyFill="1" applyBorder="1" applyAlignment="1">
      <alignment vertical="center" wrapText="1"/>
    </xf>
    <xf numFmtId="9" fontId="9" fillId="0" borderId="2" xfId="18" applyFont="1" applyFill="1" applyBorder="1" applyAlignment="1">
      <alignment horizontal="center" vertical="center" wrapText="1"/>
    </xf>
    <xf numFmtId="165" fontId="9" fillId="0" borderId="2" xfId="0" applyNumberFormat="1" applyFont="1" applyBorder="1" applyAlignment="1">
      <alignment vertical="center" wrapText="1"/>
    </xf>
    <xf numFmtId="166" fontId="9" fillId="0" borderId="2" xfId="19" applyNumberFormat="1" applyFont="1" applyFill="1" applyBorder="1" applyAlignment="1">
      <alignment vertical="center"/>
    </xf>
    <xf numFmtId="165" fontId="9" fillId="0" borderId="2" xfId="0" applyNumberFormat="1" applyFont="1" applyBorder="1" applyAlignment="1">
      <alignment horizontal="justify" vertical="center" wrapText="1"/>
    </xf>
    <xf numFmtId="166" fontId="16" fillId="0" borderId="2" xfId="19" applyNumberFormat="1" applyFont="1" applyFill="1" applyBorder="1" applyAlignment="1">
      <alignment vertical="center" wrapText="1"/>
    </xf>
    <xf numFmtId="166" fontId="6" fillId="0" borderId="2" xfId="19" applyNumberFormat="1" applyFont="1" applyFill="1" applyBorder="1" applyAlignment="1">
      <alignment vertical="center" wrapText="1"/>
    </xf>
    <xf numFmtId="166" fontId="9" fillId="0" borderId="2" xfId="19" applyNumberFormat="1"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3" xfId="0" applyFont="1" applyFill="1" applyBorder="1" applyAlignment="1">
      <alignment horizontal="center" vertical="center" wrapText="1"/>
    </xf>
    <xf numFmtId="167" fontId="6" fillId="22" borderId="21" xfId="20" applyNumberFormat="1" applyFont="1" applyFill="1" applyBorder="1" applyAlignment="1">
      <alignment horizontal="center" vertical="center" wrapText="1"/>
    </xf>
    <xf numFmtId="167" fontId="6" fillId="22" borderId="28" xfId="20"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9" fontId="7" fillId="2" borderId="2" xfId="18" applyFont="1" applyFill="1" applyBorder="1" applyAlignment="1">
      <alignment horizontal="center" vertical="center" wrapText="1"/>
    </xf>
    <xf numFmtId="44" fontId="7" fillId="2" borderId="2" xfId="5" applyFont="1" applyFill="1" applyBorder="1" applyAlignment="1">
      <alignment horizontal="center" vertical="center" wrapText="1"/>
    </xf>
    <xf numFmtId="167" fontId="4" fillId="3" borderId="2" xfId="0" applyNumberFormat="1" applyFont="1" applyFill="1" applyBorder="1" applyAlignment="1">
      <alignment horizontal="center" vertical="center"/>
    </xf>
    <xf numFmtId="167" fontId="4" fillId="3" borderId="2" xfId="20" applyNumberFormat="1" applyFont="1" applyFill="1" applyBorder="1" applyAlignment="1">
      <alignment horizontal="center" vertical="center" wrapText="1"/>
    </xf>
    <xf numFmtId="9" fontId="4" fillId="3" borderId="2" xfId="18" applyFont="1" applyFill="1" applyBorder="1" applyAlignment="1">
      <alignment horizontal="center" vertical="center"/>
    </xf>
    <xf numFmtId="6" fontId="9" fillId="9" borderId="2" xfId="0" applyNumberFormat="1" applyFont="1" applyFill="1" applyBorder="1" applyAlignment="1">
      <alignment horizontal="center" vertical="center"/>
    </xf>
    <xf numFmtId="6" fontId="9" fillId="9" borderId="5" xfId="0" applyNumberFormat="1" applyFont="1" applyFill="1" applyBorder="1" applyAlignment="1">
      <alignment horizontal="center" vertical="center"/>
    </xf>
    <xf numFmtId="167" fontId="4" fillId="3" borderId="5" xfId="20" applyNumberFormat="1" applyFont="1" applyFill="1" applyBorder="1" applyAlignment="1">
      <alignment horizontal="center" vertical="center" wrapText="1"/>
    </xf>
    <xf numFmtId="0" fontId="21" fillId="0" borderId="2" xfId="0" applyFont="1" applyBorder="1" applyAlignment="1">
      <alignment horizontal="left" vertical="center" wrapText="1"/>
    </xf>
    <xf numFmtId="9" fontId="4" fillId="3" borderId="10" xfId="18" applyFont="1" applyFill="1" applyBorder="1" applyAlignment="1">
      <alignment horizontal="center" vertical="center"/>
    </xf>
    <xf numFmtId="0" fontId="24" fillId="3" borderId="2" xfId="0" applyFont="1" applyFill="1" applyBorder="1" applyAlignment="1">
      <alignment horizontal="left" wrapText="1"/>
    </xf>
    <xf numFmtId="167" fontId="4" fillId="3" borderId="10" xfId="0" applyNumberFormat="1" applyFont="1" applyFill="1" applyBorder="1" applyAlignment="1">
      <alignment horizontal="center" vertical="center"/>
    </xf>
    <xf numFmtId="167" fontId="4" fillId="3" borderId="10" xfId="20" applyNumberFormat="1" applyFont="1" applyFill="1" applyBorder="1" applyAlignment="1">
      <alignment horizontal="center" vertical="center" wrapText="1"/>
    </xf>
    <xf numFmtId="6" fontId="9" fillId="9" borderId="10" xfId="0" applyNumberFormat="1" applyFont="1" applyFill="1" applyBorder="1" applyAlignment="1">
      <alignment horizontal="center" vertical="center"/>
    </xf>
    <xf numFmtId="0" fontId="4" fillId="0" borderId="3" xfId="0" applyFont="1" applyBorder="1" applyAlignment="1">
      <alignment horizontal="center" vertical="center" wrapText="1"/>
    </xf>
    <xf numFmtId="0" fontId="4" fillId="3" borderId="15" xfId="0" applyFont="1" applyFill="1" applyBorder="1" applyAlignment="1">
      <alignment horizontal="center" vertical="center" wrapText="1"/>
    </xf>
    <xf numFmtId="0" fontId="5" fillId="30" borderId="10" xfId="0" applyFont="1" applyFill="1" applyBorder="1" applyAlignment="1">
      <alignment horizontal="center" vertical="center" wrapText="1"/>
    </xf>
    <xf numFmtId="0" fontId="5" fillId="30" borderId="2" xfId="0" applyFont="1" applyFill="1" applyBorder="1" applyAlignment="1">
      <alignment vertical="center" wrapText="1"/>
    </xf>
    <xf numFmtId="168" fontId="21" fillId="3" borderId="2" xfId="20" applyNumberFormat="1" applyFont="1" applyFill="1" applyBorder="1" applyAlignment="1">
      <alignment horizontal="center" vertical="center" wrapText="1"/>
    </xf>
    <xf numFmtId="167" fontId="4" fillId="3" borderId="7" xfId="0" applyNumberFormat="1" applyFont="1" applyFill="1" applyBorder="1" applyAlignment="1">
      <alignment horizontal="center" vertical="center"/>
    </xf>
    <xf numFmtId="167" fontId="4" fillId="3" borderId="7" xfId="20" applyNumberFormat="1" applyFont="1" applyFill="1" applyBorder="1" applyAlignment="1">
      <alignment horizontal="center" vertical="center" wrapText="1"/>
    </xf>
    <xf numFmtId="9" fontId="4" fillId="3" borderId="7" xfId="18" applyFont="1" applyFill="1" applyBorder="1" applyAlignment="1">
      <alignment horizontal="center" vertical="center"/>
    </xf>
    <xf numFmtId="6" fontId="9" fillId="24" borderId="7" xfId="0" applyNumberFormat="1" applyFont="1" applyFill="1" applyBorder="1" applyAlignment="1">
      <alignment horizontal="center" vertical="center"/>
    </xf>
    <xf numFmtId="6" fontId="9" fillId="24" borderId="2" xfId="0" applyNumberFormat="1" applyFont="1" applyFill="1" applyBorder="1" applyAlignment="1">
      <alignment horizontal="center" vertical="center"/>
    </xf>
    <xf numFmtId="168" fontId="9" fillId="3" borderId="2" xfId="20" applyNumberFormat="1" applyFont="1" applyFill="1" applyBorder="1" applyAlignment="1">
      <alignment horizontal="center" vertical="center" wrapText="1"/>
    </xf>
    <xf numFmtId="168" fontId="21" fillId="0" borderId="2" xfId="20" applyNumberFormat="1" applyFont="1" applyBorder="1" applyAlignment="1">
      <alignment horizontal="center" vertical="center" wrapText="1"/>
    </xf>
    <xf numFmtId="168" fontId="4" fillId="3" borderId="2" xfId="14" applyNumberFormat="1" applyFont="1" applyFill="1" applyBorder="1" applyAlignment="1">
      <alignment horizontal="center" vertical="center"/>
    </xf>
    <xf numFmtId="168" fontId="4" fillId="3" borderId="2" xfId="20" applyNumberFormat="1" applyFont="1" applyFill="1" applyBorder="1" applyAlignment="1">
      <alignment horizontal="center" vertical="center" wrapText="1"/>
    </xf>
    <xf numFmtId="168" fontId="21" fillId="0" borderId="10" xfId="20" applyNumberFormat="1" applyFont="1" applyBorder="1" applyAlignment="1">
      <alignment horizontal="center" vertical="center" wrapText="1"/>
    </xf>
    <xf numFmtId="6" fontId="9" fillId="24" borderId="10" xfId="0" applyNumberFormat="1" applyFont="1" applyFill="1" applyBorder="1" applyAlignment="1">
      <alignment horizontal="center" vertical="center"/>
    </xf>
    <xf numFmtId="168" fontId="6" fillId="22" borderId="23" xfId="20" applyNumberFormat="1" applyFont="1" applyFill="1" applyBorder="1" applyAlignment="1">
      <alignment horizontal="center" vertical="center" wrapText="1"/>
    </xf>
    <xf numFmtId="168" fontId="6" fillId="22" borderId="24" xfId="20" applyNumberFormat="1" applyFont="1" applyFill="1" applyBorder="1" applyAlignment="1">
      <alignment horizontal="center" vertical="center" wrapText="1"/>
    </xf>
    <xf numFmtId="0" fontId="7" fillId="23" borderId="0" xfId="0" applyFont="1" applyFill="1" applyAlignment="1">
      <alignment horizontal="center" vertical="center" wrapText="1"/>
    </xf>
    <xf numFmtId="44" fontId="7" fillId="2" borderId="2" xfId="5" applyFont="1" applyFill="1" applyBorder="1" applyAlignment="1">
      <alignment vertical="center" wrapText="1"/>
    </xf>
    <xf numFmtId="167" fontId="4" fillId="25" borderId="2" xfId="0" applyNumberFormat="1" applyFont="1" applyFill="1" applyBorder="1" applyAlignment="1">
      <alignment horizontal="center" vertical="center"/>
    </xf>
    <xf numFmtId="167" fontId="4" fillId="26" borderId="5" xfId="20" applyNumberFormat="1" applyFont="1" applyFill="1" applyBorder="1" applyAlignment="1">
      <alignment horizontal="center" vertical="center" wrapText="1"/>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166" fontId="5" fillId="23" borderId="2" xfId="19" applyNumberFormat="1" applyFont="1" applyFill="1" applyBorder="1" applyAlignment="1">
      <alignment horizontal="center" vertical="center" wrapText="1"/>
    </xf>
    <xf numFmtId="166" fontId="7" fillId="23" borderId="2" xfId="19" applyNumberFormat="1" applyFont="1" applyFill="1" applyBorder="1" applyAlignment="1">
      <alignment horizontal="center" vertical="center" wrapText="1"/>
    </xf>
    <xf numFmtId="166" fontId="8" fillId="23" borderId="2" xfId="19" applyNumberFormat="1" applyFont="1" applyFill="1" applyBorder="1" applyAlignment="1">
      <alignment horizontal="center" vertical="center" wrapText="1"/>
    </xf>
    <xf numFmtId="166" fontId="12" fillId="9" borderId="2" xfId="19" applyNumberFormat="1" applyFont="1" applyFill="1" applyBorder="1" applyAlignment="1">
      <alignment vertical="center" wrapText="1"/>
    </xf>
    <xf numFmtId="166" fontId="13" fillId="9" borderId="2" xfId="19" applyNumberFormat="1" applyFont="1" applyFill="1" applyBorder="1" applyAlignment="1">
      <alignment vertical="center" wrapText="1"/>
    </xf>
    <xf numFmtId="9" fontId="8" fillId="32" borderId="2" xfId="18" applyFont="1" applyFill="1" applyBorder="1" applyAlignment="1">
      <alignment horizontal="center" vertical="center" wrapText="1"/>
    </xf>
    <xf numFmtId="166" fontId="8" fillId="32" borderId="2" xfId="19" applyNumberFormat="1" applyFont="1" applyFill="1" applyBorder="1" applyAlignment="1">
      <alignment vertical="center" wrapText="1"/>
    </xf>
    <xf numFmtId="166" fontId="9" fillId="9" borderId="2" xfId="19" applyNumberFormat="1" applyFont="1" applyFill="1" applyBorder="1" applyAlignment="1">
      <alignment vertical="center" wrapText="1"/>
    </xf>
    <xf numFmtId="166" fontId="7" fillId="25" borderId="2" xfId="19" applyNumberFormat="1" applyFont="1" applyFill="1" applyBorder="1" applyAlignment="1">
      <alignment vertical="center"/>
    </xf>
    <xf numFmtId="166" fontId="7" fillId="25" borderId="1" xfId="19" applyNumberFormat="1" applyFont="1" applyFill="1" applyBorder="1" applyAlignment="1">
      <alignment vertical="center"/>
    </xf>
    <xf numFmtId="166" fontId="6" fillId="25" borderId="7" xfId="19" applyNumberFormat="1" applyFont="1" applyFill="1" applyBorder="1" applyAlignment="1">
      <alignment vertical="center" wrapText="1"/>
    </xf>
    <xf numFmtId="0" fontId="7" fillId="25" borderId="0" xfId="0" applyFont="1" applyFill="1" applyAlignment="1">
      <alignment horizontal="center" vertical="center"/>
    </xf>
    <xf numFmtId="0" fontId="4" fillId="25" borderId="0" xfId="0" applyFont="1" applyFill="1" applyAlignment="1">
      <alignment vertical="center"/>
    </xf>
    <xf numFmtId="166" fontId="7" fillId="25" borderId="0" xfId="19" applyNumberFormat="1" applyFont="1" applyFill="1" applyBorder="1" applyAlignment="1">
      <alignment horizontal="center" vertical="center"/>
    </xf>
    <xf numFmtId="166" fontId="7" fillId="25" borderId="0" xfId="19" applyNumberFormat="1" applyFont="1" applyFill="1" applyAlignment="1">
      <alignment vertical="center"/>
    </xf>
    <xf numFmtId="9" fontId="7" fillId="25" borderId="0" xfId="18" applyFont="1" applyFill="1" applyAlignment="1">
      <alignment horizontal="center" vertical="center"/>
    </xf>
    <xf numFmtId="0" fontId="7" fillId="25" borderId="0" xfId="0" applyFont="1" applyFill="1" applyAlignment="1">
      <alignment vertical="center"/>
    </xf>
    <xf numFmtId="0" fontId="9" fillId="3" borderId="0" xfId="0" applyFont="1" applyFill="1" applyAlignment="1">
      <alignment vertical="center"/>
    </xf>
    <xf numFmtId="0" fontId="7" fillId="0" borderId="0" xfId="0" applyFont="1" applyAlignment="1">
      <alignment vertical="center" wrapText="1"/>
    </xf>
    <xf numFmtId="0" fontId="7" fillId="24" borderId="2" xfId="0" applyFont="1" applyFill="1" applyBorder="1" applyAlignment="1">
      <alignment horizontal="center" vertical="center" wrapText="1"/>
    </xf>
    <xf numFmtId="44" fontId="6" fillId="31" borderId="2" xfId="20" applyFont="1" applyFill="1" applyBorder="1" applyAlignment="1">
      <alignment horizontal="center" vertical="center" wrapText="1"/>
    </xf>
    <xf numFmtId="44" fontId="6" fillId="31" borderId="3" xfId="20" applyFont="1" applyFill="1" applyBorder="1" applyAlignment="1">
      <alignment horizontal="center" vertical="center" wrapText="1"/>
    </xf>
    <xf numFmtId="9" fontId="7" fillId="24" borderId="2" xfId="18" applyFont="1" applyFill="1" applyBorder="1" applyAlignment="1">
      <alignment horizontal="center" vertical="center" wrapText="1"/>
    </xf>
    <xf numFmtId="44" fontId="7" fillId="24" borderId="2" xfId="5" applyFont="1" applyFill="1" applyBorder="1" applyAlignment="1">
      <alignment horizontal="center" vertical="center" wrapText="1"/>
    </xf>
    <xf numFmtId="6" fontId="4" fillId="3" borderId="0" xfId="0" applyNumberFormat="1" applyFont="1" applyFill="1"/>
    <xf numFmtId="0" fontId="4" fillId="3" borderId="0" xfId="0" applyFont="1" applyFill="1" applyAlignment="1">
      <alignment vertical="center"/>
    </xf>
    <xf numFmtId="0" fontId="4" fillId="3" borderId="10" xfId="0" applyFont="1" applyFill="1" applyBorder="1"/>
    <xf numFmtId="0" fontId="7" fillId="0" borderId="2" xfId="0" applyFont="1" applyBorder="1" applyAlignment="1">
      <alignment horizontal="left" vertical="center" wrapText="1"/>
    </xf>
    <xf numFmtId="0" fontId="5" fillId="2" borderId="10" xfId="0" applyFont="1" applyFill="1" applyBorder="1" applyAlignment="1">
      <alignment horizontal="left" vertical="center" wrapText="1"/>
    </xf>
    <xf numFmtId="0" fontId="4" fillId="0" borderId="2" xfId="0" applyFont="1" applyBorder="1" applyAlignment="1">
      <alignment horizontal="left" wrapText="1"/>
    </xf>
    <xf numFmtId="0" fontId="4" fillId="0" borderId="0" xfId="0" applyFont="1" applyAlignment="1">
      <alignment horizontal="left"/>
    </xf>
    <xf numFmtId="0" fontId="5" fillId="30" borderId="1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3" borderId="2" xfId="0" applyFont="1" applyFill="1" applyBorder="1" applyAlignment="1">
      <alignment horizontal="left" wrapText="1"/>
    </xf>
    <xf numFmtId="44" fontId="4" fillId="0" borderId="0" xfId="20" applyFont="1" applyAlignment="1">
      <alignment vertical="center"/>
    </xf>
    <xf numFmtId="44" fontId="4" fillId="0" borderId="0" xfId="20" applyFont="1"/>
    <xf numFmtId="3" fontId="7" fillId="0" borderId="0" xfId="0" applyNumberFormat="1" applyFont="1"/>
    <xf numFmtId="0" fontId="7" fillId="0" borderId="0" xfId="0" applyFont="1" applyAlignment="1">
      <alignment horizontal="center" vertical="center" wrapText="1"/>
    </xf>
    <xf numFmtId="166" fontId="6" fillId="7" borderId="13" xfId="19" applyNumberFormat="1" applyFont="1" applyFill="1" applyBorder="1" applyAlignment="1">
      <alignment horizontal="center" vertical="center" wrapText="1"/>
    </xf>
    <xf numFmtId="166" fontId="6" fillId="7" borderId="14" xfId="19" applyNumberFormat="1" applyFont="1" applyFill="1" applyBorder="1" applyAlignment="1">
      <alignment horizontal="center" vertical="center" wrapText="1"/>
    </xf>
    <xf numFmtId="166" fontId="6" fillId="7" borderId="15" xfId="19" applyNumberFormat="1" applyFont="1" applyFill="1" applyBorder="1" applyAlignment="1">
      <alignment horizontal="center" vertical="center" wrapText="1"/>
    </xf>
    <xf numFmtId="166" fontId="6" fillId="7" borderId="6" xfId="19" applyNumberFormat="1" applyFont="1" applyFill="1" applyBorder="1" applyAlignment="1">
      <alignment horizontal="center" vertical="center" wrapText="1"/>
    </xf>
    <xf numFmtId="166" fontId="6" fillId="7" borderId="8" xfId="19" applyNumberFormat="1" applyFont="1" applyFill="1" applyBorder="1" applyAlignment="1">
      <alignment horizontal="center" vertical="center" wrapText="1"/>
    </xf>
    <xf numFmtId="166" fontId="6" fillId="7" borderId="1" xfId="19" applyNumberFormat="1" applyFont="1" applyFill="1" applyBorder="1" applyAlignment="1">
      <alignment horizontal="center" vertical="center" wrapText="1"/>
    </xf>
    <xf numFmtId="166" fontId="23" fillId="6" borderId="13" xfId="19" applyNumberFormat="1" applyFont="1" applyFill="1" applyBorder="1" applyAlignment="1">
      <alignment horizontal="center" vertical="center" wrapText="1"/>
    </xf>
    <xf numFmtId="166" fontId="23" fillId="6" borderId="14" xfId="19" applyNumberFormat="1" applyFont="1" applyFill="1" applyBorder="1" applyAlignment="1">
      <alignment horizontal="center" vertical="center" wrapText="1"/>
    </xf>
    <xf numFmtId="166" fontId="23" fillId="6" borderId="15" xfId="19" applyNumberFormat="1" applyFont="1" applyFill="1" applyBorder="1" applyAlignment="1">
      <alignment horizontal="center" vertical="center" wrapText="1"/>
    </xf>
    <xf numFmtId="166" fontId="23" fillId="6" borderId="6" xfId="19" applyNumberFormat="1" applyFont="1" applyFill="1" applyBorder="1" applyAlignment="1">
      <alignment horizontal="center" vertical="center" wrapText="1"/>
    </xf>
    <xf numFmtId="166" fontId="23" fillId="6" borderId="8" xfId="19" applyNumberFormat="1" applyFont="1" applyFill="1" applyBorder="1" applyAlignment="1">
      <alignment horizontal="center" vertical="center" wrapText="1"/>
    </xf>
    <xf numFmtId="166" fontId="23" fillId="6" borderId="1" xfId="19" applyNumberFormat="1" applyFont="1" applyFill="1" applyBorder="1" applyAlignment="1">
      <alignment horizontal="center" vertical="center" wrapText="1"/>
    </xf>
    <xf numFmtId="0" fontId="7" fillId="25" borderId="3" xfId="0" applyFont="1" applyFill="1" applyBorder="1" applyAlignment="1">
      <alignment horizontal="center" vertical="center"/>
    </xf>
    <xf numFmtId="0" fontId="7" fillId="25" borderId="4" xfId="0" applyFont="1" applyFill="1" applyBorder="1" applyAlignment="1">
      <alignment horizontal="center" vertical="center"/>
    </xf>
    <xf numFmtId="0" fontId="7" fillId="25" borderId="5" xfId="0" applyFont="1" applyFill="1" applyBorder="1" applyAlignment="1">
      <alignment horizontal="center" vertical="center"/>
    </xf>
    <xf numFmtId="0" fontId="7" fillId="0" borderId="13" xfId="0" applyFont="1" applyBorder="1" applyAlignment="1">
      <alignment vertical="center" wrapText="1"/>
    </xf>
    <xf numFmtId="0" fontId="7" fillId="0" borderId="14" xfId="0" applyFont="1" applyBorder="1" applyAlignment="1">
      <alignment vertical="center" wrapText="1"/>
    </xf>
    <xf numFmtId="0" fontId="7" fillId="0" borderId="1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1" xfId="0" applyFont="1" applyBorder="1" applyAlignment="1">
      <alignment vertical="center" wrapText="1"/>
    </xf>
    <xf numFmtId="166" fontId="23" fillId="6" borderId="2" xfId="19" applyNumberFormat="1" applyFont="1" applyFill="1" applyBorder="1" applyAlignment="1">
      <alignment horizontal="center" vertical="center" wrapText="1"/>
    </xf>
    <xf numFmtId="166" fontId="6" fillId="7" borderId="2" xfId="19" applyNumberFormat="1"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6" fillId="4" borderId="2" xfId="0" applyFont="1" applyFill="1" applyBorder="1" applyAlignment="1">
      <alignment horizontal="center" vertical="center" wrapText="1"/>
    </xf>
    <xf numFmtId="44" fontId="7" fillId="2" borderId="10" xfId="5" applyFont="1" applyFill="1" applyBorder="1" applyAlignment="1">
      <alignment horizontal="center" vertical="center" wrapText="1"/>
    </xf>
    <xf numFmtId="44" fontId="7" fillId="2" borderId="11" xfId="5" applyFont="1" applyFill="1" applyBorder="1" applyAlignment="1">
      <alignment horizontal="center" vertical="center" wrapText="1"/>
    </xf>
    <xf numFmtId="44" fontId="7" fillId="2" borderId="7" xfId="5" applyFont="1" applyFill="1" applyBorder="1" applyAlignment="1">
      <alignment horizontal="center" vertical="center" wrapText="1"/>
    </xf>
    <xf numFmtId="166" fontId="7" fillId="2" borderId="2" xfId="19" applyNumberFormat="1" applyFont="1" applyFill="1" applyBorder="1" applyAlignment="1">
      <alignment horizontal="center" vertical="center" wrapText="1"/>
    </xf>
    <xf numFmtId="0" fontId="5" fillId="0" borderId="2" xfId="0" applyFont="1" applyBorder="1" applyAlignment="1">
      <alignment horizontal="center" vertical="center"/>
    </xf>
    <xf numFmtId="166" fontId="7" fillId="5" borderId="2" xfId="19" applyNumberFormat="1" applyFont="1" applyFill="1" applyBorder="1" applyAlignment="1">
      <alignment horizontal="center" vertical="center"/>
    </xf>
    <xf numFmtId="166" fontId="19" fillId="27" borderId="7" xfId="19" applyNumberFormat="1" applyFont="1" applyFill="1" applyBorder="1" applyAlignment="1">
      <alignment horizontal="center" vertical="center" wrapText="1"/>
    </xf>
    <xf numFmtId="166" fontId="19" fillId="27" borderId="2" xfId="19" applyNumberFormat="1" applyFont="1" applyFill="1" applyBorder="1" applyAlignment="1">
      <alignment horizontal="center" vertical="center" wrapText="1"/>
    </xf>
    <xf numFmtId="166" fontId="7" fillId="24" borderId="7" xfId="19" applyNumberFormat="1" applyFont="1" applyFill="1" applyBorder="1" applyAlignment="1">
      <alignment horizontal="center" vertical="center" wrapText="1"/>
    </xf>
    <xf numFmtId="166" fontId="7" fillId="24" borderId="2" xfId="19" applyNumberFormat="1" applyFont="1" applyFill="1" applyBorder="1" applyAlignment="1">
      <alignment horizontal="center" vertical="center" wrapText="1"/>
    </xf>
    <xf numFmtId="166" fontId="19" fillId="9" borderId="7" xfId="19" applyNumberFormat="1" applyFont="1" applyFill="1" applyBorder="1" applyAlignment="1">
      <alignment horizontal="center" vertical="center" wrapText="1"/>
    </xf>
    <xf numFmtId="166" fontId="19" fillId="9" borderId="2" xfId="19" applyNumberFormat="1" applyFont="1" applyFill="1" applyBorder="1" applyAlignment="1">
      <alignment horizontal="center" vertical="center" wrapText="1"/>
    </xf>
    <xf numFmtId="0" fontId="20" fillId="0" borderId="9" xfId="0" applyFont="1" applyBorder="1" applyAlignment="1">
      <alignment horizontal="justify" vertical="center" wrapText="1"/>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5" xfId="0" applyFont="1" applyFill="1" applyBorder="1" applyAlignment="1">
      <alignment horizontal="center" vertical="center"/>
    </xf>
    <xf numFmtId="166" fontId="7" fillId="28" borderId="7" xfId="19" applyNumberFormat="1" applyFont="1" applyFill="1" applyBorder="1" applyAlignment="1">
      <alignment horizontal="center" vertical="center" wrapText="1"/>
    </xf>
    <xf numFmtId="166" fontId="7" fillId="28" borderId="2" xfId="19" applyNumberFormat="1"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5" borderId="2" xfId="0" applyFont="1" applyFill="1" applyBorder="1" applyAlignment="1">
      <alignment horizontal="center" vertical="center"/>
    </xf>
    <xf numFmtId="0" fontId="7" fillId="17" borderId="2" xfId="0" applyFont="1" applyFill="1" applyBorder="1" applyAlignment="1">
      <alignment horizontal="center" vertical="center" wrapText="1"/>
    </xf>
    <xf numFmtId="0" fontId="7" fillId="17" borderId="2" xfId="0" applyFont="1" applyFill="1" applyBorder="1" applyAlignment="1">
      <alignment horizontal="center" vertical="center"/>
    </xf>
    <xf numFmtId="0" fontId="4" fillId="18" borderId="9" xfId="0" applyFont="1" applyFill="1" applyBorder="1" applyAlignment="1">
      <alignment horizontal="center" vertical="center" wrapText="1"/>
    </xf>
    <xf numFmtId="0" fontId="4" fillId="18" borderId="0" xfId="0" applyFont="1" applyFill="1" applyAlignment="1">
      <alignment horizontal="center" vertical="center" wrapText="1"/>
    </xf>
    <xf numFmtId="0" fontId="7" fillId="21" borderId="13" xfId="0" applyFont="1" applyFill="1" applyBorder="1" applyAlignment="1">
      <alignment horizontal="center" vertical="center" wrapText="1"/>
    </xf>
    <xf numFmtId="0" fontId="7" fillId="21" borderId="14" xfId="0" applyFont="1" applyFill="1" applyBorder="1" applyAlignment="1">
      <alignment horizontal="center" vertical="center" wrapText="1"/>
    </xf>
    <xf numFmtId="0" fontId="7" fillId="21" borderId="6" xfId="0" applyFont="1" applyFill="1" applyBorder="1" applyAlignment="1">
      <alignment horizontal="center" vertical="center" wrapText="1"/>
    </xf>
    <xf numFmtId="0" fontId="7" fillId="21" borderId="8" xfId="0" applyFont="1" applyFill="1" applyBorder="1" applyAlignment="1">
      <alignment horizontal="center" vertical="center" wrapText="1"/>
    </xf>
    <xf numFmtId="0" fontId="7" fillId="0" borderId="0" xfId="0" applyFont="1" applyAlignment="1">
      <alignment vertical="center" wrapText="1"/>
    </xf>
    <xf numFmtId="0" fontId="4" fillId="25" borderId="29" xfId="0" applyFont="1" applyFill="1" applyBorder="1" applyAlignment="1">
      <alignment horizontal="center"/>
    </xf>
    <xf numFmtId="0" fontId="4" fillId="25" borderId="14" xfId="0" applyFont="1" applyFill="1" applyBorder="1" applyAlignment="1">
      <alignment horizontal="center"/>
    </xf>
    <xf numFmtId="0" fontId="4" fillId="25" borderId="15" xfId="0" applyFont="1" applyFill="1" applyBorder="1" applyAlignment="1">
      <alignment horizontal="center"/>
    </xf>
    <xf numFmtId="0" fontId="7" fillId="21" borderId="2" xfId="0" applyFont="1" applyFill="1" applyBorder="1" applyAlignment="1">
      <alignment horizontal="center" vertical="center" wrapText="1"/>
    </xf>
    <xf numFmtId="0" fontId="7" fillId="16" borderId="2" xfId="0" applyFont="1" applyFill="1" applyBorder="1" applyAlignment="1">
      <alignment horizontal="center" vertical="center" wrapText="1"/>
    </xf>
    <xf numFmtId="0" fontId="5" fillId="33" borderId="2" xfId="0" applyFont="1" applyFill="1" applyBorder="1" applyAlignment="1">
      <alignment horizontal="center" vertical="center" wrapText="1" readingOrder="1"/>
    </xf>
    <xf numFmtId="0" fontId="6" fillId="4" borderId="9" xfId="0" applyFont="1" applyFill="1" applyBorder="1" applyAlignment="1">
      <alignment horizontal="center" vertical="center" wrapText="1"/>
    </xf>
    <xf numFmtId="0" fontId="6" fillId="4" borderId="0" xfId="0" applyFont="1" applyFill="1" applyAlignment="1">
      <alignment horizontal="center" vertical="center" wrapText="1"/>
    </xf>
    <xf numFmtId="0" fontId="5" fillId="0" borderId="9" xfId="0" applyFont="1" applyBorder="1" applyAlignment="1">
      <alignment horizontal="center" vertical="center"/>
    </xf>
    <xf numFmtId="0" fontId="5" fillId="0" borderId="0" xfId="0" applyFont="1" applyAlignment="1">
      <alignment horizontal="center" vertical="center"/>
    </xf>
    <xf numFmtId="0" fontId="7" fillId="16" borderId="14" xfId="0" applyFont="1" applyFill="1" applyBorder="1" applyAlignment="1">
      <alignment horizontal="center" vertical="center" wrapText="1"/>
    </xf>
    <xf numFmtId="0" fontId="7" fillId="16" borderId="8"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18" borderId="14" xfId="0" applyFont="1" applyFill="1" applyBorder="1" applyAlignment="1">
      <alignment horizontal="center" vertical="center" wrapText="1"/>
    </xf>
    <xf numFmtId="0" fontId="7" fillId="18" borderId="8" xfId="0" applyFont="1" applyFill="1" applyBorder="1" applyAlignment="1">
      <alignment horizontal="center" vertical="center" wrapText="1"/>
    </xf>
    <xf numFmtId="0" fontId="7" fillId="17" borderId="14" xfId="0" applyFont="1" applyFill="1" applyBorder="1" applyAlignment="1">
      <alignment horizontal="center" vertical="center" wrapText="1"/>
    </xf>
    <xf numFmtId="0" fontId="7" fillId="17" borderId="8" xfId="0" applyFont="1" applyFill="1" applyBorder="1" applyAlignment="1">
      <alignment horizontal="center" vertical="center" wrapText="1"/>
    </xf>
    <xf numFmtId="0" fontId="7" fillId="18" borderId="2" xfId="0" applyFont="1" applyFill="1" applyBorder="1" applyAlignment="1">
      <alignment horizontal="center" vertical="center" wrapText="1"/>
    </xf>
    <xf numFmtId="168" fontId="7" fillId="21" borderId="2" xfId="20" applyNumberFormat="1" applyFont="1" applyFill="1" applyBorder="1" applyAlignment="1">
      <alignment horizontal="center" vertical="center" wrapText="1" readingOrder="1"/>
    </xf>
    <xf numFmtId="0" fontId="7" fillId="16" borderId="2" xfId="0" applyFont="1" applyFill="1" applyBorder="1" applyAlignment="1">
      <alignment horizontal="center" vertical="center"/>
    </xf>
    <xf numFmtId="44" fontId="7" fillId="27" borderId="2" xfId="20" applyFont="1" applyFill="1" applyBorder="1" applyAlignment="1">
      <alignment horizontal="center" vertical="center" wrapText="1"/>
    </xf>
    <xf numFmtId="44" fontId="7" fillId="27" borderId="10" xfId="20" applyFont="1" applyFill="1" applyBorder="1" applyAlignment="1">
      <alignment horizontal="center" vertical="center" wrapText="1"/>
    </xf>
    <xf numFmtId="0" fontId="7" fillId="24" borderId="2" xfId="0" applyFont="1" applyFill="1" applyBorder="1" applyAlignment="1">
      <alignment horizontal="center" vertical="center" wrapText="1"/>
    </xf>
    <xf numFmtId="0" fontId="7" fillId="24" borderId="2" xfId="0" applyFont="1" applyFill="1" applyBorder="1" applyAlignment="1">
      <alignment horizontal="center" vertical="center"/>
    </xf>
    <xf numFmtId="0" fontId="7" fillId="24" borderId="10" xfId="0" applyFont="1" applyFill="1" applyBorder="1" applyAlignment="1">
      <alignment horizontal="center" vertical="center"/>
    </xf>
    <xf numFmtId="44" fontId="7" fillId="9" borderId="2" xfId="20" applyFont="1" applyFill="1" applyBorder="1" applyAlignment="1">
      <alignment horizontal="center" vertical="center" wrapText="1"/>
    </xf>
    <xf numFmtId="44" fontId="7" fillId="9" borderId="10" xfId="20" applyFont="1" applyFill="1" applyBorder="1" applyAlignment="1">
      <alignment horizontal="center" vertical="center" wrapText="1"/>
    </xf>
    <xf numFmtId="44" fontId="7" fillId="28" borderId="2" xfId="20" applyFont="1" applyFill="1" applyBorder="1" applyAlignment="1">
      <alignment horizontal="center" vertical="center" wrapText="1"/>
    </xf>
    <xf numFmtId="44" fontId="7" fillId="28" borderId="10" xfId="20" applyFont="1" applyFill="1" applyBorder="1" applyAlignment="1">
      <alignment horizontal="center" vertical="center" wrapText="1"/>
    </xf>
    <xf numFmtId="44" fontId="7" fillId="27" borderId="2" xfId="20" applyFont="1" applyFill="1" applyBorder="1" applyAlignment="1">
      <alignment horizontal="center" vertical="center"/>
    </xf>
    <xf numFmtId="44" fontId="7" fillId="27" borderId="10" xfId="20" applyFont="1" applyFill="1" applyBorder="1" applyAlignment="1">
      <alignment horizontal="center" vertical="center"/>
    </xf>
    <xf numFmtId="44" fontId="7" fillId="24" borderId="2" xfId="20" applyFont="1" applyFill="1" applyBorder="1" applyAlignment="1">
      <alignment horizontal="center" wrapText="1"/>
    </xf>
    <xf numFmtId="44" fontId="7" fillId="24" borderId="10" xfId="20" applyFont="1" applyFill="1" applyBorder="1" applyAlignment="1">
      <alignment horizontal="center" wrapText="1"/>
    </xf>
    <xf numFmtId="0" fontId="7" fillId="24" borderId="10" xfId="0" applyFont="1" applyFill="1" applyBorder="1" applyAlignment="1">
      <alignment horizontal="center" vertical="center" wrapText="1"/>
    </xf>
    <xf numFmtId="0" fontId="7" fillId="9" borderId="2" xfId="0" applyFont="1" applyFill="1" applyBorder="1" applyAlignment="1">
      <alignment horizontal="center" vertical="center" wrapText="1"/>
    </xf>
    <xf numFmtId="0" fontId="7" fillId="9" borderId="10" xfId="0" applyFont="1" applyFill="1" applyBorder="1" applyAlignment="1">
      <alignment horizontal="center" vertical="center" wrapText="1"/>
    </xf>
    <xf numFmtId="0" fontId="7" fillId="28" borderId="2" xfId="0" applyFont="1" applyFill="1" applyBorder="1" applyAlignment="1">
      <alignment horizontal="center" vertical="center" wrapText="1"/>
    </xf>
    <xf numFmtId="0" fontId="7" fillId="28" borderId="10" xfId="0" applyFont="1" applyFill="1" applyBorder="1" applyAlignment="1">
      <alignment horizontal="center" vertical="center" wrapText="1"/>
    </xf>
    <xf numFmtId="0" fontId="7" fillId="27" borderId="2" xfId="0" applyFont="1" applyFill="1" applyBorder="1" applyAlignment="1">
      <alignment horizontal="center" vertical="center" wrapText="1"/>
    </xf>
    <xf numFmtId="0" fontId="7" fillId="27" borderId="10" xfId="0" applyFont="1" applyFill="1" applyBorder="1" applyAlignment="1">
      <alignment horizontal="center" vertical="center" wrapText="1"/>
    </xf>
    <xf numFmtId="44" fontId="7" fillId="24" borderId="2" xfId="20" applyFont="1" applyFill="1" applyBorder="1" applyAlignment="1">
      <alignment horizontal="center" vertical="center" wrapText="1"/>
    </xf>
    <xf numFmtId="44" fontId="7" fillId="24" borderId="10" xfId="20" applyFont="1" applyFill="1" applyBorder="1" applyAlignment="1">
      <alignment horizontal="center" vertical="center" wrapText="1"/>
    </xf>
    <xf numFmtId="0" fontId="7" fillId="27" borderId="13" xfId="0" applyFont="1" applyFill="1" applyBorder="1" applyAlignment="1">
      <alignment horizontal="center" vertical="center" wrapText="1"/>
    </xf>
    <xf numFmtId="0" fontId="7" fillId="27" borderId="15" xfId="0" applyFont="1" applyFill="1" applyBorder="1" applyAlignment="1">
      <alignment horizontal="center" vertical="center" wrapText="1"/>
    </xf>
    <xf numFmtId="0" fontId="7" fillId="27" borderId="9" xfId="0" applyFont="1" applyFill="1" applyBorder="1" applyAlignment="1">
      <alignment horizontal="center" vertical="center" wrapText="1"/>
    </xf>
    <xf numFmtId="0" fontId="7" fillId="27" borderId="12" xfId="0" applyFont="1" applyFill="1" applyBorder="1" applyAlignment="1">
      <alignment horizontal="center" vertical="center" wrapText="1"/>
    </xf>
    <xf numFmtId="0" fontId="7" fillId="24" borderId="13" xfId="0" applyFont="1" applyFill="1" applyBorder="1" applyAlignment="1">
      <alignment horizontal="center" vertical="center" wrapText="1"/>
    </xf>
    <xf numFmtId="0" fontId="7" fillId="24" borderId="15" xfId="0" applyFont="1" applyFill="1" applyBorder="1" applyAlignment="1">
      <alignment horizontal="center" vertical="center" wrapText="1"/>
    </xf>
    <xf numFmtId="0" fontId="7" fillId="24" borderId="9" xfId="0" applyFont="1" applyFill="1" applyBorder="1" applyAlignment="1">
      <alignment horizontal="center" vertical="center" wrapText="1"/>
    </xf>
    <xf numFmtId="0" fontId="7" fillId="24" borderId="12"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7" fillId="9" borderId="15"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12" xfId="0" applyFont="1" applyFill="1" applyBorder="1" applyAlignment="1">
      <alignment horizontal="center" vertical="center" wrapText="1"/>
    </xf>
    <xf numFmtId="168" fontId="7" fillId="28" borderId="13" xfId="20" applyNumberFormat="1" applyFont="1" applyFill="1" applyBorder="1" applyAlignment="1">
      <alignment horizontal="center" vertical="center" wrapText="1" readingOrder="1"/>
    </xf>
    <xf numFmtId="168" fontId="7" fillId="28" borderId="15" xfId="20" applyNumberFormat="1" applyFont="1" applyFill="1" applyBorder="1" applyAlignment="1">
      <alignment horizontal="center" vertical="center" wrapText="1" readingOrder="1"/>
    </xf>
    <xf numFmtId="168" fontId="7" fillId="28" borderId="9" xfId="20" applyNumberFormat="1" applyFont="1" applyFill="1" applyBorder="1" applyAlignment="1">
      <alignment horizontal="center" vertical="center" wrapText="1" readingOrder="1"/>
    </xf>
    <xf numFmtId="168" fontId="7" fillId="28" borderId="12" xfId="20" applyNumberFormat="1" applyFont="1" applyFill="1" applyBorder="1" applyAlignment="1">
      <alignment horizontal="center" vertical="center" wrapText="1" readingOrder="1"/>
    </xf>
    <xf numFmtId="168" fontId="7" fillId="27" borderId="2" xfId="20" applyNumberFormat="1" applyFont="1" applyFill="1" applyBorder="1" applyAlignment="1">
      <alignment horizontal="center" vertical="center" wrapText="1" readingOrder="1"/>
    </xf>
    <xf numFmtId="168" fontId="7" fillId="27" borderId="10" xfId="20" applyNumberFormat="1" applyFont="1" applyFill="1" applyBorder="1" applyAlignment="1">
      <alignment horizontal="center" vertical="center" wrapText="1" readingOrder="1"/>
    </xf>
    <xf numFmtId="168" fontId="7" fillId="24" borderId="13" xfId="20" applyNumberFormat="1" applyFont="1" applyFill="1" applyBorder="1" applyAlignment="1">
      <alignment horizontal="center" vertical="center" wrapText="1" readingOrder="1"/>
    </xf>
    <xf numFmtId="168" fontId="7" fillId="24" borderId="14" xfId="20" applyNumberFormat="1" applyFont="1" applyFill="1" applyBorder="1" applyAlignment="1">
      <alignment horizontal="center" vertical="center" wrapText="1" readingOrder="1"/>
    </xf>
    <xf numFmtId="168" fontId="7" fillId="24" borderId="9" xfId="20" applyNumberFormat="1" applyFont="1" applyFill="1" applyBorder="1" applyAlignment="1">
      <alignment horizontal="center" vertical="center" wrapText="1" readingOrder="1"/>
    </xf>
    <xf numFmtId="168" fontId="7" fillId="24" borderId="0" xfId="20" applyNumberFormat="1" applyFont="1" applyFill="1" applyBorder="1" applyAlignment="1">
      <alignment horizontal="center" vertical="center" wrapText="1" readingOrder="1"/>
    </xf>
    <xf numFmtId="168" fontId="7" fillId="9" borderId="2" xfId="20" applyNumberFormat="1" applyFont="1" applyFill="1" applyBorder="1" applyAlignment="1">
      <alignment horizontal="center" vertical="center" wrapText="1" readingOrder="1"/>
    </xf>
    <xf numFmtId="168" fontId="7" fillId="9" borderId="10" xfId="20" applyNumberFormat="1" applyFont="1" applyFill="1" applyBorder="1" applyAlignment="1">
      <alignment horizontal="center" vertical="center" wrapText="1" readingOrder="1"/>
    </xf>
    <xf numFmtId="168" fontId="7" fillId="28" borderId="2" xfId="20" applyNumberFormat="1" applyFont="1" applyFill="1" applyBorder="1" applyAlignment="1">
      <alignment horizontal="center" vertical="center" wrapText="1" readingOrder="1"/>
    </xf>
    <xf numFmtId="168" fontId="7" fillId="28" borderId="10" xfId="20" applyNumberFormat="1" applyFont="1" applyFill="1" applyBorder="1" applyAlignment="1">
      <alignment horizontal="center" vertical="center" wrapText="1" readingOrder="1"/>
    </xf>
    <xf numFmtId="168" fontId="7" fillId="24" borderId="2" xfId="20" applyNumberFormat="1" applyFont="1" applyFill="1" applyBorder="1" applyAlignment="1">
      <alignment horizontal="center" vertical="center" wrapText="1" readingOrder="1"/>
    </xf>
    <xf numFmtId="168" fontId="7" fillId="24" borderId="10" xfId="20" applyNumberFormat="1" applyFont="1" applyFill="1" applyBorder="1" applyAlignment="1">
      <alignment horizontal="center" vertical="center" wrapText="1" readingOrder="1"/>
    </xf>
    <xf numFmtId="0" fontId="7" fillId="28" borderId="0" xfId="0" applyFont="1" applyFill="1" applyAlignment="1">
      <alignment horizontal="center" vertical="center" wrapText="1"/>
    </xf>
    <xf numFmtId="0" fontId="7" fillId="28" borderId="8" xfId="0" applyFont="1" applyFill="1" applyBorder="1" applyAlignment="1">
      <alignment horizontal="center" vertical="center" wrapText="1"/>
    </xf>
    <xf numFmtId="0" fontId="7" fillId="27" borderId="0" xfId="0" applyFont="1" applyFill="1" applyAlignment="1">
      <alignment horizontal="center" vertical="center" wrapText="1"/>
    </xf>
    <xf numFmtId="0" fontId="7" fillId="27" borderId="8" xfId="0" applyFont="1" applyFill="1" applyBorder="1" applyAlignment="1">
      <alignment horizontal="center" vertical="center" wrapText="1"/>
    </xf>
    <xf numFmtId="0" fontId="7" fillId="24" borderId="0" xfId="0" applyFont="1" applyFill="1" applyAlignment="1">
      <alignment horizontal="center" vertical="center" wrapText="1"/>
    </xf>
    <xf numFmtId="0" fontId="7" fillId="24" borderId="8" xfId="0" applyFont="1" applyFill="1" applyBorder="1" applyAlignment="1">
      <alignment horizontal="center" vertical="center" wrapText="1"/>
    </xf>
    <xf numFmtId="0" fontId="7" fillId="2" borderId="0" xfId="0" applyFont="1" applyFill="1" applyAlignment="1">
      <alignment horizontal="center" vertical="center"/>
    </xf>
    <xf numFmtId="0" fontId="7" fillId="2" borderId="12" xfId="0" applyFont="1" applyFill="1" applyBorder="1" applyAlignment="1">
      <alignment horizontal="center" vertical="center"/>
    </xf>
    <xf numFmtId="0" fontId="7" fillId="2" borderId="9"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0" fontId="4" fillId="25" borderId="26" xfId="0" applyFont="1" applyFill="1" applyBorder="1" applyAlignment="1">
      <alignment horizontal="center"/>
    </xf>
    <xf numFmtId="0" fontId="4" fillId="25" borderId="27" xfId="0" applyFont="1" applyFill="1" applyBorder="1" applyAlignment="1">
      <alignment horizontal="center"/>
    </xf>
    <xf numFmtId="0" fontId="7" fillId="9" borderId="0" xfId="0" applyFont="1" applyFill="1" applyAlignment="1">
      <alignment horizontal="center" vertical="center" wrapText="1"/>
    </xf>
    <xf numFmtId="0" fontId="7" fillId="9" borderId="8" xfId="0" applyFont="1" applyFill="1" applyBorder="1" applyAlignment="1">
      <alignment horizontal="center" vertical="center" wrapText="1"/>
    </xf>
    <xf numFmtId="0" fontId="7" fillId="29" borderId="14" xfId="0" applyFont="1" applyFill="1" applyBorder="1" applyAlignment="1">
      <alignment horizontal="center" vertical="center" wrapText="1" readingOrder="1"/>
    </xf>
    <xf numFmtId="0" fontId="7" fillId="29" borderId="0" xfId="0" applyFont="1" applyFill="1" applyAlignment="1">
      <alignment horizontal="center" vertical="center" wrapText="1" readingOrder="1"/>
    </xf>
    <xf numFmtId="0" fontId="6" fillId="27" borderId="0" xfId="0" applyFont="1" applyFill="1" applyAlignment="1">
      <alignment horizontal="center" vertical="center" wrapText="1"/>
    </xf>
    <xf numFmtId="0" fontId="6" fillId="27" borderId="8" xfId="0" applyFont="1" applyFill="1" applyBorder="1" applyAlignment="1">
      <alignment horizontal="center" vertical="center" wrapText="1"/>
    </xf>
    <xf numFmtId="0" fontId="4" fillId="13" borderId="0" xfId="0" applyFont="1" applyFill="1" applyAlignment="1">
      <alignment horizontal="center" vertical="center" wrapText="1"/>
    </xf>
    <xf numFmtId="0" fontId="4" fillId="13" borderId="22" xfId="0" applyFont="1" applyFill="1" applyBorder="1" applyAlignment="1">
      <alignment horizontal="center" vertical="center" wrapText="1"/>
    </xf>
    <xf numFmtId="168" fontId="7" fillId="14" borderId="17" xfId="0" applyNumberFormat="1" applyFont="1" applyFill="1" applyBorder="1" applyAlignment="1">
      <alignment horizontal="center" vertical="center" wrapText="1"/>
    </xf>
    <xf numFmtId="168" fontId="7" fillId="14" borderId="20" xfId="0" applyNumberFormat="1" applyFont="1" applyFill="1" applyBorder="1" applyAlignment="1">
      <alignment horizontal="center" vertical="center" wrapText="1"/>
    </xf>
    <xf numFmtId="0" fontId="4" fillId="15" borderId="18" xfId="0" applyFont="1" applyFill="1" applyBorder="1" applyAlignment="1">
      <alignment horizontal="center" wrapText="1"/>
    </xf>
    <xf numFmtId="0" fontId="4" fillId="15" borderId="21" xfId="0" applyFont="1" applyFill="1" applyBorder="1" applyAlignment="1">
      <alignment horizontal="center" wrapText="1"/>
    </xf>
    <xf numFmtId="0" fontId="4" fillId="16" borderId="18" xfId="0" applyFont="1" applyFill="1" applyBorder="1" applyAlignment="1">
      <alignment horizontal="center" vertical="center" wrapText="1"/>
    </xf>
    <xf numFmtId="0" fontId="4" fillId="16" borderId="21" xfId="0" applyFont="1" applyFill="1" applyBorder="1" applyAlignment="1">
      <alignment horizontal="center" vertical="center" wrapText="1"/>
    </xf>
    <xf numFmtId="168" fontId="7" fillId="10" borderId="10" xfId="20" applyNumberFormat="1" applyFont="1" applyFill="1" applyBorder="1" applyAlignment="1">
      <alignment horizontal="center" vertical="center" wrapText="1"/>
    </xf>
    <xf numFmtId="168" fontId="7" fillId="10" borderId="7" xfId="20" applyNumberFormat="1" applyFont="1" applyFill="1" applyBorder="1" applyAlignment="1">
      <alignment horizontal="center" vertical="center" wrapText="1"/>
    </xf>
    <xf numFmtId="168" fontId="7" fillId="11" borderId="10" xfId="0" applyNumberFormat="1" applyFont="1" applyFill="1" applyBorder="1" applyAlignment="1">
      <alignment horizontal="center" vertical="center" wrapText="1"/>
    </xf>
    <xf numFmtId="168" fontId="7" fillId="11" borderId="19" xfId="0" applyNumberFormat="1" applyFont="1" applyFill="1" applyBorder="1" applyAlignment="1">
      <alignment horizontal="center" vertical="center" wrapText="1"/>
    </xf>
    <xf numFmtId="168" fontId="7" fillId="12" borderId="10" xfId="0" applyNumberFormat="1" applyFont="1" applyFill="1" applyBorder="1" applyAlignment="1">
      <alignment horizontal="center" vertical="center" wrapText="1"/>
    </xf>
    <xf numFmtId="168" fontId="7" fillId="12" borderId="19" xfId="0" applyNumberFormat="1" applyFont="1" applyFill="1" applyBorder="1" applyAlignment="1">
      <alignment horizontal="center" vertical="center" wrapText="1"/>
    </xf>
    <xf numFmtId="168" fontId="7" fillId="13" borderId="13" xfId="0" applyNumberFormat="1" applyFont="1" applyFill="1" applyBorder="1" applyAlignment="1">
      <alignment horizontal="center" vertical="center" wrapText="1"/>
    </xf>
    <xf numFmtId="168" fontId="4" fillId="13" borderId="6" xfId="0" applyNumberFormat="1" applyFont="1" applyFill="1" applyBorder="1" applyAlignment="1">
      <alignment horizontal="center" vertical="center" wrapText="1"/>
    </xf>
    <xf numFmtId="0" fontId="4" fillId="17" borderId="16" xfId="0" applyFont="1" applyFill="1" applyBorder="1" applyAlignment="1">
      <alignment horizontal="center" vertical="center"/>
    </xf>
    <xf numFmtId="0" fontId="4" fillId="18" borderId="22" xfId="0" applyFont="1" applyFill="1" applyBorder="1" applyAlignment="1">
      <alignment horizontal="center" vertical="center"/>
    </xf>
    <xf numFmtId="0" fontId="7" fillId="19" borderId="0" xfId="0" applyFont="1" applyFill="1" applyAlignment="1">
      <alignment horizontal="center" vertical="center" wrapText="1"/>
    </xf>
    <xf numFmtId="0" fontId="7" fillId="20" borderId="0" xfId="0" applyFont="1" applyFill="1" applyAlignment="1">
      <alignment horizontal="center" vertical="center" wrapText="1"/>
    </xf>
    <xf numFmtId="0" fontId="7" fillId="10" borderId="0" xfId="0" applyFont="1" applyFill="1" applyAlignment="1">
      <alignment horizontal="center" vertical="center" wrapText="1"/>
    </xf>
    <xf numFmtId="168" fontId="7" fillId="21" borderId="14" xfId="20" applyNumberFormat="1" applyFont="1" applyFill="1" applyBorder="1" applyAlignment="1">
      <alignment horizontal="center" vertical="center" wrapText="1" readingOrder="1"/>
    </xf>
    <xf numFmtId="168" fontId="7" fillId="21" borderId="0" xfId="20" applyNumberFormat="1" applyFont="1" applyFill="1" applyBorder="1" applyAlignment="1">
      <alignment horizontal="center" vertical="center" wrapText="1" readingOrder="1"/>
    </xf>
    <xf numFmtId="168" fontId="7" fillId="16" borderId="14" xfId="20" applyNumberFormat="1" applyFont="1" applyFill="1" applyBorder="1" applyAlignment="1">
      <alignment horizontal="center" vertical="center" wrapText="1" readingOrder="1"/>
    </xf>
    <xf numFmtId="168" fontId="7" fillId="16" borderId="22" xfId="20" applyNumberFormat="1" applyFont="1" applyFill="1" applyBorder="1" applyAlignment="1">
      <alignment horizontal="center" vertical="center" wrapText="1" readingOrder="1"/>
    </xf>
    <xf numFmtId="0" fontId="9" fillId="12" borderId="0" xfId="0" applyFont="1" applyFill="1" applyAlignment="1">
      <alignment horizontal="center" vertical="center" wrapText="1"/>
    </xf>
    <xf numFmtId="0" fontId="9" fillId="13" borderId="0" xfId="0" applyFont="1" applyFill="1" applyAlignment="1">
      <alignment horizontal="center" vertical="center" wrapText="1"/>
    </xf>
    <xf numFmtId="0" fontId="9" fillId="13" borderId="22" xfId="0" applyFont="1" applyFill="1" applyBorder="1" applyAlignment="1">
      <alignment horizontal="center" vertical="center" wrapText="1"/>
    </xf>
    <xf numFmtId="0" fontId="9" fillId="20" borderId="0" xfId="0" applyFont="1" applyFill="1" applyAlignment="1">
      <alignment horizontal="center" vertical="center" wrapText="1"/>
    </xf>
    <xf numFmtId="0" fontId="9" fillId="20" borderId="22" xfId="0" applyFont="1" applyFill="1" applyBorder="1" applyAlignment="1">
      <alignment horizontal="center" vertical="center" wrapText="1"/>
    </xf>
    <xf numFmtId="0" fontId="9" fillId="10" borderId="0" xfId="0" applyFont="1" applyFill="1" applyAlignment="1">
      <alignment horizontal="center" vertical="center" wrapText="1"/>
    </xf>
    <xf numFmtId="0" fontId="9" fillId="10" borderId="22" xfId="0" applyFont="1" applyFill="1" applyBorder="1" applyAlignment="1">
      <alignment horizontal="center" vertical="center" wrapText="1"/>
    </xf>
    <xf numFmtId="0" fontId="9" fillId="12" borderId="22" xfId="0" applyFont="1" applyFill="1" applyBorder="1" applyAlignment="1">
      <alignment horizontal="center" vertical="center" wrapText="1"/>
    </xf>
    <xf numFmtId="0" fontId="7" fillId="18" borderId="0" xfId="0" applyFont="1" applyFill="1" applyAlignment="1">
      <alignment horizontal="center" vertical="center" wrapText="1"/>
    </xf>
    <xf numFmtId="168" fontId="7" fillId="20" borderId="14" xfId="20" applyNumberFormat="1" applyFont="1" applyFill="1" applyBorder="1" applyAlignment="1">
      <alignment horizontal="center" vertical="center" wrapText="1" readingOrder="1"/>
    </xf>
    <xf numFmtId="168" fontId="7" fillId="20" borderId="0" xfId="20" applyNumberFormat="1" applyFont="1" applyFill="1" applyBorder="1" applyAlignment="1">
      <alignment horizontal="center" vertical="center" wrapText="1" readingOrder="1"/>
    </xf>
    <xf numFmtId="168" fontId="7" fillId="10" borderId="14" xfId="20" applyNumberFormat="1" applyFont="1" applyFill="1" applyBorder="1" applyAlignment="1">
      <alignment horizontal="center" vertical="center" wrapText="1" readingOrder="1"/>
    </xf>
    <xf numFmtId="168" fontId="7" fillId="10" borderId="0" xfId="20" applyNumberFormat="1" applyFont="1" applyFill="1" applyBorder="1" applyAlignment="1">
      <alignment horizontal="center" vertical="center" wrapText="1" readingOrder="1"/>
    </xf>
    <xf numFmtId="168" fontId="7" fillId="12" borderId="14" xfId="20" applyNumberFormat="1" applyFont="1" applyFill="1" applyBorder="1" applyAlignment="1">
      <alignment horizontal="center" vertical="center" wrapText="1" readingOrder="1"/>
    </xf>
    <xf numFmtId="168" fontId="7" fillId="12" borderId="0" xfId="20" applyNumberFormat="1" applyFont="1" applyFill="1" applyBorder="1" applyAlignment="1">
      <alignment horizontal="center" vertical="center" wrapText="1" readingOrder="1"/>
    </xf>
    <xf numFmtId="168" fontId="7" fillId="13" borderId="14" xfId="20" applyNumberFormat="1" applyFont="1" applyFill="1" applyBorder="1" applyAlignment="1">
      <alignment horizontal="center" vertical="center" wrapText="1" readingOrder="1"/>
    </xf>
    <xf numFmtId="168" fontId="7" fillId="13" borderId="0" xfId="20" applyNumberFormat="1" applyFont="1" applyFill="1" applyBorder="1" applyAlignment="1">
      <alignment horizontal="center" vertical="center" wrapText="1" readingOrder="1"/>
    </xf>
    <xf numFmtId="0" fontId="6" fillId="20" borderId="0" xfId="0" applyFont="1" applyFill="1" applyAlignment="1">
      <alignment horizontal="center" vertical="center" wrapText="1"/>
    </xf>
    <xf numFmtId="0" fontId="6" fillId="20" borderId="22" xfId="0" applyFont="1" applyFill="1" applyBorder="1" applyAlignment="1">
      <alignment horizontal="center" vertical="center" wrapText="1"/>
    </xf>
    <xf numFmtId="0" fontId="6" fillId="10" borderId="0" xfId="0" applyFont="1" applyFill="1" applyAlignment="1">
      <alignment horizontal="center" vertical="center" wrapText="1"/>
    </xf>
    <xf numFmtId="0" fontId="6" fillId="12" borderId="0" xfId="0" applyFont="1" applyFill="1" applyAlignment="1">
      <alignment horizontal="center" vertical="center" wrapText="1"/>
    </xf>
    <xf numFmtId="0" fontId="7" fillId="12" borderId="0" xfId="0" applyFont="1" applyFill="1" applyAlignment="1">
      <alignment horizontal="center" vertical="center" wrapText="1"/>
    </xf>
    <xf numFmtId="0" fontId="6" fillId="13" borderId="0" xfId="0" applyFont="1" applyFill="1" applyAlignment="1">
      <alignment horizontal="center" vertical="center" wrapText="1"/>
    </xf>
    <xf numFmtId="0" fontId="26" fillId="13" borderId="0" xfId="0" applyFont="1" applyFill="1" applyAlignment="1">
      <alignment horizontal="center" vertical="center" wrapText="1"/>
    </xf>
    <xf numFmtId="0" fontId="6" fillId="21" borderId="0" xfId="0" applyFont="1" applyFill="1" applyAlignment="1">
      <alignment horizontal="center" vertical="center" wrapText="1"/>
    </xf>
    <xf numFmtId="0" fontId="6" fillId="16" borderId="0" xfId="0" applyFont="1" applyFill="1" applyAlignment="1">
      <alignment horizontal="center" vertical="center" wrapText="1"/>
    </xf>
    <xf numFmtId="0" fontId="7" fillId="0" borderId="0" xfId="0" applyFont="1" applyAlignment="1">
      <alignment horizontal="left" vertical="center" wrapText="1"/>
    </xf>
    <xf numFmtId="0" fontId="7" fillId="25" borderId="25" xfId="0" applyFont="1" applyFill="1" applyBorder="1" applyAlignment="1">
      <alignment horizontal="center" vertical="center"/>
    </xf>
    <xf numFmtId="0" fontId="7" fillId="25" borderId="22" xfId="0" applyFont="1" applyFill="1" applyBorder="1" applyAlignment="1">
      <alignment horizontal="center" vertical="center"/>
    </xf>
    <xf numFmtId="0" fontId="7" fillId="25" borderId="20" xfId="0" applyFont="1" applyFill="1" applyBorder="1" applyAlignment="1">
      <alignment horizontal="center" vertical="center"/>
    </xf>
    <xf numFmtId="0" fontId="6" fillId="17" borderId="0" xfId="0" applyFont="1" applyFill="1" applyAlignment="1">
      <alignment horizontal="center" vertical="center" wrapText="1"/>
    </xf>
    <xf numFmtId="0" fontId="6" fillId="18" borderId="0" xfId="0" applyFont="1" applyFill="1" applyAlignment="1">
      <alignment horizontal="center" vertical="center" wrapText="1"/>
    </xf>
  </cellXfs>
  <cellStyles count="23">
    <cellStyle name="Hyperlink" xfId="13" xr:uid="{00000000-0005-0000-0000-000000000000}"/>
    <cellStyle name="Millares" xfId="19" builtinId="3"/>
    <cellStyle name="Moneda" xfId="20" builtinId="4"/>
    <cellStyle name="Moneda [0] 2" xfId="11" xr:uid="{00000000-0005-0000-0000-000003000000}"/>
    <cellStyle name="Moneda 10" xfId="16" xr:uid="{00000000-0005-0000-0000-000004000000}"/>
    <cellStyle name="Moneda 11" xfId="17" xr:uid="{00000000-0005-0000-0000-000005000000}"/>
    <cellStyle name="Moneda 12" xfId="21" xr:uid="{00000000-0005-0000-0000-000006000000}"/>
    <cellStyle name="Moneda 2" xfId="1" xr:uid="{00000000-0005-0000-0000-000007000000}"/>
    <cellStyle name="Moneda 2 2" xfId="7" xr:uid="{00000000-0005-0000-0000-000008000000}"/>
    <cellStyle name="Moneda 3" xfId="5" xr:uid="{00000000-0005-0000-0000-000009000000}"/>
    <cellStyle name="Moneda 3 2" xfId="8" xr:uid="{00000000-0005-0000-0000-00000A000000}"/>
    <cellStyle name="Moneda 3 3" xfId="22" xr:uid="{00000000-0005-0000-0000-00000B000000}"/>
    <cellStyle name="Moneda 4" xfId="9" xr:uid="{00000000-0005-0000-0000-00000C000000}"/>
    <cellStyle name="Moneda 5" xfId="10" xr:uid="{00000000-0005-0000-0000-00000D000000}"/>
    <cellStyle name="Moneda 6" xfId="4" xr:uid="{00000000-0005-0000-0000-00000E000000}"/>
    <cellStyle name="Moneda 7" xfId="2" xr:uid="{00000000-0005-0000-0000-00000F000000}"/>
    <cellStyle name="Moneda 8" xfId="14" xr:uid="{00000000-0005-0000-0000-000010000000}"/>
    <cellStyle name="Moneda 9" xfId="15" xr:uid="{00000000-0005-0000-0000-000011000000}"/>
    <cellStyle name="Normal" xfId="0" builtinId="0"/>
    <cellStyle name="Normal 2" xfId="3" xr:uid="{00000000-0005-0000-0000-000013000000}"/>
    <cellStyle name="Normal 2 2" xfId="6" xr:uid="{00000000-0005-0000-0000-000014000000}"/>
    <cellStyle name="Porcentaje" xfId="18" builtinId="5"/>
    <cellStyle name="Porcentaje 2" xfId="12" xr:uid="{00000000-0005-0000-0000-000016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99FF33"/>
      <color rgb="FFFFCCCC"/>
      <color rgb="FFFF66FF"/>
      <color rgb="FF99CCFF"/>
      <color rgb="FF000099"/>
      <color rgb="FF666699"/>
      <color rgb="FFFFFF66"/>
      <color rgb="FF9900FF"/>
      <color rgb="FF66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J129"/>
  <sheetViews>
    <sheetView tabSelected="1" topLeftCell="A3" zoomScale="70" zoomScaleNormal="70" workbookViewId="0">
      <pane xSplit="5" ySplit="6" topLeftCell="CY116" activePane="bottomRight" state="frozen"/>
      <selection activeCell="A3" sqref="A3"/>
      <selection pane="topRight" activeCell="F3" sqref="F3"/>
      <selection pane="bottomLeft" activeCell="A6" sqref="A6"/>
      <selection pane="bottomRight" activeCell="DG72" sqref="DG72"/>
    </sheetView>
  </sheetViews>
  <sheetFormatPr baseColWidth="10" defaultColWidth="11.42578125" defaultRowHeight="15" x14ac:dyDescent="0.25"/>
  <cols>
    <col min="1" max="1" width="8.7109375" style="2" customWidth="1"/>
    <col min="2" max="2" width="22.7109375" style="2" customWidth="1"/>
    <col min="3" max="3" width="50.42578125" style="2" customWidth="1"/>
    <col min="4" max="4" width="11.42578125" style="2"/>
    <col min="5" max="5" width="13.28515625" style="2" customWidth="1"/>
    <col min="6" max="7" width="15.7109375" style="2" customWidth="1"/>
    <col min="8" max="8" width="19.5703125" style="2" customWidth="1"/>
    <col min="9" max="23" width="15.7109375" style="2" customWidth="1"/>
    <col min="24" max="24" width="27.42578125" style="2" customWidth="1"/>
    <col min="25" max="30" width="15.7109375" style="2" customWidth="1"/>
    <col min="31" max="34" width="17" style="2" customWidth="1"/>
    <col min="35" max="35" width="20.85546875" style="2" customWidth="1"/>
    <col min="36" max="39" width="17" style="2" customWidth="1"/>
    <col min="40" max="40" width="20.140625" style="2" customWidth="1"/>
    <col min="41" max="44" width="17" style="2" customWidth="1"/>
    <col min="45" max="45" width="19.140625" style="2" customWidth="1"/>
    <col min="46" max="49" width="17" style="2" customWidth="1"/>
    <col min="50" max="50" width="18.5703125" style="2" customWidth="1"/>
    <col min="51" max="54" width="17" style="2" customWidth="1"/>
    <col min="55" max="55" width="19.85546875" style="2" customWidth="1"/>
    <col min="56" max="59" width="17" style="2" customWidth="1"/>
    <col min="60" max="60" width="20.5703125" style="2" customWidth="1"/>
    <col min="61" max="64" width="17" style="2" customWidth="1"/>
    <col min="65" max="65" width="18.5703125" style="2" customWidth="1"/>
    <col min="66" max="69" width="17" style="2" customWidth="1"/>
    <col min="70" max="70" width="19.7109375" style="2" customWidth="1"/>
    <col min="71" max="73" width="17" style="2" customWidth="1"/>
    <col min="74" max="74" width="18.85546875" style="2" customWidth="1"/>
    <col min="75" max="75" width="20.42578125" style="2" customWidth="1"/>
    <col min="76" max="80" width="17" style="2" customWidth="1"/>
    <col min="81" max="81" width="19" style="2" customWidth="1"/>
    <col min="82" max="85" width="17" style="2" customWidth="1"/>
    <col min="86" max="96" width="19" style="2" customWidth="1"/>
    <col min="97" max="100" width="17" style="2" customWidth="1"/>
    <col min="101" max="101" width="20.140625" style="2" customWidth="1"/>
    <col min="102" max="104" width="17" style="2" customWidth="1"/>
    <col min="105" max="107" width="15.7109375" style="1" customWidth="1"/>
    <col min="108" max="108" width="15.7109375" style="24" customWidth="1"/>
    <col min="109" max="109" width="15.5703125" style="1" customWidth="1"/>
    <col min="110" max="110" width="18.28515625" style="1" customWidth="1"/>
    <col min="111" max="111" width="18.28515625" style="42" customWidth="1"/>
    <col min="112" max="112" width="18" style="1" customWidth="1"/>
    <col min="113" max="113" width="33.85546875" style="2" customWidth="1"/>
    <col min="114" max="16384" width="11.42578125" style="2"/>
  </cols>
  <sheetData>
    <row r="1" spans="1:114" ht="31.5" customHeight="1" x14ac:dyDescent="0.25">
      <c r="A1" s="238" t="s">
        <v>801</v>
      </c>
      <c r="B1" s="238"/>
      <c r="C1" s="238"/>
      <c r="D1" s="238"/>
      <c r="E1" s="238"/>
      <c r="F1" s="238"/>
      <c r="G1" s="238"/>
      <c r="H1" s="238"/>
      <c r="I1" s="238"/>
      <c r="J1" s="238"/>
      <c r="K1" s="238"/>
      <c r="L1" s="238"/>
      <c r="M1" s="238"/>
      <c r="N1" s="238"/>
      <c r="O1" s="238"/>
      <c r="P1" s="238"/>
      <c r="Q1" s="238"/>
      <c r="R1" s="238"/>
      <c r="S1" s="238"/>
      <c r="T1" s="238"/>
      <c r="U1" s="238"/>
      <c r="V1" s="238"/>
      <c r="W1" s="238"/>
      <c r="X1" s="238"/>
      <c r="Y1" s="238"/>
      <c r="Z1" s="238"/>
      <c r="AA1" s="238"/>
      <c r="AB1" s="238"/>
      <c r="AC1" s="238"/>
      <c r="AD1" s="238"/>
      <c r="AE1" s="238"/>
      <c r="AF1" s="238"/>
      <c r="AG1" s="238"/>
      <c r="AH1" s="238"/>
      <c r="AI1" s="238"/>
      <c r="AJ1" s="238"/>
      <c r="AK1" s="238"/>
      <c r="AL1" s="238"/>
      <c r="AM1" s="238"/>
      <c r="AN1" s="238"/>
      <c r="AO1" s="238"/>
      <c r="AP1" s="238"/>
      <c r="AQ1" s="238"/>
      <c r="AR1" s="238"/>
      <c r="AS1" s="238"/>
      <c r="AT1" s="238"/>
      <c r="AU1" s="238"/>
      <c r="AV1" s="238"/>
      <c r="AW1" s="238"/>
      <c r="AX1" s="238"/>
      <c r="AY1" s="238"/>
      <c r="AZ1" s="238"/>
      <c r="BA1" s="238"/>
      <c r="BB1" s="238"/>
      <c r="BC1" s="238"/>
      <c r="BD1" s="238"/>
      <c r="BE1" s="238"/>
      <c r="BF1" s="238"/>
      <c r="BG1" s="238"/>
      <c r="BH1" s="238"/>
      <c r="BI1" s="238"/>
      <c r="BJ1" s="238"/>
      <c r="BK1" s="238"/>
      <c r="BL1" s="238"/>
      <c r="BM1" s="238"/>
      <c r="BN1" s="238"/>
      <c r="BO1" s="238"/>
      <c r="BP1" s="238"/>
      <c r="BQ1" s="238"/>
      <c r="BR1" s="238"/>
      <c r="BS1" s="238"/>
      <c r="BT1" s="238"/>
      <c r="BU1" s="238"/>
      <c r="BV1" s="238"/>
      <c r="BW1" s="238"/>
      <c r="BX1" s="238"/>
      <c r="BY1" s="238"/>
      <c r="BZ1" s="238"/>
      <c r="CA1" s="238"/>
      <c r="CB1" s="238"/>
      <c r="CC1" s="238"/>
      <c r="CD1" s="238"/>
      <c r="CE1" s="238"/>
      <c r="CF1" s="238"/>
      <c r="CG1" s="238"/>
      <c r="CH1" s="238"/>
      <c r="CI1" s="238"/>
      <c r="CJ1" s="238"/>
      <c r="CK1" s="238"/>
      <c r="CL1" s="238"/>
      <c r="CM1" s="238"/>
      <c r="CN1" s="238"/>
      <c r="CO1" s="238"/>
      <c r="CP1" s="238"/>
      <c r="CQ1" s="238"/>
      <c r="CR1" s="238"/>
      <c r="CS1" s="238"/>
      <c r="CT1" s="238"/>
      <c r="CU1" s="238"/>
      <c r="CV1" s="238"/>
      <c r="CW1" s="238"/>
      <c r="CX1" s="238"/>
      <c r="CY1" s="238"/>
      <c r="CZ1" s="238"/>
      <c r="DA1" s="238"/>
      <c r="DB1" s="238"/>
      <c r="DC1" s="238"/>
      <c r="DD1" s="238"/>
      <c r="DE1" s="238"/>
      <c r="DF1" s="238"/>
      <c r="DG1" s="238"/>
      <c r="DH1" s="238"/>
      <c r="DI1" s="238"/>
    </row>
    <row r="2" spans="1:114" x14ac:dyDescent="0.25">
      <c r="A2" s="243"/>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243"/>
      <c r="AK2" s="243"/>
      <c r="AL2" s="243"/>
      <c r="AM2" s="243"/>
      <c r="AN2" s="243"/>
      <c r="AO2" s="243"/>
      <c r="AP2" s="243"/>
      <c r="AQ2" s="243"/>
      <c r="AR2" s="243"/>
      <c r="AS2" s="243"/>
      <c r="AT2" s="243"/>
      <c r="AU2" s="243"/>
      <c r="AV2" s="243"/>
      <c r="AW2" s="243"/>
      <c r="AX2" s="243"/>
      <c r="AY2" s="243"/>
      <c r="AZ2" s="243"/>
      <c r="BA2" s="243"/>
      <c r="BB2" s="243"/>
      <c r="BC2" s="243"/>
      <c r="BD2" s="243"/>
      <c r="BE2" s="243"/>
      <c r="BF2" s="243"/>
      <c r="BG2" s="243"/>
      <c r="BH2" s="243"/>
      <c r="BI2" s="243"/>
      <c r="BJ2" s="243"/>
      <c r="BK2" s="243"/>
      <c r="BL2" s="243"/>
      <c r="BM2" s="243"/>
      <c r="BN2" s="243"/>
      <c r="BO2" s="243"/>
      <c r="BP2" s="243"/>
      <c r="BQ2" s="243"/>
      <c r="BR2" s="243"/>
      <c r="BS2" s="243"/>
      <c r="BT2" s="243"/>
      <c r="BU2" s="243"/>
      <c r="BV2" s="243"/>
      <c r="BW2" s="243"/>
      <c r="BX2" s="243"/>
      <c r="BY2" s="243"/>
      <c r="BZ2" s="243"/>
      <c r="CA2" s="243"/>
      <c r="CB2" s="243"/>
      <c r="CC2" s="243"/>
      <c r="CD2" s="243"/>
      <c r="CE2" s="243"/>
      <c r="CF2" s="243"/>
      <c r="CG2" s="243"/>
      <c r="CH2" s="243"/>
      <c r="CI2" s="243"/>
      <c r="CJ2" s="243"/>
      <c r="CK2" s="243"/>
      <c r="CL2" s="243"/>
      <c r="CM2" s="243"/>
      <c r="CN2" s="243"/>
      <c r="CO2" s="243"/>
      <c r="CP2" s="243"/>
      <c r="CQ2" s="243"/>
      <c r="CR2" s="243"/>
      <c r="CS2" s="243"/>
      <c r="CT2" s="243"/>
      <c r="CU2" s="243"/>
      <c r="CV2" s="243"/>
      <c r="CW2" s="243"/>
      <c r="CX2" s="243"/>
      <c r="CY2" s="243"/>
      <c r="CZ2" s="243"/>
      <c r="DA2" s="243"/>
      <c r="DB2" s="243"/>
      <c r="DC2" s="243"/>
      <c r="DD2" s="243"/>
      <c r="DE2" s="243"/>
      <c r="DF2" s="243"/>
      <c r="DG2" s="243"/>
      <c r="DH2" s="243"/>
      <c r="DI2" s="243"/>
    </row>
    <row r="3" spans="1:114" x14ac:dyDescent="0.25">
      <c r="A3" s="165"/>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7"/>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row>
    <row r="4" spans="1:114" ht="33.75" customHeight="1" x14ac:dyDescent="0.25">
      <c r="A4" s="232" t="s">
        <v>802</v>
      </c>
      <c r="B4" s="233"/>
      <c r="C4" s="233"/>
      <c r="D4" s="233"/>
      <c r="E4" s="233"/>
      <c r="F4" s="233"/>
      <c r="G4" s="233"/>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3"/>
      <c r="AG4" s="233"/>
      <c r="AH4" s="234"/>
      <c r="DA4" s="2"/>
      <c r="DB4" s="2"/>
      <c r="DC4" s="2"/>
      <c r="DD4" s="2"/>
      <c r="DE4" s="2"/>
      <c r="DF4" s="2"/>
      <c r="DG4" s="2"/>
      <c r="DH4" s="2"/>
    </row>
    <row r="5" spans="1:114" ht="17.25" customHeight="1" x14ac:dyDescent="0.25">
      <c r="A5" s="235" t="s">
        <v>799</v>
      </c>
      <c r="B5" s="236"/>
      <c r="C5" s="236"/>
      <c r="D5" s="236"/>
      <c r="E5" s="236"/>
      <c r="F5" s="236"/>
      <c r="G5" s="236"/>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6"/>
      <c r="AG5" s="236"/>
      <c r="AH5" s="237"/>
      <c r="DA5" s="2"/>
      <c r="DB5" s="2"/>
      <c r="DC5" s="2"/>
      <c r="DD5" s="2"/>
      <c r="DE5" s="2"/>
      <c r="DF5" s="2"/>
      <c r="DG5" s="2"/>
      <c r="DH5" s="2"/>
    </row>
    <row r="6" spans="1:114" ht="120" customHeight="1" x14ac:dyDescent="0.25">
      <c r="A6" s="224" t="s">
        <v>811</v>
      </c>
      <c r="B6" s="225"/>
      <c r="C6" s="225"/>
      <c r="D6" s="225"/>
      <c r="E6" s="226"/>
      <c r="F6" s="230" t="s">
        <v>254</v>
      </c>
      <c r="G6" s="230"/>
      <c r="H6" s="230"/>
      <c r="I6" s="231" t="s">
        <v>255</v>
      </c>
      <c r="J6" s="231"/>
      <c r="K6" s="231"/>
      <c r="L6" s="230" t="s">
        <v>256</v>
      </c>
      <c r="M6" s="230"/>
      <c r="N6" s="230"/>
      <c r="O6" s="209" t="s">
        <v>195</v>
      </c>
      <c r="P6" s="210"/>
      <c r="Q6" s="211"/>
      <c r="R6" s="230" t="s">
        <v>193</v>
      </c>
      <c r="S6" s="230"/>
      <c r="T6" s="230"/>
      <c r="U6" s="209" t="s">
        <v>257</v>
      </c>
      <c r="V6" s="210"/>
      <c r="W6" s="211"/>
      <c r="X6" s="230" t="s">
        <v>200</v>
      </c>
      <c r="Y6" s="209" t="s">
        <v>207</v>
      </c>
      <c r="Z6" s="210"/>
      <c r="AA6" s="211"/>
      <c r="AB6" s="215" t="s">
        <v>201</v>
      </c>
      <c r="AC6" s="216"/>
      <c r="AD6" s="217"/>
      <c r="AE6" s="209" t="s">
        <v>241</v>
      </c>
      <c r="AF6" s="210"/>
      <c r="AG6" s="210"/>
      <c r="AH6" s="210"/>
      <c r="AI6" s="211"/>
      <c r="AJ6" s="215" t="s">
        <v>242</v>
      </c>
      <c r="AK6" s="216"/>
      <c r="AL6" s="216"/>
      <c r="AM6" s="216"/>
      <c r="AN6" s="217"/>
      <c r="AO6" s="209" t="s">
        <v>249</v>
      </c>
      <c r="AP6" s="210"/>
      <c r="AQ6" s="210"/>
      <c r="AR6" s="210"/>
      <c r="AS6" s="211"/>
      <c r="AT6" s="215" t="s">
        <v>248</v>
      </c>
      <c r="AU6" s="216"/>
      <c r="AV6" s="216"/>
      <c r="AW6" s="216"/>
      <c r="AX6" s="217"/>
      <c r="AY6" s="209" t="s">
        <v>250</v>
      </c>
      <c r="AZ6" s="210"/>
      <c r="BA6" s="210"/>
      <c r="BB6" s="210"/>
      <c r="BC6" s="211"/>
      <c r="BD6" s="215" t="s">
        <v>243</v>
      </c>
      <c r="BE6" s="216"/>
      <c r="BF6" s="216"/>
      <c r="BG6" s="216"/>
      <c r="BH6" s="217"/>
      <c r="BI6" s="209" t="s">
        <v>244</v>
      </c>
      <c r="BJ6" s="210"/>
      <c r="BK6" s="210"/>
      <c r="BL6" s="210"/>
      <c r="BM6" s="211"/>
      <c r="BN6" s="215" t="s">
        <v>245</v>
      </c>
      <c r="BO6" s="216"/>
      <c r="BP6" s="216"/>
      <c r="BQ6" s="216"/>
      <c r="BR6" s="217"/>
      <c r="BS6" s="209" t="s">
        <v>246</v>
      </c>
      <c r="BT6" s="210"/>
      <c r="BU6" s="210"/>
      <c r="BV6" s="210"/>
      <c r="BW6" s="211"/>
      <c r="BX6" s="230" t="s">
        <v>220</v>
      </c>
      <c r="BY6" s="230"/>
      <c r="BZ6" s="230"/>
      <c r="CA6" s="209" t="s">
        <v>221</v>
      </c>
      <c r="CB6" s="210"/>
      <c r="CC6" s="211"/>
      <c r="CD6" s="215" t="s">
        <v>267</v>
      </c>
      <c r="CE6" s="216"/>
      <c r="CF6" s="216"/>
      <c r="CG6" s="216"/>
      <c r="CH6" s="217"/>
      <c r="CI6" s="209" t="s">
        <v>813</v>
      </c>
      <c r="CJ6" s="210"/>
      <c r="CK6" s="210"/>
      <c r="CL6" s="210"/>
      <c r="CM6" s="210"/>
      <c r="CN6" s="216" t="s">
        <v>812</v>
      </c>
      <c r="CO6" s="216"/>
      <c r="CP6" s="216"/>
      <c r="CQ6" s="216"/>
      <c r="CR6" s="217"/>
      <c r="CS6" s="209" t="s">
        <v>247</v>
      </c>
      <c r="CT6" s="210"/>
      <c r="CU6" s="210"/>
      <c r="CV6" s="210"/>
      <c r="CW6" s="211"/>
      <c r="CX6" s="230" t="s">
        <v>253</v>
      </c>
      <c r="CY6" s="230"/>
      <c r="CZ6" s="230"/>
      <c r="DA6" s="244" t="s">
        <v>0</v>
      </c>
      <c r="DB6" s="244"/>
      <c r="DC6" s="244"/>
      <c r="DD6" s="244"/>
      <c r="DE6" s="242" t="s">
        <v>1</v>
      </c>
      <c r="DF6" s="242"/>
      <c r="DG6" s="242"/>
      <c r="DH6" s="242"/>
      <c r="DI6" s="239" t="s">
        <v>12</v>
      </c>
    </row>
    <row r="7" spans="1:114" ht="81" customHeight="1" x14ac:dyDescent="0.25">
      <c r="A7" s="227"/>
      <c r="B7" s="228"/>
      <c r="C7" s="228"/>
      <c r="D7" s="228"/>
      <c r="E7" s="229"/>
      <c r="F7" s="230"/>
      <c r="G7" s="230"/>
      <c r="H7" s="230"/>
      <c r="I7" s="231"/>
      <c r="J7" s="231"/>
      <c r="K7" s="231"/>
      <c r="L7" s="230"/>
      <c r="M7" s="230"/>
      <c r="N7" s="230"/>
      <c r="O7" s="212"/>
      <c r="P7" s="213"/>
      <c r="Q7" s="214"/>
      <c r="R7" s="230"/>
      <c r="S7" s="230"/>
      <c r="T7" s="230"/>
      <c r="U7" s="212"/>
      <c r="V7" s="213"/>
      <c r="W7" s="214"/>
      <c r="X7" s="230"/>
      <c r="Y7" s="212"/>
      <c r="Z7" s="213"/>
      <c r="AA7" s="214"/>
      <c r="AB7" s="218"/>
      <c r="AC7" s="219"/>
      <c r="AD7" s="220"/>
      <c r="AE7" s="212"/>
      <c r="AF7" s="213"/>
      <c r="AG7" s="213"/>
      <c r="AH7" s="213"/>
      <c r="AI7" s="214"/>
      <c r="AJ7" s="218"/>
      <c r="AK7" s="219"/>
      <c r="AL7" s="219"/>
      <c r="AM7" s="219"/>
      <c r="AN7" s="220"/>
      <c r="AO7" s="212"/>
      <c r="AP7" s="213"/>
      <c r="AQ7" s="213"/>
      <c r="AR7" s="213"/>
      <c r="AS7" s="214"/>
      <c r="AT7" s="218"/>
      <c r="AU7" s="219"/>
      <c r="AV7" s="219"/>
      <c r="AW7" s="219"/>
      <c r="AX7" s="220"/>
      <c r="AY7" s="212"/>
      <c r="AZ7" s="213"/>
      <c r="BA7" s="213"/>
      <c r="BB7" s="213"/>
      <c r="BC7" s="214"/>
      <c r="BD7" s="218"/>
      <c r="BE7" s="219"/>
      <c r="BF7" s="219"/>
      <c r="BG7" s="219"/>
      <c r="BH7" s="220"/>
      <c r="BI7" s="212"/>
      <c r="BJ7" s="213"/>
      <c r="BK7" s="213"/>
      <c r="BL7" s="213"/>
      <c r="BM7" s="214"/>
      <c r="BN7" s="218"/>
      <c r="BO7" s="219"/>
      <c r="BP7" s="219"/>
      <c r="BQ7" s="219"/>
      <c r="BR7" s="220"/>
      <c r="BS7" s="212"/>
      <c r="BT7" s="213"/>
      <c r="BU7" s="213"/>
      <c r="BV7" s="213"/>
      <c r="BW7" s="214"/>
      <c r="BX7" s="230"/>
      <c r="BY7" s="230"/>
      <c r="BZ7" s="230"/>
      <c r="CA7" s="212"/>
      <c r="CB7" s="213"/>
      <c r="CC7" s="214"/>
      <c r="CD7" s="218"/>
      <c r="CE7" s="219"/>
      <c r="CF7" s="219"/>
      <c r="CG7" s="219"/>
      <c r="CH7" s="220"/>
      <c r="CI7" s="212"/>
      <c r="CJ7" s="213"/>
      <c r="CK7" s="213"/>
      <c r="CL7" s="213"/>
      <c r="CM7" s="213"/>
      <c r="CN7" s="219"/>
      <c r="CO7" s="219"/>
      <c r="CP7" s="219"/>
      <c r="CQ7" s="219"/>
      <c r="CR7" s="220"/>
      <c r="CS7" s="212"/>
      <c r="CT7" s="213"/>
      <c r="CU7" s="213"/>
      <c r="CV7" s="213"/>
      <c r="CW7" s="214"/>
      <c r="CX7" s="230"/>
      <c r="CY7" s="230"/>
      <c r="CZ7" s="230"/>
      <c r="DA7" s="244"/>
      <c r="DB7" s="244"/>
      <c r="DC7" s="244"/>
      <c r="DD7" s="244"/>
      <c r="DE7" s="242"/>
      <c r="DF7" s="242"/>
      <c r="DG7" s="242"/>
      <c r="DH7" s="242"/>
      <c r="DI7" s="240"/>
    </row>
    <row r="8" spans="1:114" ht="66.75" customHeight="1" x14ac:dyDescent="0.25">
      <c r="A8" s="109" t="s">
        <v>216</v>
      </c>
      <c r="B8" s="109" t="s">
        <v>2</v>
      </c>
      <c r="C8" s="109" t="s">
        <v>3</v>
      </c>
      <c r="D8" s="109" t="s">
        <v>4</v>
      </c>
      <c r="E8" s="109" t="s">
        <v>800</v>
      </c>
      <c r="F8" s="168" t="s">
        <v>204</v>
      </c>
      <c r="G8" s="168" t="s">
        <v>205</v>
      </c>
      <c r="H8" s="168" t="s">
        <v>206</v>
      </c>
      <c r="I8" s="168" t="s">
        <v>204</v>
      </c>
      <c r="J8" s="168" t="s">
        <v>205</v>
      </c>
      <c r="K8" s="168" t="s">
        <v>6</v>
      </c>
      <c r="L8" s="168" t="s">
        <v>204</v>
      </c>
      <c r="M8" s="168" t="s">
        <v>205</v>
      </c>
      <c r="N8" s="168" t="s">
        <v>6</v>
      </c>
      <c r="O8" s="168" t="s">
        <v>6</v>
      </c>
      <c r="P8" s="168" t="s">
        <v>205</v>
      </c>
      <c r="Q8" s="168" t="s">
        <v>6</v>
      </c>
      <c r="R8" s="168" t="s">
        <v>204</v>
      </c>
      <c r="S8" s="168" t="s">
        <v>205</v>
      </c>
      <c r="T8" s="168" t="s">
        <v>6</v>
      </c>
      <c r="U8" s="168" t="s">
        <v>204</v>
      </c>
      <c r="V8" s="168" t="s">
        <v>205</v>
      </c>
      <c r="W8" s="168" t="s">
        <v>6</v>
      </c>
      <c r="X8" s="168" t="s">
        <v>198</v>
      </c>
      <c r="Y8" s="168" t="s">
        <v>204</v>
      </c>
      <c r="Z8" s="168" t="s">
        <v>205</v>
      </c>
      <c r="AA8" s="168" t="s">
        <v>6</v>
      </c>
      <c r="AB8" s="168" t="s">
        <v>204</v>
      </c>
      <c r="AC8" s="168" t="s">
        <v>205</v>
      </c>
      <c r="AD8" s="168" t="s">
        <v>6</v>
      </c>
      <c r="AE8" s="168" t="s">
        <v>204</v>
      </c>
      <c r="AF8" s="168" t="s">
        <v>205</v>
      </c>
      <c r="AG8" s="168" t="s">
        <v>6</v>
      </c>
      <c r="AH8" s="168" t="s">
        <v>266</v>
      </c>
      <c r="AI8" s="168" t="s">
        <v>265</v>
      </c>
      <c r="AJ8" s="168" t="s">
        <v>204</v>
      </c>
      <c r="AK8" s="168" t="s">
        <v>205</v>
      </c>
      <c r="AL8" s="168" t="s">
        <v>6</v>
      </c>
      <c r="AM8" s="168" t="s">
        <v>266</v>
      </c>
      <c r="AN8" s="168" t="s">
        <v>265</v>
      </c>
      <c r="AO8" s="168" t="s">
        <v>204</v>
      </c>
      <c r="AP8" s="168" t="s">
        <v>205</v>
      </c>
      <c r="AQ8" s="168" t="s">
        <v>6</v>
      </c>
      <c r="AR8" s="168" t="s">
        <v>266</v>
      </c>
      <c r="AS8" s="168" t="s">
        <v>265</v>
      </c>
      <c r="AT8" s="168" t="s">
        <v>204</v>
      </c>
      <c r="AU8" s="168" t="s">
        <v>205</v>
      </c>
      <c r="AV8" s="168" t="s">
        <v>6</v>
      </c>
      <c r="AW8" s="168" t="s">
        <v>266</v>
      </c>
      <c r="AX8" s="168" t="s">
        <v>265</v>
      </c>
      <c r="AY8" s="168" t="s">
        <v>204</v>
      </c>
      <c r="AZ8" s="168" t="s">
        <v>205</v>
      </c>
      <c r="BA8" s="168" t="s">
        <v>6</v>
      </c>
      <c r="BB8" s="168" t="s">
        <v>266</v>
      </c>
      <c r="BC8" s="168" t="s">
        <v>265</v>
      </c>
      <c r="BD8" s="168" t="s">
        <v>204</v>
      </c>
      <c r="BE8" s="168" t="s">
        <v>205</v>
      </c>
      <c r="BF8" s="168" t="s">
        <v>6</v>
      </c>
      <c r="BG8" s="168" t="s">
        <v>266</v>
      </c>
      <c r="BH8" s="168" t="s">
        <v>265</v>
      </c>
      <c r="BI8" s="168" t="s">
        <v>204</v>
      </c>
      <c r="BJ8" s="168" t="s">
        <v>205</v>
      </c>
      <c r="BK8" s="168" t="s">
        <v>6</v>
      </c>
      <c r="BL8" s="168" t="s">
        <v>266</v>
      </c>
      <c r="BM8" s="168" t="s">
        <v>265</v>
      </c>
      <c r="BN8" s="168" t="s">
        <v>204</v>
      </c>
      <c r="BO8" s="168" t="s">
        <v>205</v>
      </c>
      <c r="BP8" s="168" t="s">
        <v>6</v>
      </c>
      <c r="BQ8" s="168" t="s">
        <v>266</v>
      </c>
      <c r="BR8" s="168" t="s">
        <v>265</v>
      </c>
      <c r="BS8" s="168" t="s">
        <v>204</v>
      </c>
      <c r="BT8" s="168" t="s">
        <v>205</v>
      </c>
      <c r="BU8" s="168" t="s">
        <v>6</v>
      </c>
      <c r="BV8" s="168" t="s">
        <v>266</v>
      </c>
      <c r="BW8" s="168" t="s">
        <v>265</v>
      </c>
      <c r="BX8" s="168" t="s">
        <v>204</v>
      </c>
      <c r="BY8" s="168" t="s">
        <v>205</v>
      </c>
      <c r="BZ8" s="168" t="s">
        <v>6</v>
      </c>
      <c r="CA8" s="168" t="s">
        <v>204</v>
      </c>
      <c r="CB8" s="168" t="s">
        <v>205</v>
      </c>
      <c r="CC8" s="168" t="s">
        <v>6</v>
      </c>
      <c r="CD8" s="168" t="s">
        <v>204</v>
      </c>
      <c r="CE8" s="168" t="s">
        <v>205</v>
      </c>
      <c r="CF8" s="168" t="s">
        <v>6</v>
      </c>
      <c r="CG8" s="168" t="s">
        <v>266</v>
      </c>
      <c r="CH8" s="168" t="s">
        <v>265</v>
      </c>
      <c r="CI8" s="168" t="s">
        <v>204</v>
      </c>
      <c r="CJ8" s="168" t="s">
        <v>205</v>
      </c>
      <c r="CK8" s="168" t="s">
        <v>6</v>
      </c>
      <c r="CL8" s="168" t="s">
        <v>266</v>
      </c>
      <c r="CM8" s="168" t="s">
        <v>265</v>
      </c>
      <c r="CN8" s="168" t="s">
        <v>204</v>
      </c>
      <c r="CO8" s="168" t="s">
        <v>205</v>
      </c>
      <c r="CP8" s="168" t="s">
        <v>6</v>
      </c>
      <c r="CQ8" s="168" t="s">
        <v>266</v>
      </c>
      <c r="CR8" s="168" t="s">
        <v>265</v>
      </c>
      <c r="CS8" s="168" t="s">
        <v>204</v>
      </c>
      <c r="CT8" s="168" t="s">
        <v>205</v>
      </c>
      <c r="CU8" s="168" t="s">
        <v>6</v>
      </c>
      <c r="CV8" s="168" t="s">
        <v>266</v>
      </c>
      <c r="CW8" s="168" t="s">
        <v>265</v>
      </c>
      <c r="CX8" s="168" t="s">
        <v>204</v>
      </c>
      <c r="CY8" s="168" t="s">
        <v>205</v>
      </c>
      <c r="CZ8" s="168" t="s">
        <v>6</v>
      </c>
      <c r="DA8" s="110" t="s">
        <v>8</v>
      </c>
      <c r="DB8" s="110" t="s">
        <v>9</v>
      </c>
      <c r="DC8" s="110" t="s">
        <v>10</v>
      </c>
      <c r="DD8" s="111" t="s">
        <v>194</v>
      </c>
      <c r="DE8" s="43" t="s">
        <v>204</v>
      </c>
      <c r="DF8" s="43" t="s">
        <v>205</v>
      </c>
      <c r="DG8" s="169" t="s">
        <v>258</v>
      </c>
      <c r="DH8" s="43" t="s">
        <v>209</v>
      </c>
      <c r="DI8" s="241"/>
    </row>
    <row r="9" spans="1:114" s="28" customFormat="1" ht="90" x14ac:dyDescent="0.25">
      <c r="A9" s="36">
        <v>1</v>
      </c>
      <c r="B9" s="112" t="s">
        <v>13</v>
      </c>
      <c r="C9" s="113" t="s">
        <v>86</v>
      </c>
      <c r="D9" s="114" t="s">
        <v>167</v>
      </c>
      <c r="E9" s="114">
        <v>50</v>
      </c>
      <c r="F9" s="115"/>
      <c r="G9" s="115"/>
      <c r="H9" s="115"/>
      <c r="I9" s="115"/>
      <c r="J9" s="115"/>
      <c r="K9" s="115"/>
      <c r="L9" s="115"/>
      <c r="M9" s="115"/>
      <c r="N9" s="115"/>
      <c r="O9" s="115"/>
      <c r="P9" s="115"/>
      <c r="Q9" s="115"/>
      <c r="R9" s="115"/>
      <c r="S9" s="115"/>
      <c r="T9" s="115"/>
      <c r="U9" s="115"/>
      <c r="V9" s="115"/>
      <c r="W9" s="115"/>
      <c r="X9" s="115"/>
      <c r="Y9" s="115"/>
      <c r="Z9" s="115"/>
      <c r="AA9" s="115"/>
      <c r="AB9" s="115"/>
      <c r="AC9" s="115"/>
      <c r="AD9" s="115"/>
      <c r="AE9" s="115">
        <v>25126</v>
      </c>
      <c r="AF9" s="115">
        <f>+AE9*19%</f>
        <v>4773.9400000000005</v>
      </c>
      <c r="AG9" s="115">
        <f>+AE9+AF9</f>
        <v>29899.940000000002</v>
      </c>
      <c r="AH9" s="115">
        <f>+AG9*15%</f>
        <v>4484.991</v>
      </c>
      <c r="AI9" s="115">
        <f>+AG9+AH9</f>
        <v>34384.931000000004</v>
      </c>
      <c r="AJ9" s="115"/>
      <c r="AK9" s="115"/>
      <c r="AL9" s="115"/>
      <c r="AM9" s="115"/>
      <c r="AN9" s="115"/>
      <c r="AO9" s="115"/>
      <c r="AP9" s="115"/>
      <c r="AQ9" s="115"/>
      <c r="AR9" s="115"/>
      <c r="AS9" s="115"/>
      <c r="AT9" s="115"/>
      <c r="AU9" s="115"/>
      <c r="AV9" s="115"/>
      <c r="AW9" s="115"/>
      <c r="AX9" s="115"/>
      <c r="AY9" s="115">
        <f>20500/1.19</f>
        <v>17226.89075630252</v>
      </c>
      <c r="AZ9" s="115">
        <f>+AY9*19%</f>
        <v>3273.1092436974791</v>
      </c>
      <c r="BA9" s="115">
        <f>+AY9+AZ9</f>
        <v>20500</v>
      </c>
      <c r="BB9" s="115">
        <f>+BA9*15%</f>
        <v>3075</v>
      </c>
      <c r="BC9" s="115">
        <f>+BA9+BB9</f>
        <v>23575</v>
      </c>
      <c r="BD9" s="115"/>
      <c r="BE9" s="115"/>
      <c r="BF9" s="115"/>
      <c r="BG9" s="115"/>
      <c r="BH9" s="115"/>
      <c r="BI9" s="115"/>
      <c r="BJ9" s="115"/>
      <c r="BK9" s="115"/>
      <c r="BL9" s="115"/>
      <c r="BM9" s="115"/>
      <c r="BN9" s="115"/>
      <c r="BO9" s="115"/>
      <c r="BP9" s="115"/>
      <c r="BQ9" s="115"/>
      <c r="BR9" s="115"/>
      <c r="BS9" s="115"/>
      <c r="BT9" s="115"/>
      <c r="BU9" s="115"/>
      <c r="BV9" s="115"/>
      <c r="BW9" s="115"/>
      <c r="BX9" s="115"/>
      <c r="BY9" s="115"/>
      <c r="BZ9" s="115"/>
      <c r="CA9" s="115"/>
      <c r="CB9" s="115"/>
      <c r="CC9" s="115"/>
      <c r="CD9" s="115"/>
      <c r="CE9" s="115"/>
      <c r="CF9" s="115"/>
      <c r="CG9" s="115"/>
      <c r="CH9" s="115"/>
      <c r="CI9" s="115"/>
      <c r="CJ9" s="115"/>
      <c r="CK9" s="115"/>
      <c r="CL9" s="115"/>
      <c r="CM9" s="115"/>
      <c r="CN9" s="115"/>
      <c r="CO9" s="115"/>
      <c r="CP9" s="115"/>
      <c r="CQ9" s="115"/>
      <c r="CR9" s="115"/>
      <c r="CS9" s="115">
        <f>26900/1.19</f>
        <v>22605.042016806725</v>
      </c>
      <c r="CT9" s="115">
        <f>+CS9*19%</f>
        <v>4294.9579831932779</v>
      </c>
      <c r="CU9" s="115">
        <f>+CS9+CT9</f>
        <v>26900.000000000004</v>
      </c>
      <c r="CV9" s="115">
        <f>+CU9*15%</f>
        <v>4035.0000000000005</v>
      </c>
      <c r="CW9" s="115">
        <f>+CU9+CV9</f>
        <v>30935.000000000004</v>
      </c>
      <c r="CX9" s="115"/>
      <c r="CY9" s="115"/>
      <c r="CZ9" s="115"/>
      <c r="DA9" s="115">
        <f>+MEDIAN(AI9,BC9,CW9)</f>
        <v>30935.000000000004</v>
      </c>
      <c r="DB9" s="115">
        <f>+AVERAGE(AI9,BC9,CW9)</f>
        <v>29631.64366666667</v>
      </c>
      <c r="DC9" s="115">
        <f>+STDEV(AI9,BC9,CW9)</f>
        <v>5521.567291532373</v>
      </c>
      <c r="DD9" s="116">
        <f>DC9/DB9</f>
        <v>0.18634022984501913</v>
      </c>
      <c r="DE9" s="115">
        <v>25995.798319327732</v>
      </c>
      <c r="DF9" s="115">
        <f>+DE9*19%</f>
        <v>4939.2016806722695</v>
      </c>
      <c r="DG9" s="175">
        <f>+ROUNDUP(IF(DD9&lt;15%,DB9,DA9),0)</f>
        <v>30935</v>
      </c>
      <c r="DH9" s="175">
        <f t="shared" ref="DH9:DH40" si="0">+DG9*E9</f>
        <v>1546750</v>
      </c>
      <c r="DI9" s="117" t="s">
        <v>227</v>
      </c>
      <c r="DJ9" s="185"/>
    </row>
    <row r="10" spans="1:114" s="28" customFormat="1" ht="30" x14ac:dyDescent="0.25">
      <c r="A10" s="36">
        <v>2</v>
      </c>
      <c r="B10" s="112" t="s">
        <v>14</v>
      </c>
      <c r="C10" s="113" t="s">
        <v>217</v>
      </c>
      <c r="D10" s="114" t="s">
        <v>167</v>
      </c>
      <c r="E10" s="114">
        <v>90</v>
      </c>
      <c r="F10" s="115"/>
      <c r="G10" s="115"/>
      <c r="H10" s="115"/>
      <c r="I10" s="115"/>
      <c r="J10" s="115"/>
      <c r="K10" s="115"/>
      <c r="L10" s="115"/>
      <c r="M10" s="115"/>
      <c r="N10" s="115"/>
      <c r="O10" s="115"/>
      <c r="P10" s="115"/>
      <c r="Q10" s="115"/>
      <c r="R10" s="115"/>
      <c r="S10" s="115"/>
      <c r="T10" s="115"/>
      <c r="U10" s="115">
        <v>3697.4789915966389</v>
      </c>
      <c r="V10" s="115">
        <f t="shared" ref="V10:V19" si="1">+U10*0.19</f>
        <v>702.52100840336141</v>
      </c>
      <c r="W10" s="115">
        <f>+U10+V10</f>
        <v>4400</v>
      </c>
      <c r="X10" s="115"/>
      <c r="Y10" s="115">
        <v>3865.546218487395</v>
      </c>
      <c r="Z10" s="115">
        <f t="shared" ref="Z10:Z19" si="2">+Y10*0.19</f>
        <v>734.45378151260502</v>
      </c>
      <c r="AA10" s="115">
        <f>+Y10+Z10</f>
        <v>4600</v>
      </c>
      <c r="AB10" s="115"/>
      <c r="AC10" s="115"/>
      <c r="AD10" s="115"/>
      <c r="AE10" s="115"/>
      <c r="AF10" s="115"/>
      <c r="AG10" s="115"/>
      <c r="AH10" s="115"/>
      <c r="AI10" s="115"/>
      <c r="AJ10" s="115"/>
      <c r="AK10" s="115"/>
      <c r="AL10" s="115"/>
      <c r="AM10" s="115"/>
      <c r="AN10" s="115"/>
      <c r="AO10" s="115"/>
      <c r="AP10" s="115"/>
      <c r="AQ10" s="115"/>
      <c r="AR10" s="115"/>
      <c r="AS10" s="115"/>
      <c r="AT10" s="115"/>
      <c r="AU10" s="115"/>
      <c r="AV10" s="115"/>
      <c r="AW10" s="115"/>
      <c r="AX10" s="115"/>
      <c r="AY10" s="115"/>
      <c r="AZ10" s="115"/>
      <c r="BA10" s="115"/>
      <c r="BB10" s="115"/>
      <c r="BC10" s="115"/>
      <c r="BD10" s="115"/>
      <c r="BE10" s="115"/>
      <c r="BF10" s="115"/>
      <c r="BG10" s="115"/>
      <c r="BH10" s="115"/>
      <c r="BI10" s="115"/>
      <c r="BJ10" s="115"/>
      <c r="BK10" s="115"/>
      <c r="BL10" s="115"/>
      <c r="BM10" s="115"/>
      <c r="BN10" s="115"/>
      <c r="BO10" s="115"/>
      <c r="BP10" s="115"/>
      <c r="BQ10" s="115"/>
      <c r="BR10" s="115"/>
      <c r="BS10" s="115"/>
      <c r="BT10" s="115"/>
      <c r="BU10" s="115"/>
      <c r="BV10" s="115"/>
      <c r="BW10" s="115"/>
      <c r="BX10" s="115"/>
      <c r="BY10" s="115"/>
      <c r="BZ10" s="115"/>
      <c r="CA10" s="115"/>
      <c r="CB10" s="115"/>
      <c r="CC10" s="115"/>
      <c r="CD10" s="115"/>
      <c r="CE10" s="115"/>
      <c r="CF10" s="115"/>
      <c r="CG10" s="115"/>
      <c r="CH10" s="115"/>
      <c r="CI10" s="115"/>
      <c r="CJ10" s="115"/>
      <c r="CK10" s="115"/>
      <c r="CL10" s="115"/>
      <c r="CM10" s="115"/>
      <c r="CN10" s="115"/>
      <c r="CO10" s="115"/>
      <c r="CP10" s="115"/>
      <c r="CQ10" s="115"/>
      <c r="CR10" s="115"/>
      <c r="CS10" s="115"/>
      <c r="CT10" s="115"/>
      <c r="CU10" s="115"/>
      <c r="CV10" s="115"/>
      <c r="CW10" s="115"/>
      <c r="CX10" s="115"/>
      <c r="CY10" s="115"/>
      <c r="CZ10" s="115"/>
      <c r="DA10" s="115">
        <f>+MEDIAN(W10,AA10)</f>
        <v>4500</v>
      </c>
      <c r="DB10" s="115">
        <f>+AVERAGE(W10,AA10)</f>
        <v>4500</v>
      </c>
      <c r="DC10" s="115">
        <f>+STDEV(W10,AA10)</f>
        <v>141.42135623730951</v>
      </c>
      <c r="DD10" s="116">
        <f t="shared" ref="DD10:DD27" si="3">DC10/DB10</f>
        <v>3.1426968052735448E-2</v>
      </c>
      <c r="DE10" s="115">
        <v>3781.5126050420172</v>
      </c>
      <c r="DF10" s="115">
        <f>+DE10*19%</f>
        <v>718.48739495798327</v>
      </c>
      <c r="DG10" s="175">
        <f t="shared" ref="DG10:DG55" si="4">+ROUNDUP(IF(DD10&lt;15%,DB10,DA10),0)</f>
        <v>4500</v>
      </c>
      <c r="DH10" s="175">
        <f t="shared" si="0"/>
        <v>405000</v>
      </c>
      <c r="DI10" s="117" t="s">
        <v>228</v>
      </c>
    </row>
    <row r="11" spans="1:114" s="28" customFormat="1" ht="33.75" customHeight="1" x14ac:dyDescent="0.25">
      <c r="A11" s="36">
        <v>3</v>
      </c>
      <c r="B11" s="112" t="s">
        <v>15</v>
      </c>
      <c r="C11" s="113" t="s">
        <v>87</v>
      </c>
      <c r="D11" s="114" t="s">
        <v>166</v>
      </c>
      <c r="E11" s="114">
        <v>209</v>
      </c>
      <c r="F11" s="115"/>
      <c r="G11" s="115"/>
      <c r="H11" s="115"/>
      <c r="I11" s="115"/>
      <c r="J11" s="115"/>
      <c r="K11" s="115"/>
      <c r="L11" s="115">
        <v>531.93277310924373</v>
      </c>
      <c r="M11" s="115">
        <f>+L11*0.19</f>
        <v>101.0672268907563</v>
      </c>
      <c r="N11" s="115">
        <f>+L11+M11</f>
        <v>633</v>
      </c>
      <c r="O11" s="115"/>
      <c r="P11" s="115"/>
      <c r="Q11" s="115"/>
      <c r="R11" s="115"/>
      <c r="S11" s="115"/>
      <c r="T11" s="115"/>
      <c r="U11" s="115">
        <v>504.20168067226894</v>
      </c>
      <c r="V11" s="115">
        <f t="shared" si="1"/>
        <v>95.798319327731093</v>
      </c>
      <c r="W11" s="115">
        <f>+U11+V11</f>
        <v>600</v>
      </c>
      <c r="X11" s="115"/>
      <c r="Y11" s="115">
        <v>546.21848739495806</v>
      </c>
      <c r="Z11" s="115">
        <f t="shared" si="2"/>
        <v>103.78151260504204</v>
      </c>
      <c r="AA11" s="115">
        <f>+Y11+Z11</f>
        <v>650.00000000000011</v>
      </c>
      <c r="AB11" s="115"/>
      <c r="AC11" s="115"/>
      <c r="AD11" s="115"/>
      <c r="AE11" s="115"/>
      <c r="AF11" s="115"/>
      <c r="AG11" s="115"/>
      <c r="AH11" s="115"/>
      <c r="AI11" s="115"/>
      <c r="AJ11" s="115"/>
      <c r="AK11" s="115"/>
      <c r="AL11" s="115"/>
      <c r="AM11" s="115"/>
      <c r="AN11" s="115"/>
      <c r="AO11" s="115"/>
      <c r="AP11" s="115"/>
      <c r="AQ11" s="115"/>
      <c r="AR11" s="115"/>
      <c r="AS11" s="115"/>
      <c r="AT11" s="115"/>
      <c r="AU11" s="115"/>
      <c r="AV11" s="115"/>
      <c r="AW11" s="115"/>
      <c r="AX11" s="115"/>
      <c r="AY11" s="115"/>
      <c r="AZ11" s="115"/>
      <c r="BA11" s="115"/>
      <c r="BB11" s="115"/>
      <c r="BC11" s="115"/>
      <c r="BD11" s="115"/>
      <c r="BE11" s="115"/>
      <c r="BF11" s="115"/>
      <c r="BG11" s="115"/>
      <c r="BH11" s="115"/>
      <c r="BI11" s="115"/>
      <c r="BJ11" s="115"/>
      <c r="BK11" s="115"/>
      <c r="BL11" s="115"/>
      <c r="BM11" s="115"/>
      <c r="BN11" s="115"/>
      <c r="BO11" s="115"/>
      <c r="BP11" s="115"/>
      <c r="BQ11" s="115"/>
      <c r="BR11" s="115"/>
      <c r="BS11" s="115"/>
      <c r="BT11" s="115"/>
      <c r="BU11" s="115"/>
      <c r="BV11" s="115"/>
      <c r="BW11" s="115"/>
      <c r="BX11" s="115"/>
      <c r="BY11" s="115"/>
      <c r="BZ11" s="115"/>
      <c r="CA11" s="115"/>
      <c r="CB11" s="115"/>
      <c r="CC11" s="115"/>
      <c r="CD11" s="115"/>
      <c r="CE11" s="115"/>
      <c r="CF11" s="115"/>
      <c r="CG11" s="115"/>
      <c r="CH11" s="115"/>
      <c r="CI11" s="115"/>
      <c r="CJ11" s="115"/>
      <c r="CK11" s="115"/>
      <c r="CL11" s="115"/>
      <c r="CM11" s="115"/>
      <c r="CN11" s="115"/>
      <c r="CO11" s="115"/>
      <c r="CP11" s="115"/>
      <c r="CQ11" s="115"/>
      <c r="CR11" s="115"/>
      <c r="CS11" s="115"/>
      <c r="CT11" s="115"/>
      <c r="CU11" s="115"/>
      <c r="CV11" s="115"/>
      <c r="CW11" s="115"/>
      <c r="CX11" s="115"/>
      <c r="CY11" s="115"/>
      <c r="CZ11" s="115"/>
      <c r="DA11" s="115">
        <f>+MEDIAN(N11,W11,AA11)</f>
        <v>633</v>
      </c>
      <c r="DB11" s="115">
        <f>+AVERAGE(N11,W11,AA11)</f>
        <v>627.66666666666663</v>
      </c>
      <c r="DC11" s="115">
        <f>+STDEV(N11,W11,AA11)</f>
        <v>25.423086620891173</v>
      </c>
      <c r="DD11" s="116">
        <f t="shared" si="3"/>
        <v>4.0504121010447966E-2</v>
      </c>
      <c r="DE11" s="115">
        <v>527.73109243697479</v>
      </c>
      <c r="DF11" s="115">
        <f>+DE11*19%</f>
        <v>100.26890756302521</v>
      </c>
      <c r="DG11" s="175">
        <f t="shared" si="4"/>
        <v>628</v>
      </c>
      <c r="DH11" s="175">
        <f t="shared" si="0"/>
        <v>131252</v>
      </c>
      <c r="DI11" s="117" t="s">
        <v>228</v>
      </c>
    </row>
    <row r="12" spans="1:114" s="28" customFormat="1" ht="48" customHeight="1" x14ac:dyDescent="0.25">
      <c r="A12" s="36">
        <v>4</v>
      </c>
      <c r="B12" s="112" t="s">
        <v>16</v>
      </c>
      <c r="C12" s="113" t="s">
        <v>88</v>
      </c>
      <c r="D12" s="114" t="s">
        <v>167</v>
      </c>
      <c r="E12" s="114">
        <v>203</v>
      </c>
      <c r="F12" s="115">
        <v>5462</v>
      </c>
      <c r="G12" s="115">
        <f t="shared" ref="G12:G27" si="5">+F12*19%</f>
        <v>1037.78</v>
      </c>
      <c r="H12" s="115">
        <f t="shared" ref="H12:H35" si="6">+F12+G12</f>
        <v>6499.78</v>
      </c>
      <c r="I12" s="115">
        <v>4907.5630252100846</v>
      </c>
      <c r="J12" s="115">
        <f t="shared" ref="J12:J26" si="7">+I12*0.19</f>
        <v>932.43697478991612</v>
      </c>
      <c r="K12" s="115">
        <f t="shared" ref="K12:K35" si="8">+I12+J12</f>
        <v>5840.0000000000009</v>
      </c>
      <c r="L12" s="115"/>
      <c r="M12" s="115"/>
      <c r="N12" s="115"/>
      <c r="O12" s="118"/>
      <c r="P12" s="118"/>
      <c r="Q12" s="118"/>
      <c r="R12" s="118"/>
      <c r="S12" s="118"/>
      <c r="T12" s="118"/>
      <c r="U12" s="118"/>
      <c r="V12" s="118"/>
      <c r="W12" s="118"/>
      <c r="X12" s="118"/>
      <c r="Y12" s="118"/>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18"/>
      <c r="BS12" s="118"/>
      <c r="BT12" s="118"/>
      <c r="BU12" s="118"/>
      <c r="BV12" s="118"/>
      <c r="BW12" s="118"/>
      <c r="BX12" s="115"/>
      <c r="BY12" s="115"/>
      <c r="BZ12" s="115"/>
      <c r="CA12" s="115"/>
      <c r="CB12" s="115"/>
      <c r="CC12" s="115"/>
      <c r="CD12" s="115"/>
      <c r="CE12" s="115"/>
      <c r="CF12" s="115"/>
      <c r="CG12" s="115"/>
      <c r="CH12" s="115"/>
      <c r="CI12" s="115"/>
      <c r="CJ12" s="115"/>
      <c r="CK12" s="115"/>
      <c r="CL12" s="115"/>
      <c r="CM12" s="115"/>
      <c r="CN12" s="115"/>
      <c r="CO12" s="115"/>
      <c r="CP12" s="115"/>
      <c r="CQ12" s="115"/>
      <c r="CR12" s="115"/>
      <c r="CS12" s="115"/>
      <c r="CT12" s="115"/>
      <c r="CU12" s="115"/>
      <c r="CV12" s="115"/>
      <c r="CW12" s="115"/>
      <c r="CX12" s="115"/>
      <c r="CY12" s="115"/>
      <c r="CZ12" s="115"/>
      <c r="DA12" s="115">
        <f>+MEDIAN(H12,K12)</f>
        <v>6169.89</v>
      </c>
      <c r="DB12" s="115">
        <f>+AVERAGE(H12,K12)</f>
        <v>6169.89</v>
      </c>
      <c r="DC12" s="115">
        <f>STDEV(H12,K12)</f>
        <v>466.53491209125951</v>
      </c>
      <c r="DD12" s="116">
        <f t="shared" si="3"/>
        <v>7.5614786015838126E-2</v>
      </c>
      <c r="DE12" s="115">
        <v>5184.8739495798318</v>
      </c>
      <c r="DF12" s="115">
        <f t="shared" ref="DF12:DF74" si="9">+DE12*19%</f>
        <v>985.1260504201681</v>
      </c>
      <c r="DG12" s="175">
        <f t="shared" si="4"/>
        <v>6170</v>
      </c>
      <c r="DH12" s="175">
        <f t="shared" si="0"/>
        <v>1252510</v>
      </c>
      <c r="DI12" s="119" t="s">
        <v>228</v>
      </c>
    </row>
    <row r="13" spans="1:114" s="28" customFormat="1" ht="66" customHeight="1" x14ac:dyDescent="0.25">
      <c r="A13" s="36">
        <v>5</v>
      </c>
      <c r="B13" s="112" t="s">
        <v>18</v>
      </c>
      <c r="C13" s="113" t="s">
        <v>89</v>
      </c>
      <c r="D13" s="114" t="s">
        <v>167</v>
      </c>
      <c r="E13" s="114">
        <v>35</v>
      </c>
      <c r="F13" s="115">
        <v>4202</v>
      </c>
      <c r="G13" s="115">
        <f t="shared" si="5"/>
        <v>798.38</v>
      </c>
      <c r="H13" s="115">
        <f t="shared" si="6"/>
        <v>5000.38</v>
      </c>
      <c r="I13" s="115">
        <v>2689.0756302521008</v>
      </c>
      <c r="J13" s="115">
        <f t="shared" si="7"/>
        <v>510.92436974789916</v>
      </c>
      <c r="K13" s="115">
        <f t="shared" si="8"/>
        <v>3200</v>
      </c>
      <c r="L13" s="115">
        <v>3415</v>
      </c>
      <c r="M13" s="115">
        <f>+L13*0.19</f>
        <v>648.85</v>
      </c>
      <c r="N13" s="115">
        <f>+L13+M13</f>
        <v>4063.85</v>
      </c>
      <c r="O13" s="118"/>
      <c r="P13" s="118"/>
      <c r="Q13" s="118"/>
      <c r="R13" s="118"/>
      <c r="S13" s="118"/>
      <c r="T13" s="118"/>
      <c r="U13" s="118">
        <v>2436.9747899159665</v>
      </c>
      <c r="V13" s="118">
        <f t="shared" si="1"/>
        <v>463.02521008403363</v>
      </c>
      <c r="W13" s="118">
        <f>+U13+V13</f>
        <v>2900</v>
      </c>
      <c r="X13" s="118"/>
      <c r="Y13" s="118">
        <v>2605.0420168067226</v>
      </c>
      <c r="Z13" s="118">
        <f t="shared" si="2"/>
        <v>494.9579831932773</v>
      </c>
      <c r="AA13" s="118">
        <f>+Y13+Z13</f>
        <v>3100</v>
      </c>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118"/>
      <c r="BL13" s="118"/>
      <c r="BM13" s="118"/>
      <c r="BN13" s="118"/>
      <c r="BO13" s="118"/>
      <c r="BP13" s="118"/>
      <c r="BQ13" s="118"/>
      <c r="BR13" s="118"/>
      <c r="BS13" s="118"/>
      <c r="BT13" s="118"/>
      <c r="BU13" s="118"/>
      <c r="BV13" s="118"/>
      <c r="BW13" s="118"/>
      <c r="BX13" s="115"/>
      <c r="BY13" s="115"/>
      <c r="BZ13" s="115"/>
      <c r="CA13" s="115"/>
      <c r="CB13" s="115"/>
      <c r="CC13" s="115"/>
      <c r="CD13" s="115"/>
      <c r="CE13" s="115"/>
      <c r="CF13" s="115"/>
      <c r="CG13" s="115"/>
      <c r="CH13" s="115"/>
      <c r="CI13" s="115"/>
      <c r="CJ13" s="115"/>
      <c r="CK13" s="115"/>
      <c r="CL13" s="115"/>
      <c r="CM13" s="115"/>
      <c r="CN13" s="115"/>
      <c r="CO13" s="115"/>
      <c r="CP13" s="115"/>
      <c r="CQ13" s="115"/>
      <c r="CR13" s="115"/>
      <c r="CS13" s="115"/>
      <c r="CT13" s="115"/>
      <c r="CU13" s="115"/>
      <c r="CV13" s="115"/>
      <c r="CW13" s="115"/>
      <c r="CX13" s="115"/>
      <c r="CY13" s="115"/>
      <c r="CZ13" s="115"/>
      <c r="DA13" s="115">
        <f>+MEDIAN(H13,K13,N13,W13,AA13)</f>
        <v>3200</v>
      </c>
      <c r="DB13" s="115">
        <f>+AVERAGE(H13,K13,N13,W13,AA13)</f>
        <v>3652.8460000000005</v>
      </c>
      <c r="DC13" s="115">
        <f>+STDEV(H13,K13,N13,W13,AA13)</f>
        <v>874.96535193114471</v>
      </c>
      <c r="DD13" s="116">
        <f t="shared" si="3"/>
        <v>0.23952976718184796</v>
      </c>
      <c r="DE13" s="115">
        <v>2689.0756302521008</v>
      </c>
      <c r="DF13" s="115">
        <f t="shared" si="9"/>
        <v>510.92436974789916</v>
      </c>
      <c r="DG13" s="175">
        <f t="shared" si="4"/>
        <v>3200</v>
      </c>
      <c r="DH13" s="175">
        <f t="shared" si="0"/>
        <v>112000</v>
      </c>
      <c r="DI13" s="119" t="s">
        <v>227</v>
      </c>
    </row>
    <row r="14" spans="1:114" s="28" customFormat="1" ht="45.75" customHeight="1" x14ac:dyDescent="0.25">
      <c r="A14" s="36">
        <v>6</v>
      </c>
      <c r="B14" s="112" t="s">
        <v>212</v>
      </c>
      <c r="C14" s="113" t="s">
        <v>90</v>
      </c>
      <c r="D14" s="114" t="s">
        <v>166</v>
      </c>
      <c r="E14" s="114">
        <v>426</v>
      </c>
      <c r="F14" s="115">
        <v>6555</v>
      </c>
      <c r="G14" s="115">
        <f t="shared" si="5"/>
        <v>1245.45</v>
      </c>
      <c r="H14" s="115">
        <f t="shared" si="6"/>
        <v>7800.45</v>
      </c>
      <c r="I14" s="115">
        <v>4537.8151260504201</v>
      </c>
      <c r="J14" s="115">
        <f t="shared" si="7"/>
        <v>862.18487394957981</v>
      </c>
      <c r="K14" s="115">
        <f t="shared" si="8"/>
        <v>5400</v>
      </c>
      <c r="L14" s="115">
        <v>5724</v>
      </c>
      <c r="M14" s="115">
        <f>+L14*0.19</f>
        <v>1087.56</v>
      </c>
      <c r="N14" s="115">
        <f>+L14+M14</f>
        <v>6811.5599999999995</v>
      </c>
      <c r="O14" s="115"/>
      <c r="P14" s="115"/>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18"/>
      <c r="BS14" s="118"/>
      <c r="BT14" s="118"/>
      <c r="BU14" s="118"/>
      <c r="BV14" s="118"/>
      <c r="BW14" s="118"/>
      <c r="BX14" s="115"/>
      <c r="BY14" s="115"/>
      <c r="BZ14" s="115"/>
      <c r="CA14" s="115"/>
      <c r="CB14" s="115"/>
      <c r="CC14" s="115"/>
      <c r="CD14" s="115"/>
      <c r="CE14" s="115"/>
      <c r="CF14" s="115"/>
      <c r="CG14" s="115"/>
      <c r="CH14" s="115"/>
      <c r="CI14" s="115"/>
      <c r="CJ14" s="115"/>
      <c r="CK14" s="115"/>
      <c r="CL14" s="115"/>
      <c r="CM14" s="115"/>
      <c r="CN14" s="115"/>
      <c r="CO14" s="115"/>
      <c r="CP14" s="115"/>
      <c r="CQ14" s="115"/>
      <c r="CR14" s="115"/>
      <c r="CS14" s="115"/>
      <c r="CT14" s="115"/>
      <c r="CU14" s="115"/>
      <c r="CV14" s="115"/>
      <c r="CW14" s="115"/>
      <c r="CX14" s="115"/>
      <c r="CY14" s="115"/>
      <c r="CZ14" s="115"/>
      <c r="DA14" s="115">
        <f>+MEDIAN(H14,K14,N14)</f>
        <v>6811.5599999999995</v>
      </c>
      <c r="DB14" s="115">
        <f>+AVERAGE(H14,K14,N14)</f>
        <v>6670.670000000001</v>
      </c>
      <c r="DC14" s="115">
        <f>+STDEV(H14,K14,N14)</f>
        <v>1206.4110181443032</v>
      </c>
      <c r="DD14" s="116">
        <f t="shared" si="3"/>
        <v>0.18085305046484132</v>
      </c>
      <c r="DE14" s="115">
        <v>5724.3697478991598</v>
      </c>
      <c r="DF14" s="115">
        <f t="shared" si="9"/>
        <v>1087.6302521008404</v>
      </c>
      <c r="DG14" s="175">
        <f t="shared" si="4"/>
        <v>6812</v>
      </c>
      <c r="DH14" s="175">
        <f t="shared" si="0"/>
        <v>2901912</v>
      </c>
      <c r="DI14" s="119" t="s">
        <v>227</v>
      </c>
    </row>
    <row r="15" spans="1:114" s="28" customFormat="1" ht="30" x14ac:dyDescent="0.25">
      <c r="A15" s="36">
        <v>7</v>
      </c>
      <c r="B15" s="112" t="s">
        <v>19</v>
      </c>
      <c r="C15" s="113" t="s">
        <v>182</v>
      </c>
      <c r="D15" s="114" t="s">
        <v>167</v>
      </c>
      <c r="E15" s="114">
        <v>90</v>
      </c>
      <c r="F15" s="115">
        <v>2521</v>
      </c>
      <c r="G15" s="115">
        <f t="shared" si="5"/>
        <v>478.99</v>
      </c>
      <c r="H15" s="115">
        <f t="shared" si="6"/>
        <v>2999.99</v>
      </c>
      <c r="I15" s="115">
        <v>1849</v>
      </c>
      <c r="J15" s="115">
        <f t="shared" si="7"/>
        <v>351.31</v>
      </c>
      <c r="K15" s="115">
        <f t="shared" si="8"/>
        <v>2200.31</v>
      </c>
      <c r="L15" s="115"/>
      <c r="M15" s="115"/>
      <c r="N15" s="115"/>
      <c r="O15" s="118"/>
      <c r="P15" s="118"/>
      <c r="Q15" s="118"/>
      <c r="R15" s="118"/>
      <c r="S15" s="118"/>
      <c r="T15" s="118"/>
      <c r="U15" s="118"/>
      <c r="V15" s="118"/>
      <c r="W15" s="118"/>
      <c r="X15" s="118"/>
      <c r="Y15" s="118"/>
      <c r="Z15" s="118"/>
      <c r="AA15" s="118"/>
      <c r="AB15" s="118"/>
      <c r="AC15" s="118"/>
      <c r="AD15" s="118"/>
      <c r="AE15" s="118"/>
      <c r="AF15" s="118"/>
      <c r="AG15" s="118"/>
      <c r="AH15" s="118"/>
      <c r="AI15" s="118"/>
      <c r="AJ15" s="118"/>
      <c r="AK15" s="118"/>
      <c r="AL15" s="118"/>
      <c r="AM15" s="118"/>
      <c r="AN15" s="118"/>
      <c r="AO15" s="118"/>
      <c r="AP15" s="118"/>
      <c r="AQ15" s="118"/>
      <c r="AR15" s="118"/>
      <c r="AS15" s="118"/>
      <c r="AT15" s="118"/>
      <c r="AU15" s="118"/>
      <c r="AV15" s="118"/>
      <c r="AW15" s="118"/>
      <c r="AX15" s="118"/>
      <c r="AY15" s="118"/>
      <c r="AZ15" s="118"/>
      <c r="BA15" s="118"/>
      <c r="BB15" s="118"/>
      <c r="BC15" s="118"/>
      <c r="BD15" s="118"/>
      <c r="BE15" s="118"/>
      <c r="BF15" s="118"/>
      <c r="BG15" s="118"/>
      <c r="BH15" s="118"/>
      <c r="BI15" s="118"/>
      <c r="BJ15" s="118"/>
      <c r="BK15" s="118"/>
      <c r="BL15" s="118"/>
      <c r="BM15" s="118"/>
      <c r="BN15" s="118"/>
      <c r="BO15" s="118"/>
      <c r="BP15" s="118"/>
      <c r="BQ15" s="118"/>
      <c r="BR15" s="118"/>
      <c r="BS15" s="118"/>
      <c r="BT15" s="118"/>
      <c r="BU15" s="118"/>
      <c r="BV15" s="118"/>
      <c r="BW15" s="118"/>
      <c r="BX15" s="115"/>
      <c r="BY15" s="115"/>
      <c r="BZ15" s="115"/>
      <c r="CA15" s="115"/>
      <c r="CB15" s="115"/>
      <c r="CC15" s="115"/>
      <c r="CD15" s="115"/>
      <c r="CE15" s="115"/>
      <c r="CF15" s="115"/>
      <c r="CG15" s="115"/>
      <c r="CH15" s="115"/>
      <c r="CI15" s="115"/>
      <c r="CJ15" s="115"/>
      <c r="CK15" s="115"/>
      <c r="CL15" s="115"/>
      <c r="CM15" s="115"/>
      <c r="CN15" s="115"/>
      <c r="CO15" s="115"/>
      <c r="CP15" s="115"/>
      <c r="CQ15" s="115"/>
      <c r="CR15" s="115"/>
      <c r="CS15" s="115"/>
      <c r="CT15" s="115"/>
      <c r="CU15" s="115"/>
      <c r="CV15" s="115"/>
      <c r="CW15" s="115"/>
      <c r="CX15" s="115"/>
      <c r="CY15" s="115"/>
      <c r="CZ15" s="115"/>
      <c r="DA15" s="115">
        <f>+MEDIAN(H15,K15)</f>
        <v>2600.1499999999996</v>
      </c>
      <c r="DB15" s="115">
        <f>+AVERAGE(H15,K15)</f>
        <v>2600.1499999999996</v>
      </c>
      <c r="DC15" s="115">
        <f>+STDEV(H15,K15)</f>
        <v>565.45915077925883</v>
      </c>
      <c r="DD15" s="116">
        <f t="shared" si="3"/>
        <v>0.21747174231458144</v>
      </c>
      <c r="DE15" s="115">
        <v>2185.7142857142858</v>
      </c>
      <c r="DF15" s="115">
        <f t="shared" si="9"/>
        <v>415.28571428571428</v>
      </c>
      <c r="DG15" s="175">
        <f t="shared" si="4"/>
        <v>2601</v>
      </c>
      <c r="DH15" s="175">
        <f t="shared" si="0"/>
        <v>234090</v>
      </c>
      <c r="DI15" s="119" t="s">
        <v>227</v>
      </c>
    </row>
    <row r="16" spans="1:114" s="28" customFormat="1" ht="30" x14ac:dyDescent="0.25">
      <c r="A16" s="36">
        <v>8</v>
      </c>
      <c r="B16" s="112" t="s">
        <v>20</v>
      </c>
      <c r="C16" s="113" t="s">
        <v>91</v>
      </c>
      <c r="D16" s="114" t="s">
        <v>167</v>
      </c>
      <c r="E16" s="114">
        <v>652</v>
      </c>
      <c r="F16" s="115">
        <v>1261</v>
      </c>
      <c r="G16" s="115">
        <f t="shared" si="5"/>
        <v>239.59</v>
      </c>
      <c r="H16" s="115">
        <f t="shared" si="6"/>
        <v>1500.59</v>
      </c>
      <c r="I16" s="115"/>
      <c r="J16" s="115"/>
      <c r="K16" s="115"/>
      <c r="L16" s="115"/>
      <c r="M16" s="115"/>
      <c r="N16" s="115"/>
      <c r="O16" s="118"/>
      <c r="P16" s="118"/>
      <c r="Q16" s="118"/>
      <c r="R16" s="115">
        <v>1120.4481792717088</v>
      </c>
      <c r="S16" s="115">
        <f>+R16*19%</f>
        <v>212.88515406162466</v>
      </c>
      <c r="T16" s="115">
        <f>+R16+S16</f>
        <v>1333.3333333333335</v>
      </c>
      <c r="U16" s="118"/>
      <c r="V16" s="118"/>
      <c r="W16" s="118"/>
      <c r="X16" s="118"/>
      <c r="Y16" s="118"/>
      <c r="Z16" s="118"/>
      <c r="AA16" s="118"/>
      <c r="AB16" s="118"/>
      <c r="AC16" s="118"/>
      <c r="AD16" s="118"/>
      <c r="AE16" s="118"/>
      <c r="AF16" s="118"/>
      <c r="AG16" s="118"/>
      <c r="AH16" s="118"/>
      <c r="AI16" s="118"/>
      <c r="AJ16" s="118"/>
      <c r="AK16" s="118"/>
      <c r="AL16" s="118"/>
      <c r="AM16" s="118"/>
      <c r="AN16" s="118"/>
      <c r="AO16" s="118"/>
      <c r="AP16" s="118"/>
      <c r="AQ16" s="118"/>
      <c r="AR16" s="118"/>
      <c r="AS16" s="118"/>
      <c r="AT16" s="118"/>
      <c r="AU16" s="118"/>
      <c r="AV16" s="118"/>
      <c r="AW16" s="118"/>
      <c r="AX16" s="118"/>
      <c r="AY16" s="118"/>
      <c r="AZ16" s="118"/>
      <c r="BA16" s="118"/>
      <c r="BB16" s="118"/>
      <c r="BC16" s="118"/>
      <c r="BD16" s="118"/>
      <c r="BE16" s="118"/>
      <c r="BF16" s="118"/>
      <c r="BG16" s="118"/>
      <c r="BH16" s="118"/>
      <c r="BI16" s="118"/>
      <c r="BJ16" s="118"/>
      <c r="BK16" s="118"/>
      <c r="BL16" s="118"/>
      <c r="BM16" s="118"/>
      <c r="BN16" s="118"/>
      <c r="BO16" s="118"/>
      <c r="BP16" s="118"/>
      <c r="BQ16" s="118"/>
      <c r="BR16" s="118"/>
      <c r="BS16" s="118"/>
      <c r="BT16" s="118"/>
      <c r="BU16" s="118"/>
      <c r="BV16" s="118"/>
      <c r="BW16" s="118"/>
      <c r="BX16" s="115"/>
      <c r="BY16" s="115"/>
      <c r="BZ16" s="115"/>
      <c r="CA16" s="115"/>
      <c r="CB16" s="115"/>
      <c r="CC16" s="115"/>
      <c r="CD16" s="115"/>
      <c r="CE16" s="115"/>
      <c r="CF16" s="115"/>
      <c r="CG16" s="115"/>
      <c r="CH16" s="115"/>
      <c r="CI16" s="115"/>
      <c r="CJ16" s="115"/>
      <c r="CK16" s="115"/>
      <c r="CL16" s="115"/>
      <c r="CM16" s="115"/>
      <c r="CN16" s="115"/>
      <c r="CO16" s="115"/>
      <c r="CP16" s="115"/>
      <c r="CQ16" s="115"/>
      <c r="CR16" s="115"/>
      <c r="CS16" s="115"/>
      <c r="CT16" s="115"/>
      <c r="CU16" s="115"/>
      <c r="CV16" s="115"/>
      <c r="CW16" s="115"/>
      <c r="CX16" s="115"/>
      <c r="CY16" s="115"/>
      <c r="CZ16" s="115"/>
      <c r="DA16" s="115">
        <f>+MEDIAN(H16,T16)</f>
        <v>1416.9616666666666</v>
      </c>
      <c r="DB16" s="115">
        <f>+AVERAGE(H16,T16)</f>
        <v>1416.9616666666666</v>
      </c>
      <c r="DC16" s="115">
        <f>+STDEV(H16,T16)</f>
        <v>118.26832319865782</v>
      </c>
      <c r="DD16" s="116">
        <f t="shared" si="3"/>
        <v>8.346614166131841E-2</v>
      </c>
      <c r="DE16" s="115">
        <v>1190.7563025210084</v>
      </c>
      <c r="DF16" s="115">
        <f t="shared" si="9"/>
        <v>226.24369747899158</v>
      </c>
      <c r="DG16" s="175">
        <f t="shared" si="4"/>
        <v>1417</v>
      </c>
      <c r="DH16" s="175">
        <f t="shared" si="0"/>
        <v>923884</v>
      </c>
      <c r="DI16" s="119" t="s">
        <v>228</v>
      </c>
    </row>
    <row r="17" spans="1:113" s="28" customFormat="1" ht="122.25" customHeight="1" x14ac:dyDescent="0.25">
      <c r="A17" s="36">
        <v>9</v>
      </c>
      <c r="B17" s="112" t="s">
        <v>21</v>
      </c>
      <c r="C17" s="113" t="s">
        <v>183</v>
      </c>
      <c r="D17" s="114" t="s">
        <v>167</v>
      </c>
      <c r="E17" s="114">
        <v>1015</v>
      </c>
      <c r="F17" s="115"/>
      <c r="G17" s="115"/>
      <c r="H17" s="115"/>
      <c r="I17" s="115"/>
      <c r="J17" s="115"/>
      <c r="K17" s="115"/>
      <c r="L17" s="115"/>
      <c r="M17" s="115"/>
      <c r="N17" s="115"/>
      <c r="O17" s="118"/>
      <c r="P17" s="118"/>
      <c r="Q17" s="118"/>
      <c r="R17" s="115"/>
      <c r="S17" s="115"/>
      <c r="T17" s="115"/>
      <c r="U17" s="118">
        <v>2941.1764705882356</v>
      </c>
      <c r="V17" s="118">
        <f t="shared" si="1"/>
        <v>558.82352941176475</v>
      </c>
      <c r="W17" s="118">
        <f>+U17+V17</f>
        <v>3500.0000000000005</v>
      </c>
      <c r="X17" s="118"/>
      <c r="Y17" s="118">
        <v>3193.2773109243699</v>
      </c>
      <c r="Z17" s="118">
        <f t="shared" si="2"/>
        <v>606.72268907563034</v>
      </c>
      <c r="AA17" s="118">
        <f>+Y17+Z17</f>
        <v>3800</v>
      </c>
      <c r="AB17" s="115"/>
      <c r="AC17" s="115"/>
      <c r="AD17" s="115"/>
      <c r="AE17" s="115"/>
      <c r="AF17" s="115"/>
      <c r="AG17" s="115"/>
      <c r="AH17" s="115"/>
      <c r="AI17" s="115"/>
      <c r="AJ17" s="115"/>
      <c r="AK17" s="115"/>
      <c r="AL17" s="115"/>
      <c r="AM17" s="115"/>
      <c r="AN17" s="115"/>
      <c r="AO17" s="115"/>
      <c r="AP17" s="115"/>
      <c r="AQ17" s="115"/>
      <c r="AR17" s="115"/>
      <c r="AS17" s="115"/>
      <c r="AT17" s="115"/>
      <c r="AU17" s="115"/>
      <c r="AV17" s="115"/>
      <c r="AW17" s="115"/>
      <c r="AX17" s="115"/>
      <c r="AY17" s="115"/>
      <c r="AZ17" s="115"/>
      <c r="BA17" s="115"/>
      <c r="BB17" s="115"/>
      <c r="BC17" s="115"/>
      <c r="BD17" s="115"/>
      <c r="BE17" s="115"/>
      <c r="BF17" s="115"/>
      <c r="BG17" s="115"/>
      <c r="BH17" s="115"/>
      <c r="BI17" s="115"/>
      <c r="BJ17" s="115"/>
      <c r="BK17" s="115"/>
      <c r="BL17" s="115"/>
      <c r="BM17" s="115"/>
      <c r="BN17" s="115"/>
      <c r="BO17" s="115"/>
      <c r="BP17" s="115"/>
      <c r="BQ17" s="115"/>
      <c r="BR17" s="115"/>
      <c r="BS17" s="115"/>
      <c r="BT17" s="115"/>
      <c r="BU17" s="115"/>
      <c r="BV17" s="115"/>
      <c r="BW17" s="115"/>
      <c r="BX17" s="115"/>
      <c r="BY17" s="115"/>
      <c r="BZ17" s="115"/>
      <c r="CA17" s="115"/>
      <c r="CB17" s="115"/>
      <c r="CC17" s="115"/>
      <c r="CD17" s="115"/>
      <c r="CE17" s="115"/>
      <c r="CF17" s="115"/>
      <c r="CG17" s="115"/>
      <c r="CH17" s="115"/>
      <c r="CI17" s="115"/>
      <c r="CJ17" s="115"/>
      <c r="CK17" s="115"/>
      <c r="CL17" s="115"/>
      <c r="CM17" s="115"/>
      <c r="CN17" s="115"/>
      <c r="CO17" s="115"/>
      <c r="CP17" s="115"/>
      <c r="CQ17" s="115"/>
      <c r="CR17" s="115"/>
      <c r="CS17" s="115"/>
      <c r="CT17" s="115"/>
      <c r="CU17" s="115"/>
      <c r="CV17" s="115"/>
      <c r="CW17" s="115"/>
      <c r="CX17" s="115"/>
      <c r="CY17" s="115"/>
      <c r="CZ17" s="115"/>
      <c r="DA17" s="115">
        <f>+MEDIAN(W17,AA17)</f>
        <v>3650</v>
      </c>
      <c r="DB17" s="115">
        <f>+AVERAGE(W17,AA17)</f>
        <v>3650</v>
      </c>
      <c r="DC17" s="115">
        <f>+STDEV(W17,AA17)</f>
        <v>212.13203435596392</v>
      </c>
      <c r="DD17" s="116">
        <f t="shared" si="3"/>
        <v>5.8118365576976416E-2</v>
      </c>
      <c r="DE17" s="115">
        <v>3067.2268907563025</v>
      </c>
      <c r="DF17" s="115">
        <f t="shared" si="9"/>
        <v>582.77310924369749</v>
      </c>
      <c r="DG17" s="175">
        <f t="shared" si="4"/>
        <v>3650</v>
      </c>
      <c r="DH17" s="175">
        <f t="shared" si="0"/>
        <v>3704750</v>
      </c>
      <c r="DI17" s="117" t="s">
        <v>228</v>
      </c>
    </row>
    <row r="18" spans="1:113" s="28" customFormat="1" ht="30" x14ac:dyDescent="0.25">
      <c r="A18" s="36">
        <v>10</v>
      </c>
      <c r="B18" s="112" t="s">
        <v>22</v>
      </c>
      <c r="C18" s="113" t="s">
        <v>92</v>
      </c>
      <c r="D18" s="114" t="s">
        <v>167</v>
      </c>
      <c r="E18" s="114">
        <v>130</v>
      </c>
      <c r="F18" s="115"/>
      <c r="G18" s="115"/>
      <c r="H18" s="115"/>
      <c r="I18" s="115"/>
      <c r="J18" s="115"/>
      <c r="K18" s="115"/>
      <c r="L18" s="115"/>
      <c r="M18" s="115"/>
      <c r="N18" s="115"/>
      <c r="O18" s="115"/>
      <c r="P18" s="115"/>
      <c r="Q18" s="115"/>
      <c r="R18" s="115"/>
      <c r="S18" s="115"/>
      <c r="T18" s="115"/>
      <c r="U18" s="115">
        <v>1680.6722689075632</v>
      </c>
      <c r="V18" s="115">
        <f t="shared" si="1"/>
        <v>319.32773109243703</v>
      </c>
      <c r="W18" s="115">
        <f>+U18+V18</f>
        <v>2000.0000000000002</v>
      </c>
      <c r="X18" s="115"/>
      <c r="Y18" s="115">
        <v>2016.8067226890757</v>
      </c>
      <c r="Z18" s="115">
        <f t="shared" si="2"/>
        <v>383.19327731092437</v>
      </c>
      <c r="AA18" s="115">
        <f>+Y18+Z18</f>
        <v>2400</v>
      </c>
      <c r="AB18" s="115"/>
      <c r="AC18" s="115"/>
      <c r="AD18" s="115"/>
      <c r="AE18" s="115"/>
      <c r="AF18" s="115"/>
      <c r="AG18" s="115"/>
      <c r="AH18" s="115"/>
      <c r="AI18" s="115"/>
      <c r="AJ18" s="115"/>
      <c r="AK18" s="115"/>
      <c r="AL18" s="115"/>
      <c r="AM18" s="115"/>
      <c r="AN18" s="115"/>
      <c r="AO18" s="115"/>
      <c r="AP18" s="115"/>
      <c r="AQ18" s="115"/>
      <c r="AR18" s="115"/>
      <c r="AS18" s="115"/>
      <c r="AT18" s="115"/>
      <c r="AU18" s="115"/>
      <c r="AV18" s="115"/>
      <c r="AW18" s="115"/>
      <c r="AX18" s="115"/>
      <c r="AY18" s="115"/>
      <c r="AZ18" s="115"/>
      <c r="BA18" s="115"/>
      <c r="BB18" s="115"/>
      <c r="BC18" s="115"/>
      <c r="BD18" s="115"/>
      <c r="BE18" s="115"/>
      <c r="BF18" s="115"/>
      <c r="BG18" s="115"/>
      <c r="BH18" s="115"/>
      <c r="BI18" s="115"/>
      <c r="BJ18" s="115"/>
      <c r="BK18" s="115"/>
      <c r="BL18" s="115"/>
      <c r="BM18" s="115"/>
      <c r="BN18" s="115"/>
      <c r="BO18" s="115"/>
      <c r="BP18" s="115"/>
      <c r="BQ18" s="115"/>
      <c r="BR18" s="115"/>
      <c r="BS18" s="115"/>
      <c r="BT18" s="115"/>
      <c r="BU18" s="115"/>
      <c r="BV18" s="115"/>
      <c r="BW18" s="115"/>
      <c r="BX18" s="115"/>
      <c r="BY18" s="115"/>
      <c r="BZ18" s="115"/>
      <c r="CA18" s="115"/>
      <c r="CB18" s="115"/>
      <c r="CC18" s="115"/>
      <c r="CD18" s="115"/>
      <c r="CE18" s="115"/>
      <c r="CF18" s="115"/>
      <c r="CG18" s="115"/>
      <c r="CH18" s="115"/>
      <c r="CI18" s="115"/>
      <c r="CJ18" s="115"/>
      <c r="CK18" s="115"/>
      <c r="CL18" s="115"/>
      <c r="CM18" s="115"/>
      <c r="CN18" s="115"/>
      <c r="CO18" s="115"/>
      <c r="CP18" s="115"/>
      <c r="CQ18" s="115"/>
      <c r="CR18" s="115"/>
      <c r="CS18" s="115"/>
      <c r="CT18" s="115"/>
      <c r="CU18" s="115"/>
      <c r="CV18" s="115"/>
      <c r="CW18" s="115"/>
      <c r="CX18" s="115"/>
      <c r="CY18" s="115"/>
      <c r="CZ18" s="115"/>
      <c r="DA18" s="115">
        <f>+MEDIAN(W18,AA18)</f>
        <v>2200</v>
      </c>
      <c r="DB18" s="115">
        <f>+AVERAGE(W18,AA18)</f>
        <v>2200</v>
      </c>
      <c r="DC18" s="115">
        <f>+STDEV(W18,AA18)</f>
        <v>282.84271247461885</v>
      </c>
      <c r="DD18" s="116">
        <f t="shared" si="3"/>
        <v>0.12856486930664493</v>
      </c>
      <c r="DE18" s="115">
        <v>1848.7394957983195</v>
      </c>
      <c r="DF18" s="115">
        <f t="shared" si="9"/>
        <v>351.2605042016807</v>
      </c>
      <c r="DG18" s="175">
        <f t="shared" si="4"/>
        <v>2200</v>
      </c>
      <c r="DH18" s="175">
        <f t="shared" si="0"/>
        <v>286000</v>
      </c>
      <c r="DI18" s="117" t="s">
        <v>228</v>
      </c>
    </row>
    <row r="19" spans="1:113" s="28" customFormat="1" ht="75" x14ac:dyDescent="0.25">
      <c r="A19" s="36">
        <v>11</v>
      </c>
      <c r="B19" s="112" t="s">
        <v>213</v>
      </c>
      <c r="C19" s="113" t="s">
        <v>93</v>
      </c>
      <c r="D19" s="114" t="s">
        <v>167</v>
      </c>
      <c r="E19" s="114">
        <v>10</v>
      </c>
      <c r="F19" s="115"/>
      <c r="G19" s="115"/>
      <c r="H19" s="115"/>
      <c r="I19" s="115"/>
      <c r="J19" s="115"/>
      <c r="K19" s="115"/>
      <c r="L19" s="115"/>
      <c r="M19" s="115"/>
      <c r="N19" s="115"/>
      <c r="O19" s="115"/>
      <c r="P19" s="115"/>
      <c r="Q19" s="115"/>
      <c r="R19" s="115"/>
      <c r="S19" s="115"/>
      <c r="T19" s="115"/>
      <c r="U19" s="115">
        <v>1596.6386554621849</v>
      </c>
      <c r="V19" s="115">
        <f t="shared" si="1"/>
        <v>303.36134453781517</v>
      </c>
      <c r="W19" s="118">
        <f>+U19+V19</f>
        <v>1900</v>
      </c>
      <c r="X19" s="118"/>
      <c r="Y19" s="118">
        <v>1596.6386554621849</v>
      </c>
      <c r="Z19" s="118">
        <f t="shared" si="2"/>
        <v>303.36134453781517</v>
      </c>
      <c r="AA19" s="118">
        <f>+Y19+Z19</f>
        <v>1900</v>
      </c>
      <c r="AB19" s="115"/>
      <c r="AC19" s="115"/>
      <c r="AD19" s="115"/>
      <c r="AE19" s="115"/>
      <c r="AF19" s="115"/>
      <c r="AG19" s="115"/>
      <c r="AH19" s="115"/>
      <c r="AI19" s="115"/>
      <c r="AJ19" s="115"/>
      <c r="AK19" s="115"/>
      <c r="AL19" s="115"/>
      <c r="AM19" s="115"/>
      <c r="AN19" s="115"/>
      <c r="AO19" s="115"/>
      <c r="AP19" s="115"/>
      <c r="AQ19" s="115"/>
      <c r="AR19" s="115"/>
      <c r="AS19" s="115"/>
      <c r="AT19" s="115"/>
      <c r="AU19" s="115"/>
      <c r="AV19" s="115"/>
      <c r="AW19" s="115"/>
      <c r="AX19" s="115"/>
      <c r="AY19" s="115"/>
      <c r="AZ19" s="115"/>
      <c r="BA19" s="115"/>
      <c r="BB19" s="115"/>
      <c r="BC19" s="115"/>
      <c r="BD19" s="115"/>
      <c r="BE19" s="115"/>
      <c r="BF19" s="115"/>
      <c r="BG19" s="115"/>
      <c r="BH19" s="115"/>
      <c r="BI19" s="115"/>
      <c r="BJ19" s="115"/>
      <c r="BK19" s="115"/>
      <c r="BL19" s="115"/>
      <c r="BM19" s="115"/>
      <c r="BN19" s="115"/>
      <c r="BO19" s="115"/>
      <c r="BP19" s="115"/>
      <c r="BQ19" s="115"/>
      <c r="BR19" s="115"/>
      <c r="BS19" s="115"/>
      <c r="BT19" s="115"/>
      <c r="BU19" s="115"/>
      <c r="BV19" s="115"/>
      <c r="BW19" s="115"/>
      <c r="BX19" s="115"/>
      <c r="BY19" s="115"/>
      <c r="BZ19" s="115"/>
      <c r="CA19" s="115"/>
      <c r="CB19" s="115"/>
      <c r="CC19" s="115"/>
      <c r="CD19" s="115"/>
      <c r="CE19" s="115"/>
      <c r="CF19" s="115"/>
      <c r="CG19" s="115"/>
      <c r="CH19" s="115"/>
      <c r="CI19" s="115"/>
      <c r="CJ19" s="115"/>
      <c r="CK19" s="115"/>
      <c r="CL19" s="115"/>
      <c r="CM19" s="115"/>
      <c r="CN19" s="115"/>
      <c r="CO19" s="115"/>
      <c r="CP19" s="115"/>
      <c r="CQ19" s="115"/>
      <c r="CR19" s="115"/>
      <c r="CS19" s="115"/>
      <c r="CT19" s="115"/>
      <c r="CU19" s="115"/>
      <c r="CV19" s="115"/>
      <c r="CW19" s="115"/>
      <c r="CX19" s="115"/>
      <c r="CY19" s="115"/>
      <c r="CZ19" s="115"/>
      <c r="DA19" s="115">
        <f>+MEDIAN(W19,AA19)</f>
        <v>1900</v>
      </c>
      <c r="DB19" s="115">
        <f>+AVERAGE(W19,AA19)</f>
        <v>1900</v>
      </c>
      <c r="DC19" s="115">
        <f>+STDEV(W19,AA19)</f>
        <v>0</v>
      </c>
      <c r="DD19" s="116">
        <f t="shared" si="3"/>
        <v>0</v>
      </c>
      <c r="DE19" s="115">
        <v>1596.6386554621849</v>
      </c>
      <c r="DF19" s="115">
        <f t="shared" si="9"/>
        <v>303.36134453781517</v>
      </c>
      <c r="DG19" s="175">
        <f t="shared" si="4"/>
        <v>1900</v>
      </c>
      <c r="DH19" s="175">
        <f t="shared" si="0"/>
        <v>19000</v>
      </c>
      <c r="DI19" s="119" t="s">
        <v>228</v>
      </c>
    </row>
    <row r="20" spans="1:113" s="28" customFormat="1" ht="149.25" customHeight="1" x14ac:dyDescent="0.25">
      <c r="A20" s="36">
        <v>12</v>
      </c>
      <c r="B20" s="112" t="s">
        <v>214</v>
      </c>
      <c r="C20" s="113" t="s">
        <v>184</v>
      </c>
      <c r="D20" s="114" t="s">
        <v>168</v>
      </c>
      <c r="E20" s="114">
        <v>173</v>
      </c>
      <c r="F20" s="115"/>
      <c r="G20" s="115"/>
      <c r="H20" s="115"/>
      <c r="I20" s="115">
        <v>10000</v>
      </c>
      <c r="J20" s="115">
        <f t="shared" si="7"/>
        <v>1900</v>
      </c>
      <c r="K20" s="115">
        <f t="shared" si="8"/>
        <v>11900</v>
      </c>
      <c r="L20" s="115">
        <v>14800</v>
      </c>
      <c r="M20" s="115">
        <f>+L20*0.19</f>
        <v>2812</v>
      </c>
      <c r="N20" s="115">
        <f>+L20+M20</f>
        <v>17612</v>
      </c>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8"/>
      <c r="BK20" s="118"/>
      <c r="BL20" s="118"/>
      <c r="BM20" s="118"/>
      <c r="BN20" s="118"/>
      <c r="BO20" s="118"/>
      <c r="BP20" s="118"/>
      <c r="BQ20" s="118"/>
      <c r="BR20" s="118"/>
      <c r="BS20" s="118"/>
      <c r="BT20" s="118"/>
      <c r="BU20" s="118"/>
      <c r="BV20" s="118"/>
      <c r="BW20" s="118"/>
      <c r="BX20" s="115"/>
      <c r="BY20" s="115"/>
      <c r="BZ20" s="115"/>
      <c r="CA20" s="115"/>
      <c r="CB20" s="115"/>
      <c r="CC20" s="115"/>
      <c r="CD20" s="115"/>
      <c r="CE20" s="115"/>
      <c r="CF20" s="115"/>
      <c r="CG20" s="115"/>
      <c r="CH20" s="115"/>
      <c r="CI20" s="115"/>
      <c r="CJ20" s="115"/>
      <c r="CK20" s="115"/>
      <c r="CL20" s="115"/>
      <c r="CM20" s="115"/>
      <c r="CN20" s="115"/>
      <c r="CO20" s="115"/>
      <c r="CP20" s="115"/>
      <c r="CQ20" s="115"/>
      <c r="CR20" s="115"/>
      <c r="CS20" s="115"/>
      <c r="CT20" s="115"/>
      <c r="CU20" s="115"/>
      <c r="CV20" s="115"/>
      <c r="CW20" s="115"/>
      <c r="CX20" s="115"/>
      <c r="CY20" s="115"/>
      <c r="CZ20" s="115"/>
      <c r="DA20" s="115">
        <f>+MEDIAN(K20,N20)</f>
        <v>14756</v>
      </c>
      <c r="DB20" s="115">
        <f>+AVERAGE(K20,N20)</f>
        <v>14756</v>
      </c>
      <c r="DC20" s="115">
        <f>+STDEV(K20,N20)</f>
        <v>4038.9939341375593</v>
      </c>
      <c r="DD20" s="116">
        <f t="shared" si="3"/>
        <v>0.2737187540076958</v>
      </c>
      <c r="DE20" s="115">
        <v>12400</v>
      </c>
      <c r="DF20" s="115">
        <f t="shared" si="9"/>
        <v>2356</v>
      </c>
      <c r="DG20" s="175">
        <f t="shared" si="4"/>
        <v>14756</v>
      </c>
      <c r="DH20" s="175">
        <f t="shared" si="0"/>
        <v>2552788</v>
      </c>
      <c r="DI20" s="119" t="s">
        <v>227</v>
      </c>
    </row>
    <row r="21" spans="1:113" s="28" customFormat="1" ht="30" x14ac:dyDescent="0.25">
      <c r="A21" s="36">
        <v>13</v>
      </c>
      <c r="B21" s="112" t="s">
        <v>215</v>
      </c>
      <c r="C21" s="113" t="s">
        <v>94</v>
      </c>
      <c r="D21" s="114" t="s">
        <v>168</v>
      </c>
      <c r="E21" s="114">
        <v>60</v>
      </c>
      <c r="F21" s="115">
        <f>1513*30</f>
        <v>45390</v>
      </c>
      <c r="G21" s="115">
        <f>+F21*19%</f>
        <v>8624.1</v>
      </c>
      <c r="H21" s="115">
        <f t="shared" si="6"/>
        <v>54014.1</v>
      </c>
      <c r="I21" s="115"/>
      <c r="J21" s="115"/>
      <c r="K21" s="115"/>
      <c r="L21" s="115"/>
      <c r="M21" s="115"/>
      <c r="N21" s="115"/>
      <c r="O21" s="118"/>
      <c r="P21" s="118"/>
      <c r="Q21" s="118"/>
      <c r="R21" s="115"/>
      <c r="S21" s="115"/>
      <c r="T21" s="115"/>
      <c r="U21" s="118"/>
      <c r="V21" s="118"/>
      <c r="W21" s="118"/>
      <c r="X21" s="118"/>
      <c r="Y21" s="118"/>
      <c r="Z21" s="118"/>
      <c r="AA21" s="118"/>
      <c r="AB21" s="118"/>
      <c r="AC21" s="118"/>
      <c r="AD21" s="118"/>
      <c r="AE21" s="118"/>
      <c r="AF21" s="118"/>
      <c r="AG21" s="118"/>
      <c r="AH21" s="118"/>
      <c r="AI21" s="118"/>
      <c r="AJ21" s="118"/>
      <c r="AK21" s="118"/>
      <c r="AL21" s="118"/>
      <c r="AM21" s="118"/>
      <c r="AN21" s="118"/>
      <c r="AO21" s="118"/>
      <c r="AP21" s="118"/>
      <c r="AQ21" s="118"/>
      <c r="AR21" s="118"/>
      <c r="AS21" s="118"/>
      <c r="AT21" s="118"/>
      <c r="AU21" s="118"/>
      <c r="AV21" s="118"/>
      <c r="AW21" s="118"/>
      <c r="AX21" s="118"/>
      <c r="AY21" s="118"/>
      <c r="AZ21" s="118"/>
      <c r="BA21" s="118"/>
      <c r="BB21" s="118"/>
      <c r="BC21" s="118"/>
      <c r="BD21" s="118"/>
      <c r="BE21" s="118"/>
      <c r="BF21" s="118"/>
      <c r="BG21" s="118"/>
      <c r="BH21" s="118"/>
      <c r="BI21" s="118"/>
      <c r="BJ21" s="118"/>
      <c r="BK21" s="118"/>
      <c r="BL21" s="118"/>
      <c r="BM21" s="118"/>
      <c r="BN21" s="118"/>
      <c r="BO21" s="118"/>
      <c r="BP21" s="118"/>
      <c r="BQ21" s="118"/>
      <c r="BR21" s="118"/>
      <c r="BS21" s="118"/>
      <c r="BT21" s="118"/>
      <c r="BU21" s="118"/>
      <c r="BV21" s="118"/>
      <c r="BW21" s="118"/>
      <c r="BX21" s="115"/>
      <c r="BY21" s="115"/>
      <c r="BZ21" s="115"/>
      <c r="CA21" s="115"/>
      <c r="CB21" s="115"/>
      <c r="CC21" s="115"/>
      <c r="CD21" s="115">
        <f>1300*30</f>
        <v>39000</v>
      </c>
      <c r="CE21" s="115">
        <f>+CD21*19%</f>
        <v>7410</v>
      </c>
      <c r="CF21" s="115">
        <f>+CD21+CE21</f>
        <v>46410</v>
      </c>
      <c r="CG21" s="115">
        <f>+CF21*15%</f>
        <v>6961.5</v>
      </c>
      <c r="CH21" s="115">
        <f>+CF21+CG21</f>
        <v>53371.5</v>
      </c>
      <c r="CI21" s="115"/>
      <c r="CJ21" s="115"/>
      <c r="CK21" s="115"/>
      <c r="CL21" s="115"/>
      <c r="CM21" s="115"/>
      <c r="CN21" s="115"/>
      <c r="CO21" s="115"/>
      <c r="CP21" s="115"/>
      <c r="CQ21" s="115"/>
      <c r="CR21" s="115"/>
      <c r="CS21" s="115"/>
      <c r="CT21" s="115"/>
      <c r="CU21" s="115"/>
      <c r="CV21" s="115"/>
      <c r="CW21" s="115"/>
      <c r="CX21" s="115"/>
      <c r="CY21" s="115"/>
      <c r="CZ21" s="115"/>
      <c r="DA21" s="115">
        <f>+MEDIAN(H21,CH21)</f>
        <v>53692.800000000003</v>
      </c>
      <c r="DB21" s="115">
        <f>+AVERAGE(H21,CH21)</f>
        <v>53692.800000000003</v>
      </c>
      <c r="DC21" s="115">
        <f>+STDEV(H21,CH21)</f>
        <v>454.38681759047444</v>
      </c>
      <c r="DD21" s="116">
        <f t="shared" si="3"/>
        <v>8.4627141365411079E-3</v>
      </c>
      <c r="DE21" s="115">
        <v>45120.168067226892</v>
      </c>
      <c r="DF21" s="115">
        <f t="shared" si="9"/>
        <v>8572.8319327731097</v>
      </c>
      <c r="DG21" s="175">
        <f t="shared" si="4"/>
        <v>53693</v>
      </c>
      <c r="DH21" s="175">
        <f t="shared" si="0"/>
        <v>3221580</v>
      </c>
      <c r="DI21" s="119" t="s">
        <v>228</v>
      </c>
    </row>
    <row r="22" spans="1:113" s="28" customFormat="1" ht="30" x14ac:dyDescent="0.25">
      <c r="A22" s="36">
        <v>14</v>
      </c>
      <c r="B22" s="112" t="s">
        <v>24</v>
      </c>
      <c r="C22" s="113" t="s">
        <v>95</v>
      </c>
      <c r="D22" s="114" t="s">
        <v>169</v>
      </c>
      <c r="E22" s="114">
        <v>259</v>
      </c>
      <c r="F22" s="115">
        <v>5462</v>
      </c>
      <c r="G22" s="115">
        <f t="shared" si="5"/>
        <v>1037.78</v>
      </c>
      <c r="H22" s="115">
        <f t="shared" si="6"/>
        <v>6499.78</v>
      </c>
      <c r="I22" s="115">
        <v>3361.3445378151264</v>
      </c>
      <c r="J22" s="115">
        <f t="shared" si="7"/>
        <v>638.65546218487407</v>
      </c>
      <c r="K22" s="115">
        <f t="shared" si="8"/>
        <v>4000.0000000000005</v>
      </c>
      <c r="L22" s="115">
        <v>4095.7983193277314</v>
      </c>
      <c r="M22" s="115">
        <f>+L22*0.19</f>
        <v>778.20168067226894</v>
      </c>
      <c r="N22" s="115">
        <f>+L22+M22</f>
        <v>4874</v>
      </c>
      <c r="O22" s="118"/>
      <c r="P22" s="118"/>
      <c r="Q22" s="118"/>
      <c r="R22" s="118"/>
      <c r="S22" s="118"/>
      <c r="T22" s="118"/>
      <c r="U22" s="118"/>
      <c r="V22" s="118"/>
      <c r="W22" s="118"/>
      <c r="X22" s="118"/>
      <c r="Y22" s="118"/>
      <c r="Z22" s="118"/>
      <c r="AA22" s="118"/>
      <c r="AB22" s="118"/>
      <c r="AC22" s="118"/>
      <c r="AD22" s="118"/>
      <c r="AE22" s="118"/>
      <c r="AF22" s="118"/>
      <c r="AG22" s="118"/>
      <c r="AH22" s="118"/>
      <c r="AI22" s="118"/>
      <c r="AJ22" s="118"/>
      <c r="AK22" s="118"/>
      <c r="AL22" s="118"/>
      <c r="AM22" s="118"/>
      <c r="AN22" s="118"/>
      <c r="AO22" s="118"/>
      <c r="AP22" s="118"/>
      <c r="AQ22" s="118"/>
      <c r="AR22" s="118"/>
      <c r="AS22" s="118"/>
      <c r="AT22" s="118"/>
      <c r="AU22" s="118"/>
      <c r="AV22" s="118"/>
      <c r="AW22" s="118"/>
      <c r="AX22" s="118"/>
      <c r="AY22" s="118"/>
      <c r="AZ22" s="118"/>
      <c r="BA22" s="118"/>
      <c r="BB22" s="118"/>
      <c r="BC22" s="118"/>
      <c r="BD22" s="118"/>
      <c r="BE22" s="118"/>
      <c r="BF22" s="118"/>
      <c r="BG22" s="118"/>
      <c r="BH22" s="118"/>
      <c r="BI22" s="118"/>
      <c r="BJ22" s="118"/>
      <c r="BK22" s="118"/>
      <c r="BL22" s="118"/>
      <c r="BM22" s="118"/>
      <c r="BN22" s="118"/>
      <c r="BO22" s="118"/>
      <c r="BP22" s="118"/>
      <c r="BQ22" s="118"/>
      <c r="BR22" s="118"/>
      <c r="BS22" s="118"/>
      <c r="BT22" s="118"/>
      <c r="BU22" s="118"/>
      <c r="BV22" s="118"/>
      <c r="BW22" s="118"/>
      <c r="BX22" s="115"/>
      <c r="BY22" s="115"/>
      <c r="BZ22" s="115"/>
      <c r="CA22" s="115"/>
      <c r="CB22" s="115"/>
      <c r="CC22" s="115"/>
      <c r="CD22" s="115"/>
      <c r="CE22" s="115"/>
      <c r="CF22" s="115"/>
      <c r="CG22" s="115"/>
      <c r="CH22" s="115"/>
      <c r="CI22" s="115"/>
      <c r="CJ22" s="115"/>
      <c r="CK22" s="115"/>
      <c r="CL22" s="115"/>
      <c r="CM22" s="115"/>
      <c r="CN22" s="115"/>
      <c r="CO22" s="115"/>
      <c r="CP22" s="115"/>
      <c r="CQ22" s="115"/>
      <c r="CR22" s="115"/>
      <c r="CS22" s="115"/>
      <c r="CT22" s="115"/>
      <c r="CU22" s="115"/>
      <c r="CV22" s="115"/>
      <c r="CW22" s="115"/>
      <c r="CX22" s="115"/>
      <c r="CY22" s="115"/>
      <c r="CZ22" s="115"/>
      <c r="DA22" s="115">
        <f>+MEDIAN(H22,K22,N22)</f>
        <v>4874</v>
      </c>
      <c r="DB22" s="115">
        <f>+AVERAGE(H22,K22,N22)</f>
        <v>5124.5933333333332</v>
      </c>
      <c r="DC22" s="115">
        <f>+STDEV(H22,K22,N22)</f>
        <v>1268.5908623876055</v>
      </c>
      <c r="DD22" s="116">
        <f t="shared" si="3"/>
        <v>0.24754956732585068</v>
      </c>
      <c r="DE22" s="115">
        <v>4095.7983193277314</v>
      </c>
      <c r="DF22" s="115">
        <f t="shared" si="9"/>
        <v>778.20168067226894</v>
      </c>
      <c r="DG22" s="175">
        <f t="shared" si="4"/>
        <v>4874</v>
      </c>
      <c r="DH22" s="175">
        <f t="shared" si="0"/>
        <v>1262366</v>
      </c>
      <c r="DI22" s="119" t="s">
        <v>227</v>
      </c>
    </row>
    <row r="23" spans="1:113" s="28" customFormat="1" ht="30" x14ac:dyDescent="0.25">
      <c r="A23" s="36">
        <v>15</v>
      </c>
      <c r="B23" s="112" t="s">
        <v>24</v>
      </c>
      <c r="C23" s="113" t="s">
        <v>96</v>
      </c>
      <c r="D23" s="114" t="s">
        <v>169</v>
      </c>
      <c r="E23" s="114">
        <v>324</v>
      </c>
      <c r="F23" s="115">
        <v>2941</v>
      </c>
      <c r="G23" s="115">
        <f t="shared" si="5"/>
        <v>558.79</v>
      </c>
      <c r="H23" s="115">
        <f t="shared" si="6"/>
        <v>3499.79</v>
      </c>
      <c r="I23" s="115">
        <v>2605.0420168067226</v>
      </c>
      <c r="J23" s="115">
        <f t="shared" si="7"/>
        <v>494.9579831932773</v>
      </c>
      <c r="K23" s="115">
        <f t="shared" si="8"/>
        <v>3100</v>
      </c>
      <c r="L23" s="118"/>
      <c r="M23" s="118"/>
      <c r="N23" s="118"/>
      <c r="O23" s="118"/>
      <c r="P23" s="118"/>
      <c r="Q23" s="118"/>
      <c r="R23" s="118"/>
      <c r="S23" s="118"/>
      <c r="T23" s="118"/>
      <c r="U23" s="118"/>
      <c r="V23" s="118"/>
      <c r="W23" s="118"/>
      <c r="X23" s="118"/>
      <c r="Y23" s="118"/>
      <c r="Z23" s="118"/>
      <c r="AA23" s="118"/>
      <c r="AB23" s="118"/>
      <c r="AC23" s="118"/>
      <c r="AD23" s="118"/>
      <c r="AE23" s="118"/>
      <c r="AF23" s="118"/>
      <c r="AG23" s="118"/>
      <c r="AH23" s="118"/>
      <c r="AI23" s="118"/>
      <c r="AJ23" s="118"/>
      <c r="AK23" s="118"/>
      <c r="AL23" s="118"/>
      <c r="AM23" s="118"/>
      <c r="AN23" s="118"/>
      <c r="AO23" s="118"/>
      <c r="AP23" s="118"/>
      <c r="AQ23" s="118"/>
      <c r="AR23" s="118"/>
      <c r="AS23" s="118"/>
      <c r="AT23" s="118"/>
      <c r="AU23" s="118"/>
      <c r="AV23" s="118"/>
      <c r="AW23" s="118"/>
      <c r="AX23" s="118"/>
      <c r="AY23" s="118"/>
      <c r="AZ23" s="118"/>
      <c r="BA23" s="118"/>
      <c r="BB23" s="118"/>
      <c r="BC23" s="118"/>
      <c r="BD23" s="118"/>
      <c r="BE23" s="118"/>
      <c r="BF23" s="118"/>
      <c r="BG23" s="118"/>
      <c r="BH23" s="118"/>
      <c r="BI23" s="118"/>
      <c r="BJ23" s="118"/>
      <c r="BK23" s="118"/>
      <c r="BL23" s="118"/>
      <c r="BM23" s="118"/>
      <c r="BN23" s="118"/>
      <c r="BO23" s="118"/>
      <c r="BP23" s="118"/>
      <c r="BQ23" s="118"/>
      <c r="BR23" s="118"/>
      <c r="BS23" s="118"/>
      <c r="BT23" s="118"/>
      <c r="BU23" s="118"/>
      <c r="BV23" s="118"/>
      <c r="BW23" s="118"/>
      <c r="BX23" s="115"/>
      <c r="BY23" s="115"/>
      <c r="BZ23" s="115"/>
      <c r="CA23" s="115"/>
      <c r="CB23" s="115"/>
      <c r="CC23" s="115"/>
      <c r="CD23" s="115"/>
      <c r="CE23" s="115"/>
      <c r="CF23" s="115"/>
      <c r="CG23" s="115"/>
      <c r="CH23" s="115"/>
      <c r="CI23" s="115"/>
      <c r="CJ23" s="115"/>
      <c r="CK23" s="115"/>
      <c r="CL23" s="115"/>
      <c r="CM23" s="115"/>
      <c r="CN23" s="115"/>
      <c r="CO23" s="115"/>
      <c r="CP23" s="115"/>
      <c r="CQ23" s="115"/>
      <c r="CR23" s="115"/>
      <c r="CS23" s="115"/>
      <c r="CT23" s="115"/>
      <c r="CU23" s="115"/>
      <c r="CV23" s="115"/>
      <c r="CW23" s="115"/>
      <c r="CX23" s="115"/>
      <c r="CY23" s="115"/>
      <c r="CZ23" s="115"/>
      <c r="DA23" s="115">
        <f>+MEDIAN(H23,K23)</f>
        <v>3299.895</v>
      </c>
      <c r="DB23" s="115">
        <f>+AVERAGE(H23,K23)</f>
        <v>3299.895</v>
      </c>
      <c r="DC23" s="115">
        <f>+STDEV(H23,K23)</f>
        <v>282.69422005056981</v>
      </c>
      <c r="DD23" s="116">
        <f t="shared" si="3"/>
        <v>8.5667640955415195E-2</v>
      </c>
      <c r="DE23" s="115">
        <v>2773.1092436974791</v>
      </c>
      <c r="DF23" s="115">
        <f t="shared" si="9"/>
        <v>526.89075630252103</v>
      </c>
      <c r="DG23" s="175">
        <f t="shared" si="4"/>
        <v>3300</v>
      </c>
      <c r="DH23" s="175">
        <f t="shared" si="0"/>
        <v>1069200</v>
      </c>
      <c r="DI23" s="119" t="s">
        <v>228</v>
      </c>
    </row>
    <row r="24" spans="1:113" s="28" customFormat="1" ht="51" customHeight="1" x14ac:dyDescent="0.25">
      <c r="A24" s="36">
        <v>16</v>
      </c>
      <c r="B24" s="112" t="s">
        <v>24</v>
      </c>
      <c r="C24" s="113" t="s">
        <v>97</v>
      </c>
      <c r="D24" s="114" t="s">
        <v>169</v>
      </c>
      <c r="E24" s="114">
        <v>203</v>
      </c>
      <c r="F24" s="115"/>
      <c r="G24" s="115"/>
      <c r="H24" s="115"/>
      <c r="I24" s="115"/>
      <c r="J24" s="115"/>
      <c r="K24" s="115"/>
      <c r="L24" s="115"/>
      <c r="M24" s="115"/>
      <c r="N24" s="115"/>
      <c r="O24" s="118"/>
      <c r="P24" s="118"/>
      <c r="Q24" s="118"/>
      <c r="R24" s="115">
        <v>26470.588235294119</v>
      </c>
      <c r="S24" s="115">
        <f>+R24*19%</f>
        <v>5029.4117647058829</v>
      </c>
      <c r="T24" s="115">
        <f>+R24+S24</f>
        <v>31500</v>
      </c>
      <c r="U24" s="118"/>
      <c r="V24" s="118"/>
      <c r="W24" s="118"/>
      <c r="X24" s="118"/>
      <c r="Y24" s="118"/>
      <c r="Z24" s="118"/>
      <c r="AA24" s="118"/>
      <c r="AB24" s="118"/>
      <c r="AC24" s="118"/>
      <c r="AD24" s="118"/>
      <c r="AE24" s="118">
        <f>24900/1.19</f>
        <v>20924.36974789916</v>
      </c>
      <c r="AF24" s="118">
        <f>+AE24*19%</f>
        <v>3975.6302521008406</v>
      </c>
      <c r="AG24" s="118">
        <f>+AE24+AF24</f>
        <v>24900</v>
      </c>
      <c r="AH24" s="115">
        <f>+AG24*15%</f>
        <v>3735</v>
      </c>
      <c r="AI24" s="115">
        <f>+AG24+AH24</f>
        <v>28635</v>
      </c>
      <c r="AJ24" s="118"/>
      <c r="AK24" s="118"/>
      <c r="AL24" s="118"/>
      <c r="AM24" s="118"/>
      <c r="AN24" s="118"/>
      <c r="AO24" s="118"/>
      <c r="AP24" s="118"/>
      <c r="AQ24" s="118"/>
      <c r="AR24" s="118"/>
      <c r="AS24" s="118"/>
      <c r="AT24" s="118"/>
      <c r="AU24" s="118"/>
      <c r="AV24" s="118"/>
      <c r="AW24" s="118"/>
      <c r="AX24" s="118"/>
      <c r="AY24" s="118"/>
      <c r="AZ24" s="118"/>
      <c r="BA24" s="118"/>
      <c r="BB24" s="118"/>
      <c r="BC24" s="118"/>
      <c r="BD24" s="118"/>
      <c r="BE24" s="118"/>
      <c r="BF24" s="118"/>
      <c r="BG24" s="118"/>
      <c r="BH24" s="118"/>
      <c r="BI24" s="118"/>
      <c r="BJ24" s="118"/>
      <c r="BK24" s="118"/>
      <c r="BL24" s="118"/>
      <c r="BM24" s="118"/>
      <c r="BN24" s="118"/>
      <c r="BO24" s="118"/>
      <c r="BP24" s="118"/>
      <c r="BQ24" s="118"/>
      <c r="BR24" s="118"/>
      <c r="BS24" s="118"/>
      <c r="BT24" s="118"/>
      <c r="BU24" s="118"/>
      <c r="BV24" s="118"/>
      <c r="BW24" s="118"/>
      <c r="BX24" s="115"/>
      <c r="BY24" s="115"/>
      <c r="BZ24" s="115"/>
      <c r="CA24" s="115"/>
      <c r="CB24" s="115"/>
      <c r="CC24" s="115"/>
      <c r="CD24" s="115"/>
      <c r="CE24" s="115"/>
      <c r="CF24" s="115"/>
      <c r="CG24" s="115"/>
      <c r="CH24" s="115"/>
      <c r="CI24" s="115"/>
      <c r="CJ24" s="115"/>
      <c r="CK24" s="115"/>
      <c r="CL24" s="115"/>
      <c r="CM24" s="115"/>
      <c r="CN24" s="115"/>
      <c r="CO24" s="115"/>
      <c r="CP24" s="115"/>
      <c r="CQ24" s="115"/>
      <c r="CR24" s="115"/>
      <c r="CS24" s="115">
        <f>20900/1.19</f>
        <v>17563.025210084033</v>
      </c>
      <c r="CT24" s="115">
        <f>+CS24*19%</f>
        <v>3336.9747899159665</v>
      </c>
      <c r="CU24" s="115">
        <f>+CS24+CT24</f>
        <v>20900</v>
      </c>
      <c r="CV24" s="115">
        <f>+CU24*15%</f>
        <v>3135</v>
      </c>
      <c r="CW24" s="115">
        <f>+CU24+CV24</f>
        <v>24035</v>
      </c>
      <c r="CX24" s="115"/>
      <c r="CY24" s="115"/>
      <c r="CZ24" s="115"/>
      <c r="DA24" s="115">
        <f>+MEDIAN(T24,AI24,CW24)</f>
        <v>28635</v>
      </c>
      <c r="DB24" s="115">
        <f>+AVERAGE(T24,AI24,CW24)</f>
        <v>28056.666666666668</v>
      </c>
      <c r="DC24" s="115">
        <f>+STDEV(T24,AI24,CW24)</f>
        <v>3765.9538411049671</v>
      </c>
      <c r="DD24" s="116">
        <f t="shared" si="3"/>
        <v>0.1342267021897933</v>
      </c>
      <c r="DE24" s="115">
        <v>23577.310924369747</v>
      </c>
      <c r="DF24" s="115">
        <f>+DE24*19%</f>
        <v>4479.6890756302519</v>
      </c>
      <c r="DG24" s="175">
        <f>+ROUNDUP(IF(DD24&lt;15%,DB24,DA24),0)</f>
        <v>28057</v>
      </c>
      <c r="DH24" s="175">
        <f t="shared" si="0"/>
        <v>5695571</v>
      </c>
      <c r="DI24" s="119" t="s">
        <v>228</v>
      </c>
    </row>
    <row r="25" spans="1:113" s="28" customFormat="1" ht="30" x14ac:dyDescent="0.25">
      <c r="A25" s="36">
        <v>17</v>
      </c>
      <c r="B25" s="112" t="s">
        <v>24</v>
      </c>
      <c r="C25" s="113" t="s">
        <v>98</v>
      </c>
      <c r="D25" s="114" t="s">
        <v>169</v>
      </c>
      <c r="E25" s="114">
        <v>43</v>
      </c>
      <c r="F25" s="115">
        <v>1261</v>
      </c>
      <c r="G25" s="115">
        <f t="shared" si="5"/>
        <v>239.59</v>
      </c>
      <c r="H25" s="115">
        <f t="shared" si="6"/>
        <v>1500.59</v>
      </c>
      <c r="I25" s="115">
        <v>1513</v>
      </c>
      <c r="J25" s="115">
        <f t="shared" si="7"/>
        <v>287.47000000000003</v>
      </c>
      <c r="K25" s="115">
        <f t="shared" si="8"/>
        <v>1800.47</v>
      </c>
      <c r="L25" s="115"/>
      <c r="M25" s="115"/>
      <c r="N25" s="115"/>
      <c r="O25" s="118"/>
      <c r="P25" s="118"/>
      <c r="Q25" s="118"/>
      <c r="R25" s="118"/>
      <c r="S25" s="118"/>
      <c r="T25" s="118"/>
      <c r="U25" s="118"/>
      <c r="V25" s="118"/>
      <c r="W25" s="118"/>
      <c r="X25" s="118"/>
      <c r="Y25" s="118"/>
      <c r="Z25" s="118"/>
      <c r="AA25" s="118"/>
      <c r="AB25" s="118"/>
      <c r="AC25" s="118"/>
      <c r="AD25" s="118"/>
      <c r="AE25" s="118"/>
      <c r="AF25" s="118"/>
      <c r="AG25" s="118"/>
      <c r="AH25" s="118"/>
      <c r="AI25" s="118"/>
      <c r="AJ25" s="118"/>
      <c r="AK25" s="118"/>
      <c r="AL25" s="118"/>
      <c r="AM25" s="118"/>
      <c r="AN25" s="118"/>
      <c r="AO25" s="118"/>
      <c r="AP25" s="118"/>
      <c r="AQ25" s="118"/>
      <c r="AR25" s="118"/>
      <c r="AS25" s="118"/>
      <c r="AT25" s="118"/>
      <c r="AU25" s="118"/>
      <c r="AV25" s="118"/>
      <c r="AW25" s="118"/>
      <c r="AX25" s="118"/>
      <c r="AY25" s="118"/>
      <c r="AZ25" s="118"/>
      <c r="BA25" s="118"/>
      <c r="BB25" s="118"/>
      <c r="BC25" s="118"/>
      <c r="BD25" s="118"/>
      <c r="BE25" s="118"/>
      <c r="BF25" s="118"/>
      <c r="BG25" s="118"/>
      <c r="BH25" s="118"/>
      <c r="BI25" s="118"/>
      <c r="BJ25" s="118"/>
      <c r="BK25" s="118"/>
      <c r="BL25" s="118"/>
      <c r="BM25" s="118"/>
      <c r="BN25" s="118"/>
      <c r="BO25" s="118"/>
      <c r="BP25" s="118"/>
      <c r="BQ25" s="118"/>
      <c r="BR25" s="118"/>
      <c r="BS25" s="118"/>
      <c r="BT25" s="118"/>
      <c r="BU25" s="118"/>
      <c r="BV25" s="118"/>
      <c r="BW25" s="118"/>
      <c r="BX25" s="115"/>
      <c r="BY25" s="115"/>
      <c r="BZ25" s="115"/>
      <c r="CA25" s="115"/>
      <c r="CB25" s="115"/>
      <c r="CC25" s="115"/>
      <c r="CD25" s="115"/>
      <c r="CE25" s="115"/>
      <c r="CF25" s="115"/>
      <c r="CG25" s="115"/>
      <c r="CH25" s="115"/>
      <c r="CI25" s="115"/>
      <c r="CJ25" s="115"/>
      <c r="CK25" s="115"/>
      <c r="CL25" s="115"/>
      <c r="CM25" s="115"/>
      <c r="CN25" s="115"/>
      <c r="CO25" s="115"/>
      <c r="CP25" s="115"/>
      <c r="CQ25" s="115"/>
      <c r="CR25" s="115"/>
      <c r="CS25" s="115"/>
      <c r="CT25" s="115"/>
      <c r="CU25" s="115"/>
      <c r="CV25" s="115"/>
      <c r="CW25" s="115"/>
      <c r="CX25" s="115"/>
      <c r="CY25" s="115"/>
      <c r="CZ25" s="115"/>
      <c r="DA25" s="115">
        <f>+MEDIAN(H25,K25)</f>
        <v>1650.53</v>
      </c>
      <c r="DB25" s="115">
        <f>+AVERAGE(H25,K25)</f>
        <v>1650.53</v>
      </c>
      <c r="DC25" s="115">
        <f>+STDEV(H25,K25)</f>
        <v>212.04718154222195</v>
      </c>
      <c r="DD25" s="116">
        <f t="shared" si="3"/>
        <v>0.1284721765385797</v>
      </c>
      <c r="DE25" s="115">
        <v>1387.3949579831933</v>
      </c>
      <c r="DF25" s="115">
        <f t="shared" si="9"/>
        <v>263.60504201680675</v>
      </c>
      <c r="DG25" s="175">
        <f t="shared" si="4"/>
        <v>1651</v>
      </c>
      <c r="DH25" s="175">
        <f t="shared" si="0"/>
        <v>70993</v>
      </c>
      <c r="DI25" s="119" t="s">
        <v>228</v>
      </c>
    </row>
    <row r="26" spans="1:113" s="28" customFormat="1" ht="30" x14ac:dyDescent="0.25">
      <c r="A26" s="36">
        <v>18</v>
      </c>
      <c r="B26" s="112" t="s">
        <v>24</v>
      </c>
      <c r="C26" s="113" t="s">
        <v>99</v>
      </c>
      <c r="D26" s="114" t="s">
        <v>169</v>
      </c>
      <c r="E26" s="114">
        <v>6</v>
      </c>
      <c r="F26" s="115">
        <v>2521</v>
      </c>
      <c r="G26" s="115">
        <f t="shared" si="5"/>
        <v>478.99</v>
      </c>
      <c r="H26" s="115">
        <f t="shared" si="6"/>
        <v>2999.99</v>
      </c>
      <c r="I26" s="115">
        <v>3361</v>
      </c>
      <c r="J26" s="115">
        <f t="shared" si="7"/>
        <v>638.59</v>
      </c>
      <c r="K26" s="115">
        <f t="shared" si="8"/>
        <v>3999.59</v>
      </c>
      <c r="L26" s="115"/>
      <c r="M26" s="115"/>
      <c r="N26" s="115"/>
      <c r="O26" s="118"/>
      <c r="P26" s="118"/>
      <c r="Q26" s="118"/>
      <c r="R26" s="118"/>
      <c r="S26" s="118"/>
      <c r="T26" s="118"/>
      <c r="U26" s="118"/>
      <c r="V26" s="118"/>
      <c r="W26" s="118"/>
      <c r="X26" s="118"/>
      <c r="Y26" s="118"/>
      <c r="Z26" s="118"/>
      <c r="AA26" s="118"/>
      <c r="AB26" s="118"/>
      <c r="AC26" s="118"/>
      <c r="AD26" s="118"/>
      <c r="AE26" s="118"/>
      <c r="AF26" s="118"/>
      <c r="AG26" s="118"/>
      <c r="AH26" s="118"/>
      <c r="AI26" s="118"/>
      <c r="AJ26" s="118"/>
      <c r="AK26" s="118"/>
      <c r="AL26" s="118"/>
      <c r="AM26" s="118"/>
      <c r="AN26" s="118"/>
      <c r="AO26" s="118"/>
      <c r="AP26" s="118"/>
      <c r="AQ26" s="118"/>
      <c r="AR26" s="118"/>
      <c r="AS26" s="118"/>
      <c r="AT26" s="118"/>
      <c r="AU26" s="118"/>
      <c r="AV26" s="118"/>
      <c r="AW26" s="118"/>
      <c r="AX26" s="118"/>
      <c r="AY26" s="118"/>
      <c r="AZ26" s="118"/>
      <c r="BA26" s="118"/>
      <c r="BB26" s="118"/>
      <c r="BC26" s="118"/>
      <c r="BD26" s="118"/>
      <c r="BE26" s="118"/>
      <c r="BF26" s="118"/>
      <c r="BG26" s="118"/>
      <c r="BH26" s="118"/>
      <c r="BI26" s="118"/>
      <c r="BJ26" s="118"/>
      <c r="BK26" s="118"/>
      <c r="BL26" s="118"/>
      <c r="BM26" s="118"/>
      <c r="BN26" s="118"/>
      <c r="BO26" s="118"/>
      <c r="BP26" s="118"/>
      <c r="BQ26" s="118"/>
      <c r="BR26" s="118"/>
      <c r="BS26" s="118"/>
      <c r="BT26" s="118"/>
      <c r="BU26" s="118"/>
      <c r="BV26" s="118"/>
      <c r="BW26" s="118"/>
      <c r="BX26" s="115"/>
      <c r="BY26" s="115"/>
      <c r="BZ26" s="115"/>
      <c r="CA26" s="115"/>
      <c r="CB26" s="115"/>
      <c r="CC26" s="115"/>
      <c r="CD26" s="115"/>
      <c r="CE26" s="115"/>
      <c r="CF26" s="115"/>
      <c r="CG26" s="115"/>
      <c r="CH26" s="115"/>
      <c r="CI26" s="115"/>
      <c r="CJ26" s="115"/>
      <c r="CK26" s="115"/>
      <c r="CL26" s="115"/>
      <c r="CM26" s="115"/>
      <c r="CN26" s="115"/>
      <c r="CO26" s="115"/>
      <c r="CP26" s="115"/>
      <c r="CQ26" s="115"/>
      <c r="CR26" s="115"/>
      <c r="CS26" s="115"/>
      <c r="CT26" s="115"/>
      <c r="CU26" s="115"/>
      <c r="CV26" s="115"/>
      <c r="CW26" s="115"/>
      <c r="CX26" s="115"/>
      <c r="CY26" s="115"/>
      <c r="CZ26" s="115"/>
      <c r="DA26" s="115">
        <f>+MEDIAN(H26,K26)</f>
        <v>3499.79</v>
      </c>
      <c r="DB26" s="115">
        <f>+AVERAGE(H26,K26)</f>
        <v>3499.79</v>
      </c>
      <c r="DC26" s="115">
        <f>+STDEV(H26,K26)</f>
        <v>706.82393847407423</v>
      </c>
      <c r="DD26" s="116">
        <f t="shared" si="3"/>
        <v>0.20196181441574329</v>
      </c>
      <c r="DE26" s="115">
        <v>2941.1764705882356</v>
      </c>
      <c r="DF26" s="115">
        <f t="shared" si="9"/>
        <v>558.82352941176475</v>
      </c>
      <c r="DG26" s="175">
        <f t="shared" si="4"/>
        <v>3500</v>
      </c>
      <c r="DH26" s="175">
        <f t="shared" si="0"/>
        <v>21000</v>
      </c>
      <c r="DI26" s="119" t="s">
        <v>227</v>
      </c>
    </row>
    <row r="27" spans="1:113" s="28" customFormat="1" ht="45" x14ac:dyDescent="0.25">
      <c r="A27" s="36">
        <v>19</v>
      </c>
      <c r="B27" s="112" t="s">
        <v>25</v>
      </c>
      <c r="C27" s="113" t="s">
        <v>100</v>
      </c>
      <c r="D27" s="114" t="s">
        <v>166</v>
      </c>
      <c r="E27" s="114">
        <v>5</v>
      </c>
      <c r="F27" s="115">
        <v>3782</v>
      </c>
      <c r="G27" s="115">
        <f t="shared" si="5"/>
        <v>718.58</v>
      </c>
      <c r="H27" s="115">
        <f t="shared" si="6"/>
        <v>4500.58</v>
      </c>
      <c r="I27" s="115"/>
      <c r="J27" s="115"/>
      <c r="K27" s="115"/>
      <c r="L27" s="115"/>
      <c r="M27" s="115"/>
      <c r="N27" s="115"/>
      <c r="O27" s="118"/>
      <c r="P27" s="118"/>
      <c r="Q27" s="118"/>
      <c r="R27" s="115">
        <v>3763.3053221288524</v>
      </c>
      <c r="S27" s="115">
        <f>+R27*19%</f>
        <v>715.02801120448191</v>
      </c>
      <c r="T27" s="115">
        <f>+R27+S27</f>
        <v>4478.3333333333339</v>
      </c>
      <c r="U27" s="118"/>
      <c r="V27" s="118"/>
      <c r="W27" s="118"/>
      <c r="X27" s="118"/>
      <c r="Y27" s="118"/>
      <c r="Z27" s="118"/>
      <c r="AA27" s="118"/>
      <c r="AB27" s="118"/>
      <c r="AC27" s="118"/>
      <c r="AD27" s="118"/>
      <c r="AE27" s="118"/>
      <c r="AF27" s="118"/>
      <c r="AG27" s="118"/>
      <c r="AH27" s="118"/>
      <c r="AI27" s="118"/>
      <c r="AJ27" s="118"/>
      <c r="AK27" s="118"/>
      <c r="AL27" s="118"/>
      <c r="AM27" s="118"/>
      <c r="AN27" s="118"/>
      <c r="AO27" s="118"/>
      <c r="AP27" s="118"/>
      <c r="AQ27" s="118"/>
      <c r="AR27" s="118"/>
      <c r="AS27" s="118"/>
      <c r="AT27" s="118"/>
      <c r="AU27" s="118"/>
      <c r="AV27" s="118"/>
      <c r="AW27" s="118"/>
      <c r="AX27" s="118"/>
      <c r="AY27" s="118"/>
      <c r="AZ27" s="118"/>
      <c r="BA27" s="118"/>
      <c r="BB27" s="118"/>
      <c r="BC27" s="118"/>
      <c r="BD27" s="118"/>
      <c r="BE27" s="118"/>
      <c r="BF27" s="118"/>
      <c r="BG27" s="118"/>
      <c r="BH27" s="118"/>
      <c r="BI27" s="118"/>
      <c r="BJ27" s="118"/>
      <c r="BK27" s="118"/>
      <c r="BL27" s="118"/>
      <c r="BM27" s="118"/>
      <c r="BN27" s="118"/>
      <c r="BO27" s="118"/>
      <c r="BP27" s="118"/>
      <c r="BQ27" s="118"/>
      <c r="BR27" s="118"/>
      <c r="BS27" s="118"/>
      <c r="BT27" s="118"/>
      <c r="BU27" s="118"/>
      <c r="BV27" s="118"/>
      <c r="BW27" s="118"/>
      <c r="BX27" s="115"/>
      <c r="BY27" s="115"/>
      <c r="BZ27" s="115"/>
      <c r="CA27" s="115"/>
      <c r="CB27" s="115"/>
      <c r="CC27" s="115"/>
      <c r="CD27" s="115"/>
      <c r="CE27" s="115"/>
      <c r="CF27" s="115"/>
      <c r="CG27" s="115"/>
      <c r="CH27" s="115"/>
      <c r="CI27" s="115"/>
      <c r="CJ27" s="115"/>
      <c r="CK27" s="115"/>
      <c r="CL27" s="115"/>
      <c r="CM27" s="115"/>
      <c r="CN27" s="115"/>
      <c r="CO27" s="115"/>
      <c r="CP27" s="115"/>
      <c r="CQ27" s="115"/>
      <c r="CR27" s="115"/>
      <c r="CS27" s="115"/>
      <c r="CT27" s="115"/>
      <c r="CU27" s="115"/>
      <c r="CV27" s="115"/>
      <c r="CW27" s="115"/>
      <c r="CX27" s="115"/>
      <c r="CY27" s="115"/>
      <c r="CZ27" s="115"/>
      <c r="DA27" s="115">
        <f>+MEDIAN(H27,T27)</f>
        <v>4489.4566666666669</v>
      </c>
      <c r="DB27" s="115">
        <f>+AVERAGE(H27,T27)</f>
        <v>4489.4566666666669</v>
      </c>
      <c r="DC27" s="115">
        <f>+STDEV(H27,T27)</f>
        <v>15.730768858796248</v>
      </c>
      <c r="DD27" s="116">
        <f t="shared" si="3"/>
        <v>3.5039360053509623E-3</v>
      </c>
      <c r="DE27" s="115">
        <v>3773.1092436974791</v>
      </c>
      <c r="DF27" s="115">
        <f t="shared" si="9"/>
        <v>716.89075630252103</v>
      </c>
      <c r="DG27" s="175">
        <f t="shared" si="4"/>
        <v>4490</v>
      </c>
      <c r="DH27" s="175">
        <f t="shared" si="0"/>
        <v>22450</v>
      </c>
      <c r="DI27" s="119" t="s">
        <v>228</v>
      </c>
    </row>
    <row r="28" spans="1:113" s="28" customFormat="1" ht="30" x14ac:dyDescent="0.25">
      <c r="A28" s="36">
        <v>20</v>
      </c>
      <c r="B28" s="112" t="s">
        <v>210</v>
      </c>
      <c r="C28" s="113" t="s">
        <v>101</v>
      </c>
      <c r="D28" s="114" t="s">
        <v>166</v>
      </c>
      <c r="E28" s="114">
        <v>20</v>
      </c>
      <c r="F28" s="115"/>
      <c r="G28" s="115"/>
      <c r="H28" s="115"/>
      <c r="I28" s="115"/>
      <c r="J28" s="115"/>
      <c r="K28" s="115"/>
      <c r="L28" s="115"/>
      <c r="M28" s="115"/>
      <c r="N28" s="115"/>
      <c r="O28" s="118"/>
      <c r="P28" s="118"/>
      <c r="Q28" s="118"/>
      <c r="R28" s="115"/>
      <c r="S28" s="115"/>
      <c r="T28" s="115"/>
      <c r="U28" s="118">
        <v>10000</v>
      </c>
      <c r="V28" s="118">
        <v>0</v>
      </c>
      <c r="W28" s="118">
        <f>+U28+V28</f>
        <v>10000</v>
      </c>
      <c r="X28" s="118"/>
      <c r="Y28" s="118">
        <v>11500</v>
      </c>
      <c r="Z28" s="118">
        <v>0</v>
      </c>
      <c r="AA28" s="118">
        <f>+Y28+Z28</f>
        <v>11500</v>
      </c>
      <c r="AB28" s="118"/>
      <c r="AC28" s="118"/>
      <c r="AD28" s="118"/>
      <c r="AE28" s="118"/>
      <c r="AF28" s="118"/>
      <c r="AG28" s="118"/>
      <c r="AH28" s="118"/>
      <c r="AI28" s="118"/>
      <c r="AJ28" s="115"/>
      <c r="AK28" s="115"/>
      <c r="AL28" s="115"/>
      <c r="AM28" s="115"/>
      <c r="AN28" s="115"/>
      <c r="AO28" s="115"/>
      <c r="AP28" s="115"/>
      <c r="AQ28" s="118"/>
      <c r="AR28" s="118"/>
      <c r="AS28" s="118"/>
      <c r="AT28" s="118"/>
      <c r="AU28" s="118"/>
      <c r="AV28" s="118"/>
      <c r="AW28" s="118"/>
      <c r="AX28" s="118"/>
      <c r="AY28" s="118"/>
      <c r="AZ28" s="118"/>
      <c r="BA28" s="118"/>
      <c r="BB28" s="118"/>
      <c r="BC28" s="118"/>
      <c r="BD28" s="118"/>
      <c r="BE28" s="118"/>
      <c r="BF28" s="118"/>
      <c r="BG28" s="118"/>
      <c r="BH28" s="118"/>
      <c r="BI28" s="118"/>
      <c r="BJ28" s="118"/>
      <c r="BK28" s="118"/>
      <c r="BL28" s="118"/>
      <c r="BM28" s="118"/>
      <c r="BN28" s="118"/>
      <c r="BO28" s="118"/>
      <c r="BP28" s="118"/>
      <c r="BQ28" s="118"/>
      <c r="BR28" s="118"/>
      <c r="BS28" s="118"/>
      <c r="BT28" s="118"/>
      <c r="BU28" s="118"/>
      <c r="BV28" s="118"/>
      <c r="BW28" s="118"/>
      <c r="BX28" s="115"/>
      <c r="BY28" s="115"/>
      <c r="BZ28" s="115"/>
      <c r="CA28" s="115"/>
      <c r="CB28" s="115"/>
      <c r="CC28" s="115"/>
      <c r="CD28" s="115"/>
      <c r="CE28" s="115"/>
      <c r="CF28" s="115"/>
      <c r="CG28" s="115"/>
      <c r="CH28" s="115"/>
      <c r="CI28" s="115"/>
      <c r="CJ28" s="115"/>
      <c r="CK28" s="115"/>
      <c r="CL28" s="115"/>
      <c r="CM28" s="115"/>
      <c r="CN28" s="115"/>
      <c r="CO28" s="115"/>
      <c r="CP28" s="115"/>
      <c r="CQ28" s="115"/>
      <c r="CR28" s="115"/>
      <c r="CS28" s="115"/>
      <c r="CT28" s="115"/>
      <c r="CU28" s="115"/>
      <c r="CV28" s="115"/>
      <c r="CW28" s="115"/>
      <c r="CX28" s="115"/>
      <c r="CY28" s="115"/>
      <c r="CZ28" s="115"/>
      <c r="DA28" s="115">
        <f>+MEDIAN(W28,AA28)</f>
        <v>10750</v>
      </c>
      <c r="DB28" s="115">
        <f>+AVERAGE(W28,AA28)</f>
        <v>10750</v>
      </c>
      <c r="DC28" s="115">
        <f>+STDEV(W28,AA28)</f>
        <v>1060.6601717798212</v>
      </c>
      <c r="DD28" s="116">
        <f>+DC28/DB28</f>
        <v>9.8666062491146164E-2</v>
      </c>
      <c r="DE28" s="115">
        <v>9033.6134453781524</v>
      </c>
      <c r="DF28" s="115">
        <v>0</v>
      </c>
      <c r="DG28" s="175">
        <f t="shared" si="4"/>
        <v>10750</v>
      </c>
      <c r="DH28" s="175">
        <f t="shared" si="0"/>
        <v>215000</v>
      </c>
      <c r="DI28" s="119" t="s">
        <v>228</v>
      </c>
    </row>
    <row r="29" spans="1:113" s="28" customFormat="1" ht="30" x14ac:dyDescent="0.25">
      <c r="A29" s="36">
        <v>21</v>
      </c>
      <c r="B29" s="112" t="s">
        <v>211</v>
      </c>
      <c r="C29" s="113" t="s">
        <v>102</v>
      </c>
      <c r="D29" s="114" t="s">
        <v>166</v>
      </c>
      <c r="E29" s="114">
        <v>475</v>
      </c>
      <c r="F29" s="115">
        <v>10500</v>
      </c>
      <c r="G29" s="115">
        <v>0</v>
      </c>
      <c r="H29" s="115">
        <f t="shared" si="6"/>
        <v>10500</v>
      </c>
      <c r="I29" s="115">
        <v>11100</v>
      </c>
      <c r="J29" s="115">
        <v>0</v>
      </c>
      <c r="K29" s="115">
        <f t="shared" si="8"/>
        <v>11100</v>
      </c>
      <c r="L29" s="115"/>
      <c r="M29" s="115"/>
      <c r="N29" s="115"/>
      <c r="O29" s="118"/>
      <c r="P29" s="118"/>
      <c r="Q29" s="118"/>
      <c r="R29" s="115">
        <v>16667</v>
      </c>
      <c r="S29" s="115">
        <v>0</v>
      </c>
      <c r="T29" s="115">
        <f>+R29+S29</f>
        <v>16667</v>
      </c>
      <c r="U29" s="118"/>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8"/>
      <c r="AU29" s="118"/>
      <c r="AV29" s="118"/>
      <c r="AW29" s="118"/>
      <c r="AX29" s="118"/>
      <c r="AY29" s="118"/>
      <c r="AZ29" s="118"/>
      <c r="BA29" s="118"/>
      <c r="BB29" s="118"/>
      <c r="BC29" s="118"/>
      <c r="BD29" s="118"/>
      <c r="BE29" s="118"/>
      <c r="BF29" s="118"/>
      <c r="BG29" s="118"/>
      <c r="BH29" s="118"/>
      <c r="BI29" s="118"/>
      <c r="BJ29" s="118"/>
      <c r="BK29" s="118"/>
      <c r="BL29" s="118"/>
      <c r="BM29" s="118"/>
      <c r="BN29" s="118"/>
      <c r="BO29" s="118"/>
      <c r="BP29" s="118"/>
      <c r="BQ29" s="118"/>
      <c r="BR29" s="118"/>
      <c r="BS29" s="118"/>
      <c r="BT29" s="118"/>
      <c r="BU29" s="118"/>
      <c r="BV29" s="118"/>
      <c r="BW29" s="118"/>
      <c r="BX29" s="115"/>
      <c r="BY29" s="115"/>
      <c r="BZ29" s="115"/>
      <c r="CA29" s="115"/>
      <c r="CB29" s="115"/>
      <c r="CC29" s="115"/>
      <c r="CD29" s="115"/>
      <c r="CE29" s="115"/>
      <c r="CF29" s="115"/>
      <c r="CG29" s="115"/>
      <c r="CH29" s="115"/>
      <c r="CI29" s="115"/>
      <c r="CJ29" s="115"/>
      <c r="CK29" s="115"/>
      <c r="CL29" s="115"/>
      <c r="CM29" s="115"/>
      <c r="CN29" s="115"/>
      <c r="CO29" s="115"/>
      <c r="CP29" s="115"/>
      <c r="CQ29" s="115"/>
      <c r="CR29" s="115"/>
      <c r="CS29" s="115"/>
      <c r="CT29" s="115"/>
      <c r="CU29" s="115"/>
      <c r="CV29" s="115"/>
      <c r="CW29" s="115"/>
      <c r="CX29" s="115"/>
      <c r="CY29" s="115"/>
      <c r="CZ29" s="115"/>
      <c r="DA29" s="115">
        <f>+MEDIAN(H29,K29,T29)</f>
        <v>11100</v>
      </c>
      <c r="DB29" s="115">
        <f>+AVERAGE(H29,K29,T29)</f>
        <v>12755.666666666666</v>
      </c>
      <c r="DC29" s="115">
        <f>+STDEV(H29,K29,T29)</f>
        <v>3400.5729419221907</v>
      </c>
      <c r="DD29" s="116">
        <f>+DC29/DB29</f>
        <v>0.2665931174580336</v>
      </c>
      <c r="DE29" s="115">
        <v>9327.7310924369758</v>
      </c>
      <c r="DF29" s="115">
        <v>0</v>
      </c>
      <c r="DG29" s="175">
        <f t="shared" si="4"/>
        <v>11100</v>
      </c>
      <c r="DH29" s="175">
        <f t="shared" si="0"/>
        <v>5272500</v>
      </c>
      <c r="DI29" s="119" t="s">
        <v>227</v>
      </c>
    </row>
    <row r="30" spans="1:113" s="28" customFormat="1" ht="42.75" customHeight="1" x14ac:dyDescent="0.25">
      <c r="A30" s="36">
        <v>22</v>
      </c>
      <c r="B30" s="112" t="s">
        <v>26</v>
      </c>
      <c r="C30" s="113" t="s">
        <v>103</v>
      </c>
      <c r="D30" s="114" t="s">
        <v>166</v>
      </c>
      <c r="E30" s="114">
        <v>277</v>
      </c>
      <c r="F30" s="115">
        <v>40332</v>
      </c>
      <c r="G30" s="115">
        <f>+F30*19%</f>
        <v>7663.08</v>
      </c>
      <c r="H30" s="115">
        <f t="shared" si="6"/>
        <v>47995.08</v>
      </c>
      <c r="I30" s="120"/>
      <c r="J30" s="120"/>
      <c r="K30" s="120"/>
      <c r="L30" s="115">
        <v>20100</v>
      </c>
      <c r="M30" s="115">
        <f>+L30*0.19</f>
        <v>3819</v>
      </c>
      <c r="N30" s="115">
        <f>+L30+M30</f>
        <v>23919</v>
      </c>
      <c r="O30" s="118"/>
      <c r="P30" s="118"/>
      <c r="Q30" s="118"/>
      <c r="R30" s="115">
        <v>42016.806722689078</v>
      </c>
      <c r="S30" s="115">
        <f>+R30*19%</f>
        <v>7983.1932773109247</v>
      </c>
      <c r="T30" s="115">
        <f>+R30+S30</f>
        <v>50000</v>
      </c>
      <c r="U30" s="118"/>
      <c r="V30" s="118"/>
      <c r="W30" s="118"/>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18"/>
      <c r="AW30" s="118"/>
      <c r="AX30" s="118"/>
      <c r="AY30" s="118"/>
      <c r="AZ30" s="118"/>
      <c r="BA30" s="118"/>
      <c r="BB30" s="118"/>
      <c r="BC30" s="118"/>
      <c r="BD30" s="118"/>
      <c r="BE30" s="118"/>
      <c r="BF30" s="118"/>
      <c r="BG30" s="118"/>
      <c r="BH30" s="118"/>
      <c r="BI30" s="118"/>
      <c r="BJ30" s="118"/>
      <c r="BK30" s="118"/>
      <c r="BL30" s="118"/>
      <c r="BM30" s="118"/>
      <c r="BN30" s="118"/>
      <c r="BO30" s="118"/>
      <c r="BP30" s="118"/>
      <c r="BQ30" s="118"/>
      <c r="BR30" s="118"/>
      <c r="BS30" s="118"/>
      <c r="BT30" s="118"/>
      <c r="BU30" s="118"/>
      <c r="BV30" s="118"/>
      <c r="BW30" s="118"/>
      <c r="BX30" s="115"/>
      <c r="BY30" s="115"/>
      <c r="BZ30" s="115"/>
      <c r="CA30" s="115"/>
      <c r="CB30" s="115"/>
      <c r="CC30" s="115"/>
      <c r="CD30" s="115"/>
      <c r="CE30" s="115"/>
      <c r="CF30" s="115"/>
      <c r="CG30" s="115"/>
      <c r="CH30" s="115"/>
      <c r="CI30" s="115"/>
      <c r="CJ30" s="115"/>
      <c r="CK30" s="115"/>
      <c r="CL30" s="115"/>
      <c r="CM30" s="115"/>
      <c r="CN30" s="115"/>
      <c r="CO30" s="115"/>
      <c r="CP30" s="115"/>
      <c r="CQ30" s="115"/>
      <c r="CR30" s="115"/>
      <c r="CS30" s="115"/>
      <c r="CT30" s="115"/>
      <c r="CU30" s="115"/>
      <c r="CV30" s="115"/>
      <c r="CW30" s="115"/>
      <c r="CX30" s="115"/>
      <c r="CY30" s="115"/>
      <c r="CZ30" s="115"/>
      <c r="DA30" s="115">
        <f>+MEDIAN(H30,T30)</f>
        <v>48997.54</v>
      </c>
      <c r="DB30" s="115">
        <f>+AVERAGE(H30,T30)</f>
        <v>48997.54</v>
      </c>
      <c r="DC30" s="115">
        <f>+STDEV(H30,T30)</f>
        <v>1417.6925277365317</v>
      </c>
      <c r="DD30" s="116">
        <f>+DC30/DB30</f>
        <v>2.8933953168598498E-2</v>
      </c>
      <c r="DE30" s="115">
        <v>41174.789915966387</v>
      </c>
      <c r="DF30" s="115">
        <f t="shared" si="9"/>
        <v>7823.2100840336134</v>
      </c>
      <c r="DG30" s="175">
        <f t="shared" si="4"/>
        <v>48998</v>
      </c>
      <c r="DH30" s="175">
        <f t="shared" si="0"/>
        <v>13572446</v>
      </c>
      <c r="DI30" s="119" t="s">
        <v>228</v>
      </c>
    </row>
    <row r="31" spans="1:113" s="28" customFormat="1" ht="34.5" customHeight="1" x14ac:dyDescent="0.25">
      <c r="A31" s="36">
        <v>23</v>
      </c>
      <c r="B31" s="112" t="s">
        <v>27</v>
      </c>
      <c r="C31" s="113" t="s">
        <v>104</v>
      </c>
      <c r="D31" s="114" t="s">
        <v>167</v>
      </c>
      <c r="E31" s="114">
        <v>3</v>
      </c>
      <c r="F31" s="115"/>
      <c r="G31" s="115"/>
      <c r="H31" s="115"/>
      <c r="I31" s="115"/>
      <c r="J31" s="115"/>
      <c r="K31" s="115"/>
      <c r="L31" s="115"/>
      <c r="M31" s="115"/>
      <c r="N31" s="115"/>
      <c r="O31" s="115"/>
      <c r="P31" s="115"/>
      <c r="Q31" s="115"/>
      <c r="R31" s="115">
        <v>17997.198879551823</v>
      </c>
      <c r="S31" s="115">
        <f>+R31*19%</f>
        <v>3419.4677871148465</v>
      </c>
      <c r="T31" s="115">
        <f>+R31+S31</f>
        <v>21416.666666666668</v>
      </c>
      <c r="U31" s="115"/>
      <c r="V31" s="115"/>
      <c r="W31" s="115"/>
      <c r="X31" s="115"/>
      <c r="Y31" s="115"/>
      <c r="Z31" s="115"/>
      <c r="AA31" s="115"/>
      <c r="AB31" s="115"/>
      <c r="AC31" s="115"/>
      <c r="AD31" s="115"/>
      <c r="AE31" s="115">
        <f>27000/1.19</f>
        <v>22689.0756302521</v>
      </c>
      <c r="AF31" s="115">
        <f>+AE31*19%</f>
        <v>4310.9243697478987</v>
      </c>
      <c r="AG31" s="115">
        <f>+AE31+AF31</f>
        <v>27000</v>
      </c>
      <c r="AH31" s="115">
        <f>+AG31*15%</f>
        <v>4050</v>
      </c>
      <c r="AI31" s="115">
        <f>+AG31+AH31</f>
        <v>31050</v>
      </c>
      <c r="AJ31" s="115"/>
      <c r="AK31" s="115"/>
      <c r="AL31" s="115"/>
      <c r="AM31" s="115"/>
      <c r="AN31" s="115"/>
      <c r="AO31" s="115"/>
      <c r="AP31" s="115"/>
      <c r="AQ31" s="118"/>
      <c r="AR31" s="118"/>
      <c r="AS31" s="118"/>
      <c r="AT31" s="118"/>
      <c r="AU31" s="118"/>
      <c r="AV31" s="118"/>
      <c r="AW31" s="118"/>
      <c r="AX31" s="118"/>
      <c r="AY31" s="118"/>
      <c r="AZ31" s="118"/>
      <c r="BA31" s="118"/>
      <c r="BB31" s="118"/>
      <c r="BC31" s="118"/>
      <c r="BD31" s="118"/>
      <c r="BE31" s="118"/>
      <c r="BF31" s="118"/>
      <c r="BG31" s="118"/>
      <c r="BH31" s="118"/>
      <c r="BI31" s="118"/>
      <c r="BJ31" s="118"/>
      <c r="BK31" s="118"/>
      <c r="BL31" s="118"/>
      <c r="BM31" s="118"/>
      <c r="BN31" s="118"/>
      <c r="BO31" s="118"/>
      <c r="BP31" s="118"/>
      <c r="BQ31" s="118"/>
      <c r="BR31" s="118"/>
      <c r="BS31" s="118"/>
      <c r="BT31" s="118"/>
      <c r="BU31" s="118"/>
      <c r="BV31" s="118"/>
      <c r="BW31" s="118"/>
      <c r="BX31" s="115"/>
      <c r="BY31" s="115"/>
      <c r="BZ31" s="115"/>
      <c r="CA31" s="115"/>
      <c r="CB31" s="115"/>
      <c r="CC31" s="115"/>
      <c r="CD31" s="115"/>
      <c r="CE31" s="115"/>
      <c r="CF31" s="115"/>
      <c r="CG31" s="115"/>
      <c r="CH31" s="115"/>
      <c r="CI31" s="115"/>
      <c r="CJ31" s="115"/>
      <c r="CK31" s="115"/>
      <c r="CL31" s="115"/>
      <c r="CM31" s="115"/>
      <c r="CN31" s="115"/>
      <c r="CO31" s="115"/>
      <c r="CP31" s="115"/>
      <c r="CQ31" s="115"/>
      <c r="CR31" s="115"/>
      <c r="CS31" s="115"/>
      <c r="CT31" s="115"/>
      <c r="CU31" s="115"/>
      <c r="CV31" s="115"/>
      <c r="CW31" s="115"/>
      <c r="CX31" s="115"/>
      <c r="CY31" s="115"/>
      <c r="CZ31" s="115"/>
      <c r="DA31" s="115">
        <f>+MEDIAN(T31,AI31)</f>
        <v>26233.333333333336</v>
      </c>
      <c r="DB31" s="115">
        <f>+AVERAGE(T31,AI31)</f>
        <v>26233.333333333336</v>
      </c>
      <c r="DC31" s="115">
        <f>+STDEV(T31,AI31)</f>
        <v>6811.795325430392</v>
      </c>
      <c r="DD31" s="116">
        <f>+DC31/DB31</f>
        <v>0.25966182943190819</v>
      </c>
      <c r="DE31" s="115">
        <v>22045.378151260506</v>
      </c>
      <c r="DF31" s="115">
        <f>+DE31*19%</f>
        <v>4188.6218487394963</v>
      </c>
      <c r="DG31" s="175">
        <f t="shared" si="4"/>
        <v>26234</v>
      </c>
      <c r="DH31" s="175">
        <f t="shared" si="0"/>
        <v>78702</v>
      </c>
      <c r="DI31" s="119" t="s">
        <v>227</v>
      </c>
    </row>
    <row r="32" spans="1:113" s="28" customFormat="1" ht="30" x14ac:dyDescent="0.25">
      <c r="A32" s="36">
        <v>24</v>
      </c>
      <c r="B32" s="112" t="s">
        <v>27</v>
      </c>
      <c r="C32" s="113" t="s">
        <v>105</v>
      </c>
      <c r="D32" s="114" t="s">
        <v>167</v>
      </c>
      <c r="E32" s="114">
        <v>265</v>
      </c>
      <c r="F32" s="115"/>
      <c r="G32" s="115"/>
      <c r="H32" s="115"/>
      <c r="I32" s="115"/>
      <c r="J32" s="115"/>
      <c r="K32" s="115"/>
      <c r="L32" s="115"/>
      <c r="M32" s="115"/>
      <c r="N32" s="115"/>
      <c r="O32" s="118"/>
      <c r="P32" s="118"/>
      <c r="Q32" s="118"/>
      <c r="R32" s="115"/>
      <c r="S32" s="115"/>
      <c r="T32" s="115"/>
      <c r="U32" s="118">
        <v>15294.117647058823</v>
      </c>
      <c r="V32" s="118">
        <f>+U32*0.19</f>
        <v>2905.8823529411766</v>
      </c>
      <c r="W32" s="118">
        <f>+U32+V32</f>
        <v>18200</v>
      </c>
      <c r="X32" s="118"/>
      <c r="Y32" s="118">
        <v>12605.042016806723</v>
      </c>
      <c r="Z32" s="118">
        <f>+Y32*0.19</f>
        <v>2394.9579831932774</v>
      </c>
      <c r="AA32" s="118">
        <f>+Y32+Z32</f>
        <v>15000</v>
      </c>
      <c r="AB32" s="118"/>
      <c r="AC32" s="118"/>
      <c r="AD32" s="118"/>
      <c r="AE32" s="118"/>
      <c r="AF32" s="118"/>
      <c r="AG32" s="118"/>
      <c r="AH32" s="118"/>
      <c r="AI32" s="118"/>
      <c r="AJ32" s="118"/>
      <c r="AK32" s="118"/>
      <c r="AL32" s="118"/>
      <c r="AM32" s="118"/>
      <c r="AN32" s="118"/>
      <c r="AO32" s="118"/>
      <c r="AP32" s="118"/>
      <c r="AQ32" s="118"/>
      <c r="AR32" s="118"/>
      <c r="AS32" s="118"/>
      <c r="AT32" s="118"/>
      <c r="AU32" s="118"/>
      <c r="AV32" s="118"/>
      <c r="AW32" s="118"/>
      <c r="AX32" s="118"/>
      <c r="AY32" s="118"/>
      <c r="AZ32" s="118"/>
      <c r="BA32" s="118"/>
      <c r="BB32" s="118"/>
      <c r="BC32" s="118"/>
      <c r="BD32" s="118"/>
      <c r="BE32" s="118"/>
      <c r="BF32" s="118"/>
      <c r="BG32" s="118"/>
      <c r="BH32" s="118"/>
      <c r="BI32" s="118"/>
      <c r="BJ32" s="118"/>
      <c r="BK32" s="118"/>
      <c r="BL32" s="118"/>
      <c r="BM32" s="118"/>
      <c r="BN32" s="118"/>
      <c r="BO32" s="118"/>
      <c r="BP32" s="118"/>
      <c r="BQ32" s="118"/>
      <c r="BR32" s="118"/>
      <c r="BS32" s="118"/>
      <c r="BT32" s="118"/>
      <c r="BU32" s="118"/>
      <c r="BV32" s="118"/>
      <c r="BW32" s="118"/>
      <c r="BX32" s="115"/>
      <c r="BY32" s="115"/>
      <c r="BZ32" s="115"/>
      <c r="CA32" s="115"/>
      <c r="CB32" s="115"/>
      <c r="CC32" s="115"/>
      <c r="CD32" s="115"/>
      <c r="CE32" s="115"/>
      <c r="CF32" s="115"/>
      <c r="CG32" s="115"/>
      <c r="CH32" s="115"/>
      <c r="CI32" s="115"/>
      <c r="CJ32" s="115"/>
      <c r="CK32" s="115"/>
      <c r="CL32" s="115"/>
      <c r="CM32" s="115"/>
      <c r="CN32" s="115"/>
      <c r="CO32" s="115"/>
      <c r="CP32" s="115"/>
      <c r="CQ32" s="115"/>
      <c r="CR32" s="115"/>
      <c r="CS32" s="115"/>
      <c r="CT32" s="115"/>
      <c r="CU32" s="115"/>
      <c r="CV32" s="115"/>
      <c r="CW32" s="115"/>
      <c r="CX32" s="115"/>
      <c r="CY32" s="115"/>
      <c r="CZ32" s="115"/>
      <c r="DA32" s="115">
        <f>+MEDIAN(W32,AA32)</f>
        <v>16600</v>
      </c>
      <c r="DB32" s="115">
        <f>+AVERAGE(W32,AA32)</f>
        <v>16600</v>
      </c>
      <c r="DC32" s="115">
        <f>+STDEV(W32,AA32)</f>
        <v>2262.7416997969522</v>
      </c>
      <c r="DD32" s="116">
        <f t="shared" ref="DD32:DD62" si="10">DC32/DB32</f>
        <v>0.13630974095162363</v>
      </c>
      <c r="DE32" s="115">
        <v>13949.579831932773</v>
      </c>
      <c r="DF32" s="115">
        <f t="shared" si="9"/>
        <v>2650.4201680672268</v>
      </c>
      <c r="DG32" s="175">
        <f t="shared" si="4"/>
        <v>16600</v>
      </c>
      <c r="DH32" s="175">
        <f t="shared" si="0"/>
        <v>4399000</v>
      </c>
      <c r="DI32" s="119" t="s">
        <v>228</v>
      </c>
    </row>
    <row r="33" spans="1:113" s="28" customFormat="1" ht="30" x14ac:dyDescent="0.25">
      <c r="A33" s="36">
        <v>25</v>
      </c>
      <c r="B33" s="112" t="s">
        <v>28</v>
      </c>
      <c r="C33" s="113" t="s">
        <v>106</v>
      </c>
      <c r="D33" s="114" t="s">
        <v>166</v>
      </c>
      <c r="E33" s="114">
        <v>68</v>
      </c>
      <c r="F33" s="120"/>
      <c r="G33" s="120"/>
      <c r="H33" s="120"/>
      <c r="I33" s="115">
        <v>1933</v>
      </c>
      <c r="J33" s="115">
        <f>+I33*0.19</f>
        <v>367.27</v>
      </c>
      <c r="K33" s="115">
        <f t="shared" si="8"/>
        <v>2300.27</v>
      </c>
      <c r="L33" s="115">
        <v>1746</v>
      </c>
      <c r="M33" s="115">
        <f>+L33*0.19</f>
        <v>331.74</v>
      </c>
      <c r="N33" s="115">
        <f>+L33+M33</f>
        <v>2077.7399999999998</v>
      </c>
      <c r="O33" s="118"/>
      <c r="P33" s="118"/>
      <c r="Q33" s="118"/>
      <c r="R33" s="115"/>
      <c r="S33" s="115"/>
      <c r="T33" s="121"/>
      <c r="U33" s="118"/>
      <c r="V33" s="118"/>
      <c r="W33" s="118"/>
      <c r="X33" s="118"/>
      <c r="Y33" s="118"/>
      <c r="Z33" s="118"/>
      <c r="AA33" s="118"/>
      <c r="AB33" s="118"/>
      <c r="AC33" s="118"/>
      <c r="AD33" s="118"/>
      <c r="AE33" s="118"/>
      <c r="AF33" s="118"/>
      <c r="AG33" s="118"/>
      <c r="AH33" s="118"/>
      <c r="AI33" s="118"/>
      <c r="AJ33" s="118"/>
      <c r="AK33" s="118"/>
      <c r="AL33" s="118"/>
      <c r="AM33" s="118"/>
      <c r="AN33" s="118"/>
      <c r="AO33" s="118"/>
      <c r="AP33" s="118"/>
      <c r="AQ33" s="118"/>
      <c r="AR33" s="118"/>
      <c r="AS33" s="118"/>
      <c r="AT33" s="118"/>
      <c r="AU33" s="118"/>
      <c r="AV33" s="118"/>
      <c r="AW33" s="118"/>
      <c r="AX33" s="118"/>
      <c r="AY33" s="118"/>
      <c r="AZ33" s="118"/>
      <c r="BA33" s="118"/>
      <c r="BB33" s="118"/>
      <c r="BC33" s="118"/>
      <c r="BD33" s="118"/>
      <c r="BE33" s="118"/>
      <c r="BF33" s="118"/>
      <c r="BG33" s="118"/>
      <c r="BH33" s="118"/>
      <c r="BI33" s="118"/>
      <c r="BJ33" s="118"/>
      <c r="BK33" s="118"/>
      <c r="BL33" s="118"/>
      <c r="BM33" s="118"/>
      <c r="BN33" s="118"/>
      <c r="BO33" s="118"/>
      <c r="BP33" s="118"/>
      <c r="BQ33" s="118"/>
      <c r="BR33" s="118"/>
      <c r="BS33" s="118"/>
      <c r="BT33" s="118"/>
      <c r="BU33" s="118"/>
      <c r="BV33" s="118"/>
      <c r="BW33" s="118"/>
      <c r="BX33" s="115"/>
      <c r="BY33" s="115"/>
      <c r="BZ33" s="115"/>
      <c r="CA33" s="115"/>
      <c r="CB33" s="115"/>
      <c r="CC33" s="115"/>
      <c r="CD33" s="115"/>
      <c r="CE33" s="115"/>
      <c r="CF33" s="115"/>
      <c r="CG33" s="115"/>
      <c r="CH33" s="115"/>
      <c r="CI33" s="115"/>
      <c r="CJ33" s="115"/>
      <c r="CK33" s="115"/>
      <c r="CL33" s="115"/>
      <c r="CM33" s="115"/>
      <c r="CN33" s="115"/>
      <c r="CO33" s="115"/>
      <c r="CP33" s="115"/>
      <c r="CQ33" s="115"/>
      <c r="CR33" s="115"/>
      <c r="CS33" s="115"/>
      <c r="CT33" s="115"/>
      <c r="CU33" s="115"/>
      <c r="CV33" s="115"/>
      <c r="CW33" s="115"/>
      <c r="CX33" s="115"/>
      <c r="CY33" s="115"/>
      <c r="CZ33" s="115"/>
      <c r="DA33" s="115">
        <f>+MEDIAN(K33,N33)</f>
        <v>2189.0050000000001</v>
      </c>
      <c r="DB33" s="115">
        <f>+AVERAGE(K33,N33)</f>
        <v>2189.0050000000001</v>
      </c>
      <c r="DC33" s="115">
        <f>+STDEV(K33,N33)</f>
        <v>157.35247201744258</v>
      </c>
      <c r="DD33" s="116">
        <f t="shared" si="10"/>
        <v>7.1883103061638767E-2</v>
      </c>
      <c r="DE33" s="115">
        <v>1840.3361344537816</v>
      </c>
      <c r="DF33" s="115">
        <f t="shared" si="9"/>
        <v>349.66386554621852</v>
      </c>
      <c r="DG33" s="175">
        <f t="shared" si="4"/>
        <v>2190</v>
      </c>
      <c r="DH33" s="175">
        <f t="shared" si="0"/>
        <v>148920</v>
      </c>
      <c r="DI33" s="119" t="s">
        <v>228</v>
      </c>
    </row>
    <row r="34" spans="1:113" s="28" customFormat="1" ht="30" x14ac:dyDescent="0.25">
      <c r="A34" s="36">
        <v>26</v>
      </c>
      <c r="B34" s="112" t="s">
        <v>29</v>
      </c>
      <c r="C34" s="113" t="s">
        <v>108</v>
      </c>
      <c r="D34" s="114" t="s">
        <v>167</v>
      </c>
      <c r="E34" s="114">
        <v>80</v>
      </c>
      <c r="F34" s="115"/>
      <c r="G34" s="115"/>
      <c r="H34" s="115"/>
      <c r="I34" s="115"/>
      <c r="J34" s="115"/>
      <c r="K34" s="115"/>
      <c r="L34" s="115"/>
      <c r="M34" s="115"/>
      <c r="N34" s="115"/>
      <c r="O34" s="118"/>
      <c r="P34" s="118"/>
      <c r="Q34" s="118"/>
      <c r="R34" s="115"/>
      <c r="S34" s="115"/>
      <c r="T34" s="115"/>
      <c r="U34" s="118">
        <v>4200</v>
      </c>
      <c r="V34" s="118">
        <v>0</v>
      </c>
      <c r="W34" s="118">
        <f>+U34+V34</f>
        <v>4200</v>
      </c>
      <c r="X34" s="118"/>
      <c r="Y34" s="118">
        <v>3200</v>
      </c>
      <c r="Z34" s="118">
        <v>0</v>
      </c>
      <c r="AA34" s="118">
        <f>+Y34+Z34</f>
        <v>3200</v>
      </c>
      <c r="AB34" s="115"/>
      <c r="AC34" s="115"/>
      <c r="AD34" s="115"/>
      <c r="AE34" s="115"/>
      <c r="AF34" s="115"/>
      <c r="AG34" s="115"/>
      <c r="AH34" s="115"/>
      <c r="AI34" s="115"/>
      <c r="AJ34" s="115"/>
      <c r="AK34" s="115"/>
      <c r="AL34" s="115"/>
      <c r="AM34" s="115"/>
      <c r="AN34" s="115"/>
      <c r="AO34" s="115"/>
      <c r="AP34" s="115"/>
      <c r="AQ34" s="115"/>
      <c r="AR34" s="115"/>
      <c r="AS34" s="115"/>
      <c r="AT34" s="115"/>
      <c r="AU34" s="115"/>
      <c r="AV34" s="115"/>
      <c r="AW34" s="115"/>
      <c r="AX34" s="115"/>
      <c r="AY34" s="115"/>
      <c r="AZ34" s="115"/>
      <c r="BA34" s="115"/>
      <c r="BB34" s="115"/>
      <c r="BC34" s="115"/>
      <c r="BD34" s="115"/>
      <c r="BE34" s="115"/>
      <c r="BF34" s="115"/>
      <c r="BG34" s="115"/>
      <c r="BH34" s="115"/>
      <c r="BI34" s="115"/>
      <c r="BJ34" s="115"/>
      <c r="BK34" s="115"/>
      <c r="BL34" s="115"/>
      <c r="BM34" s="115"/>
      <c r="BN34" s="115"/>
      <c r="BO34" s="115"/>
      <c r="BP34" s="115"/>
      <c r="BQ34" s="115"/>
      <c r="BR34" s="115"/>
      <c r="BS34" s="115"/>
      <c r="BT34" s="115"/>
      <c r="BU34" s="115"/>
      <c r="BV34" s="115"/>
      <c r="BW34" s="115"/>
      <c r="BX34" s="115"/>
      <c r="BY34" s="115"/>
      <c r="BZ34" s="115"/>
      <c r="CA34" s="115"/>
      <c r="CB34" s="115"/>
      <c r="CC34" s="115"/>
      <c r="CD34" s="115"/>
      <c r="CE34" s="115"/>
      <c r="CF34" s="115"/>
      <c r="CG34" s="115"/>
      <c r="CH34" s="115"/>
      <c r="CI34" s="115"/>
      <c r="CJ34" s="115"/>
      <c r="CK34" s="115"/>
      <c r="CL34" s="115"/>
      <c r="CM34" s="115"/>
      <c r="CN34" s="115"/>
      <c r="CO34" s="115"/>
      <c r="CP34" s="115"/>
      <c r="CQ34" s="115"/>
      <c r="CR34" s="115"/>
      <c r="CS34" s="115"/>
      <c r="CT34" s="115"/>
      <c r="CU34" s="115"/>
      <c r="CV34" s="115"/>
      <c r="CW34" s="115"/>
      <c r="CX34" s="115"/>
      <c r="CY34" s="115"/>
      <c r="CZ34" s="115"/>
      <c r="DA34" s="115">
        <f>+MEDIAN(W34,AA34)</f>
        <v>3700</v>
      </c>
      <c r="DB34" s="115">
        <f>+AVERAGE(W34,AA34)</f>
        <v>3700</v>
      </c>
      <c r="DC34" s="115">
        <f>+STDEV(W34,AA34)</f>
        <v>707.10678118654755</v>
      </c>
      <c r="DD34" s="116">
        <f t="shared" si="10"/>
        <v>0.19110994086122907</v>
      </c>
      <c r="DE34" s="115">
        <v>3109.2436974789916</v>
      </c>
      <c r="DF34" s="115">
        <v>0</v>
      </c>
      <c r="DG34" s="175">
        <f t="shared" si="4"/>
        <v>3700</v>
      </c>
      <c r="DH34" s="175">
        <f t="shared" si="0"/>
        <v>296000</v>
      </c>
      <c r="DI34" s="119" t="s">
        <v>227</v>
      </c>
    </row>
    <row r="35" spans="1:113" s="28" customFormat="1" ht="30" x14ac:dyDescent="0.25">
      <c r="A35" s="36">
        <v>27</v>
      </c>
      <c r="B35" s="112" t="s">
        <v>29</v>
      </c>
      <c r="C35" s="113" t="s">
        <v>109</v>
      </c>
      <c r="D35" s="114" t="s">
        <v>167</v>
      </c>
      <c r="E35" s="114">
        <v>147</v>
      </c>
      <c r="F35" s="115">
        <v>2200</v>
      </c>
      <c r="G35" s="115">
        <v>0</v>
      </c>
      <c r="H35" s="115">
        <f t="shared" si="6"/>
        <v>2200</v>
      </c>
      <c r="I35" s="115">
        <v>1650</v>
      </c>
      <c r="J35" s="115">
        <v>0</v>
      </c>
      <c r="K35" s="115">
        <f t="shared" si="8"/>
        <v>1650</v>
      </c>
      <c r="L35" s="115">
        <v>2459</v>
      </c>
      <c r="M35" s="115">
        <v>0</v>
      </c>
      <c r="N35" s="115">
        <f>+L35+M35</f>
        <v>2459</v>
      </c>
      <c r="O35" s="118"/>
      <c r="P35" s="118"/>
      <c r="Q35" s="118"/>
      <c r="R35" s="115"/>
      <c r="S35" s="115"/>
      <c r="T35" s="121"/>
      <c r="U35" s="118"/>
      <c r="V35" s="118"/>
      <c r="W35" s="118"/>
      <c r="X35" s="118"/>
      <c r="Y35" s="118"/>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118"/>
      <c r="AW35" s="118"/>
      <c r="AX35" s="118"/>
      <c r="AY35" s="118"/>
      <c r="AZ35" s="118"/>
      <c r="BA35" s="118"/>
      <c r="BB35" s="118"/>
      <c r="BC35" s="118"/>
      <c r="BD35" s="118"/>
      <c r="BE35" s="118"/>
      <c r="BF35" s="118"/>
      <c r="BG35" s="118"/>
      <c r="BH35" s="118"/>
      <c r="BI35" s="118"/>
      <c r="BJ35" s="118"/>
      <c r="BK35" s="118"/>
      <c r="BL35" s="118"/>
      <c r="BM35" s="118"/>
      <c r="BN35" s="118"/>
      <c r="BO35" s="118"/>
      <c r="BP35" s="118"/>
      <c r="BQ35" s="118"/>
      <c r="BR35" s="118"/>
      <c r="BS35" s="118"/>
      <c r="BT35" s="118"/>
      <c r="BU35" s="118"/>
      <c r="BV35" s="118"/>
      <c r="BW35" s="118"/>
      <c r="BX35" s="115"/>
      <c r="BY35" s="115"/>
      <c r="BZ35" s="115"/>
      <c r="CA35" s="115"/>
      <c r="CB35" s="115"/>
      <c r="CC35" s="115"/>
      <c r="CD35" s="115"/>
      <c r="CE35" s="115"/>
      <c r="CF35" s="115"/>
      <c r="CG35" s="115"/>
      <c r="CH35" s="115"/>
      <c r="CI35" s="115"/>
      <c r="CJ35" s="115"/>
      <c r="CK35" s="115"/>
      <c r="CL35" s="115"/>
      <c r="CM35" s="115"/>
      <c r="CN35" s="115"/>
      <c r="CO35" s="115"/>
      <c r="CP35" s="115"/>
      <c r="CQ35" s="115"/>
      <c r="CR35" s="115"/>
      <c r="CS35" s="115"/>
      <c r="CT35" s="115"/>
      <c r="CU35" s="115"/>
      <c r="CV35" s="115"/>
      <c r="CW35" s="115"/>
      <c r="CX35" s="115"/>
      <c r="CY35" s="115"/>
      <c r="CZ35" s="115"/>
      <c r="DA35" s="115">
        <f>+MEDIAN(H35,K35,N35)</f>
        <v>2200</v>
      </c>
      <c r="DB35" s="115">
        <f>+AVERAGE(H35,K35,N35)</f>
        <v>2103</v>
      </c>
      <c r="DC35" s="115">
        <f>+STDEV(H35,K35,N35)</f>
        <v>413.13072991487815</v>
      </c>
      <c r="DD35" s="116">
        <f t="shared" si="10"/>
        <v>0.19644827860907188</v>
      </c>
      <c r="DE35" s="115">
        <v>1848.7394957983195</v>
      </c>
      <c r="DF35" s="115">
        <v>0</v>
      </c>
      <c r="DG35" s="175">
        <f t="shared" si="4"/>
        <v>2200</v>
      </c>
      <c r="DH35" s="175">
        <f t="shared" si="0"/>
        <v>323400</v>
      </c>
      <c r="DI35" s="119" t="s">
        <v>227</v>
      </c>
    </row>
    <row r="36" spans="1:113" s="28" customFormat="1" ht="30" x14ac:dyDescent="0.25">
      <c r="A36" s="36">
        <v>28</v>
      </c>
      <c r="B36" s="112" t="s">
        <v>223</v>
      </c>
      <c r="C36" s="113" t="s">
        <v>110</v>
      </c>
      <c r="D36" s="114" t="s">
        <v>168</v>
      </c>
      <c r="E36" s="114">
        <v>40</v>
      </c>
      <c r="F36" s="115"/>
      <c r="G36" s="115"/>
      <c r="H36" s="115"/>
      <c r="I36" s="115"/>
      <c r="J36" s="115"/>
      <c r="K36" s="115"/>
      <c r="L36" s="115"/>
      <c r="M36" s="115"/>
      <c r="N36" s="115"/>
      <c r="O36" s="118"/>
      <c r="P36" s="118"/>
      <c r="Q36" s="118"/>
      <c r="R36" s="115"/>
      <c r="S36" s="115"/>
      <c r="T36" s="115"/>
      <c r="U36" s="118">
        <v>1596.6386554621849</v>
      </c>
      <c r="V36" s="118">
        <f>+U36*0.19</f>
        <v>303.36134453781517</v>
      </c>
      <c r="W36" s="118">
        <f>+U36+V36</f>
        <v>1900</v>
      </c>
      <c r="X36" s="118"/>
      <c r="Y36" s="118">
        <v>1680.6722689075632</v>
      </c>
      <c r="Z36" s="118">
        <f>+Y36*0.19</f>
        <v>319.32773109243703</v>
      </c>
      <c r="AA36" s="118">
        <f>+Y36+Z36</f>
        <v>2000.0000000000002</v>
      </c>
      <c r="AB36" s="118"/>
      <c r="AC36" s="118"/>
      <c r="AD36" s="118"/>
      <c r="AE36" s="118"/>
      <c r="AF36" s="118"/>
      <c r="AG36" s="118"/>
      <c r="AH36" s="118"/>
      <c r="AI36" s="118"/>
      <c r="AJ36" s="115"/>
      <c r="AK36" s="115"/>
      <c r="AL36" s="115"/>
      <c r="AM36" s="115"/>
      <c r="AN36" s="115"/>
      <c r="AO36" s="115"/>
      <c r="AP36" s="115"/>
      <c r="AQ36" s="118"/>
      <c r="AR36" s="118"/>
      <c r="AS36" s="118"/>
      <c r="AT36" s="118"/>
      <c r="AU36" s="118"/>
      <c r="AV36" s="118"/>
      <c r="AW36" s="118"/>
      <c r="AX36" s="118"/>
      <c r="AY36" s="118"/>
      <c r="AZ36" s="118"/>
      <c r="BA36" s="118"/>
      <c r="BB36" s="118"/>
      <c r="BC36" s="118"/>
      <c r="BD36" s="118"/>
      <c r="BE36" s="118"/>
      <c r="BF36" s="118"/>
      <c r="BG36" s="118"/>
      <c r="BH36" s="118"/>
      <c r="BI36" s="118"/>
      <c r="BJ36" s="118"/>
      <c r="BK36" s="118"/>
      <c r="BL36" s="118"/>
      <c r="BM36" s="118"/>
      <c r="BN36" s="118"/>
      <c r="BO36" s="118"/>
      <c r="BP36" s="118"/>
      <c r="BQ36" s="118"/>
      <c r="BR36" s="118"/>
      <c r="BS36" s="118"/>
      <c r="BT36" s="118"/>
      <c r="BU36" s="118"/>
      <c r="BV36" s="118"/>
      <c r="BW36" s="118"/>
      <c r="BX36" s="115"/>
      <c r="BY36" s="115"/>
      <c r="BZ36" s="115"/>
      <c r="CA36" s="115"/>
      <c r="CB36" s="115"/>
      <c r="CC36" s="115"/>
      <c r="CD36" s="115"/>
      <c r="CE36" s="115"/>
      <c r="CF36" s="115"/>
      <c r="CG36" s="115"/>
      <c r="CH36" s="115"/>
      <c r="CI36" s="115"/>
      <c r="CJ36" s="115"/>
      <c r="CK36" s="115"/>
      <c r="CL36" s="115"/>
      <c r="CM36" s="115"/>
      <c r="CN36" s="115"/>
      <c r="CO36" s="115"/>
      <c r="CP36" s="115"/>
      <c r="CQ36" s="115"/>
      <c r="CR36" s="115"/>
      <c r="CS36" s="115"/>
      <c r="CT36" s="115"/>
      <c r="CU36" s="115"/>
      <c r="CV36" s="115"/>
      <c r="CW36" s="115"/>
      <c r="CX36" s="115"/>
      <c r="CY36" s="115"/>
      <c r="CZ36" s="115"/>
      <c r="DA36" s="115">
        <f>+MEDIAN(W36,AA36)</f>
        <v>1950</v>
      </c>
      <c r="DB36" s="115">
        <f>+AVERAGE(W36,AA36)</f>
        <v>1950</v>
      </c>
      <c r="DC36" s="115">
        <f>+STDEV(W36,AA36)</f>
        <v>70.710678118654911</v>
      </c>
      <c r="DD36" s="116">
        <f t="shared" si="10"/>
        <v>3.6261886214694825E-2</v>
      </c>
      <c r="DE36" s="115">
        <v>1638.6554621848741</v>
      </c>
      <c r="DF36" s="115">
        <f t="shared" si="9"/>
        <v>311.3445378151261</v>
      </c>
      <c r="DG36" s="175">
        <f t="shared" si="4"/>
        <v>1950</v>
      </c>
      <c r="DH36" s="175">
        <f t="shared" si="0"/>
        <v>78000</v>
      </c>
      <c r="DI36" s="119" t="s">
        <v>228</v>
      </c>
    </row>
    <row r="37" spans="1:113" s="28" customFormat="1" ht="30" x14ac:dyDescent="0.25">
      <c r="A37" s="36">
        <v>29</v>
      </c>
      <c r="B37" s="112" t="s">
        <v>30</v>
      </c>
      <c r="C37" s="113" t="s">
        <v>111</v>
      </c>
      <c r="D37" s="114" t="s">
        <v>167</v>
      </c>
      <c r="E37" s="114">
        <v>6000</v>
      </c>
      <c r="F37" s="115"/>
      <c r="G37" s="115"/>
      <c r="H37" s="115"/>
      <c r="I37" s="115"/>
      <c r="J37" s="115"/>
      <c r="K37" s="115"/>
      <c r="L37" s="115"/>
      <c r="M37" s="115"/>
      <c r="N37" s="115"/>
      <c r="O37" s="118">
        <v>110.08403361344538</v>
      </c>
      <c r="P37" s="118">
        <f>+O37*0.19</f>
        <v>20.915966386554622</v>
      </c>
      <c r="Q37" s="118">
        <f>+O37+P37</f>
        <v>131</v>
      </c>
      <c r="R37" s="115"/>
      <c r="S37" s="115"/>
      <c r="T37" s="115"/>
      <c r="U37" s="118"/>
      <c r="V37" s="118"/>
      <c r="W37" s="118"/>
      <c r="X37" s="118">
        <v>120</v>
      </c>
      <c r="Y37" s="118"/>
      <c r="Z37" s="118"/>
      <c r="AA37" s="118"/>
      <c r="AB37" s="118">
        <v>88</v>
      </c>
      <c r="AC37" s="118">
        <f>+AB37*0.19</f>
        <v>16.72</v>
      </c>
      <c r="AD37" s="118">
        <f>+AB37+AC37</f>
        <v>104.72</v>
      </c>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118"/>
      <c r="BI37" s="118"/>
      <c r="BJ37" s="118"/>
      <c r="BK37" s="118"/>
      <c r="BL37" s="118"/>
      <c r="BM37" s="118"/>
      <c r="BN37" s="118"/>
      <c r="BO37" s="118"/>
      <c r="BP37" s="118"/>
      <c r="BQ37" s="118"/>
      <c r="BR37" s="118"/>
      <c r="BS37" s="118"/>
      <c r="BT37" s="118"/>
      <c r="BU37" s="118"/>
      <c r="BV37" s="118"/>
      <c r="BW37" s="118"/>
      <c r="BX37" s="115"/>
      <c r="BY37" s="115"/>
      <c r="BZ37" s="115"/>
      <c r="CA37" s="115"/>
      <c r="CB37" s="115"/>
      <c r="CC37" s="115"/>
      <c r="CD37" s="115"/>
      <c r="CE37" s="115"/>
      <c r="CF37" s="115"/>
      <c r="CG37" s="115"/>
      <c r="CH37" s="115"/>
      <c r="CI37" s="115"/>
      <c r="CJ37" s="115"/>
      <c r="CK37" s="115"/>
      <c r="CL37" s="115"/>
      <c r="CM37" s="115"/>
      <c r="CN37" s="115"/>
      <c r="CO37" s="115"/>
      <c r="CP37" s="115"/>
      <c r="CQ37" s="115"/>
      <c r="CR37" s="115"/>
      <c r="CS37" s="115"/>
      <c r="CT37" s="115"/>
      <c r="CU37" s="115"/>
      <c r="CV37" s="115"/>
      <c r="CW37" s="115"/>
      <c r="CX37" s="115"/>
      <c r="CY37" s="115"/>
      <c r="CZ37" s="115"/>
      <c r="DA37" s="115">
        <f>+MEDIAN(Q37,X37,AD37)</f>
        <v>120</v>
      </c>
      <c r="DB37" s="115">
        <f>+AVERAGE(Q37,X37,AD37)</f>
        <v>118.57333333333334</v>
      </c>
      <c r="DC37" s="115">
        <f>+STDEV(Q37,X37,AD37)</f>
        <v>13.197959438236403</v>
      </c>
      <c r="DD37" s="116">
        <f t="shared" si="10"/>
        <v>0.1113063035947071</v>
      </c>
      <c r="DE37" s="115">
        <v>100</v>
      </c>
      <c r="DF37" s="115">
        <f t="shared" si="9"/>
        <v>19</v>
      </c>
      <c r="DG37" s="175">
        <f t="shared" si="4"/>
        <v>119</v>
      </c>
      <c r="DH37" s="175">
        <f t="shared" si="0"/>
        <v>714000</v>
      </c>
      <c r="DI37" s="119" t="s">
        <v>228</v>
      </c>
    </row>
    <row r="38" spans="1:113" s="28" customFormat="1" ht="30" x14ac:dyDescent="0.25">
      <c r="A38" s="36">
        <v>30</v>
      </c>
      <c r="B38" s="112" t="s">
        <v>31</v>
      </c>
      <c r="C38" s="113" t="s">
        <v>111</v>
      </c>
      <c r="D38" s="114" t="s">
        <v>167</v>
      </c>
      <c r="E38" s="114">
        <v>2000</v>
      </c>
      <c r="F38" s="115"/>
      <c r="G38" s="115"/>
      <c r="H38" s="115"/>
      <c r="I38" s="115"/>
      <c r="J38" s="115"/>
      <c r="K38" s="115"/>
      <c r="L38" s="115"/>
      <c r="M38" s="115"/>
      <c r="N38" s="115"/>
      <c r="O38" s="118">
        <v>110.08403361344538</v>
      </c>
      <c r="P38" s="118">
        <f>+O38*0.19</f>
        <v>20.915966386554622</v>
      </c>
      <c r="Q38" s="118">
        <f>+O38+P38</f>
        <v>131</v>
      </c>
      <c r="R38" s="115"/>
      <c r="S38" s="115"/>
      <c r="T38" s="115"/>
      <c r="U38" s="118"/>
      <c r="V38" s="118"/>
      <c r="W38" s="118"/>
      <c r="X38" s="118">
        <v>120</v>
      </c>
      <c r="Y38" s="118"/>
      <c r="Z38" s="118"/>
      <c r="AA38" s="118"/>
      <c r="AB38" s="118">
        <v>154</v>
      </c>
      <c r="AC38" s="118">
        <f>+AB38*0.19</f>
        <v>29.26</v>
      </c>
      <c r="AD38" s="118">
        <f>+AB38+AC38</f>
        <v>183.26</v>
      </c>
      <c r="AE38" s="118"/>
      <c r="AF38" s="118"/>
      <c r="AG38" s="118"/>
      <c r="AH38" s="118"/>
      <c r="AI38" s="118"/>
      <c r="AJ38" s="118"/>
      <c r="AK38" s="118"/>
      <c r="AL38" s="118"/>
      <c r="AM38" s="118"/>
      <c r="AN38" s="118"/>
      <c r="AO38" s="118"/>
      <c r="AP38" s="118"/>
      <c r="AQ38" s="118"/>
      <c r="AR38" s="118"/>
      <c r="AS38" s="118"/>
      <c r="AT38" s="118"/>
      <c r="AU38" s="118"/>
      <c r="AV38" s="118"/>
      <c r="AW38" s="118"/>
      <c r="AX38" s="118"/>
      <c r="AY38" s="118"/>
      <c r="AZ38" s="118"/>
      <c r="BA38" s="118"/>
      <c r="BB38" s="118"/>
      <c r="BC38" s="118"/>
      <c r="BD38" s="118"/>
      <c r="BE38" s="118"/>
      <c r="BF38" s="118"/>
      <c r="BG38" s="118"/>
      <c r="BH38" s="118"/>
      <c r="BI38" s="118"/>
      <c r="BJ38" s="118"/>
      <c r="BK38" s="118"/>
      <c r="BL38" s="118"/>
      <c r="BM38" s="118"/>
      <c r="BN38" s="118"/>
      <c r="BO38" s="118"/>
      <c r="BP38" s="118"/>
      <c r="BQ38" s="118"/>
      <c r="BR38" s="118"/>
      <c r="BS38" s="118"/>
      <c r="BT38" s="118"/>
      <c r="BU38" s="118"/>
      <c r="BV38" s="118"/>
      <c r="BW38" s="118"/>
      <c r="BX38" s="115"/>
      <c r="BY38" s="115"/>
      <c r="BZ38" s="115"/>
      <c r="CA38" s="115"/>
      <c r="CB38" s="115"/>
      <c r="CC38" s="115"/>
      <c r="CD38" s="115"/>
      <c r="CE38" s="115"/>
      <c r="CF38" s="115"/>
      <c r="CG38" s="115"/>
      <c r="CH38" s="115"/>
      <c r="CI38" s="115"/>
      <c r="CJ38" s="115"/>
      <c r="CK38" s="115"/>
      <c r="CL38" s="115"/>
      <c r="CM38" s="115"/>
      <c r="CN38" s="115"/>
      <c r="CO38" s="115"/>
      <c r="CP38" s="115"/>
      <c r="CQ38" s="115"/>
      <c r="CR38" s="115"/>
      <c r="CS38" s="115"/>
      <c r="CT38" s="115"/>
      <c r="CU38" s="115"/>
      <c r="CV38" s="115"/>
      <c r="CW38" s="115"/>
      <c r="CX38" s="115"/>
      <c r="CY38" s="115"/>
      <c r="CZ38" s="115"/>
      <c r="DA38" s="115">
        <f>+MEDIAN(Q38,X38,AD38)</f>
        <v>131</v>
      </c>
      <c r="DB38" s="115">
        <f>+AVERAGE(Q38,X38,AD38)</f>
        <v>144.75333333333333</v>
      </c>
      <c r="DC38" s="115">
        <f>+STDEV(Q38,X38,AD38)</f>
        <v>33.798262282746613</v>
      </c>
      <c r="DD38" s="116">
        <f t="shared" si="10"/>
        <v>0.23348866312402672</v>
      </c>
      <c r="DE38" s="115">
        <v>110.08403361344538</v>
      </c>
      <c r="DF38" s="115">
        <f t="shared" si="9"/>
        <v>20.915966386554622</v>
      </c>
      <c r="DG38" s="175">
        <f t="shared" si="4"/>
        <v>131</v>
      </c>
      <c r="DH38" s="175">
        <f t="shared" si="0"/>
        <v>262000</v>
      </c>
      <c r="DI38" s="119" t="s">
        <v>227</v>
      </c>
    </row>
    <row r="39" spans="1:113" s="28" customFormat="1" ht="30" x14ac:dyDescent="0.25">
      <c r="A39" s="36">
        <v>31</v>
      </c>
      <c r="B39" s="112" t="s">
        <v>32</v>
      </c>
      <c r="C39" s="113" t="s">
        <v>111</v>
      </c>
      <c r="D39" s="114" t="s">
        <v>167</v>
      </c>
      <c r="E39" s="114">
        <v>6000</v>
      </c>
      <c r="F39" s="115"/>
      <c r="G39" s="115"/>
      <c r="H39" s="115"/>
      <c r="I39" s="115"/>
      <c r="J39" s="115"/>
      <c r="K39" s="115"/>
      <c r="L39" s="115"/>
      <c r="M39" s="115"/>
      <c r="N39" s="115"/>
      <c r="O39" s="118">
        <v>110.08403361344538</v>
      </c>
      <c r="P39" s="118">
        <f>+O39*0.19</f>
        <v>20.915966386554622</v>
      </c>
      <c r="Q39" s="118">
        <f>+O39+P39</f>
        <v>131</v>
      </c>
      <c r="R39" s="115"/>
      <c r="S39" s="115"/>
      <c r="T39" s="115"/>
      <c r="U39" s="118"/>
      <c r="V39" s="118"/>
      <c r="W39" s="118"/>
      <c r="X39" s="118">
        <v>120</v>
      </c>
      <c r="Y39" s="118"/>
      <c r="Z39" s="118"/>
      <c r="AA39" s="118"/>
      <c r="AB39" s="118">
        <v>88</v>
      </c>
      <c r="AC39" s="118">
        <f>+AB39*0.19</f>
        <v>16.72</v>
      </c>
      <c r="AD39" s="118">
        <f>+AB39+AC39</f>
        <v>104.72</v>
      </c>
      <c r="AE39" s="118"/>
      <c r="AF39" s="118"/>
      <c r="AG39" s="118"/>
      <c r="AH39" s="118"/>
      <c r="AI39" s="118"/>
      <c r="AJ39" s="118"/>
      <c r="AK39" s="118"/>
      <c r="AL39" s="118"/>
      <c r="AM39" s="118"/>
      <c r="AN39" s="118"/>
      <c r="AO39" s="118"/>
      <c r="AP39" s="118"/>
      <c r="AQ39" s="118"/>
      <c r="AR39" s="118"/>
      <c r="AS39" s="118"/>
      <c r="AT39" s="118"/>
      <c r="AU39" s="118"/>
      <c r="AV39" s="118"/>
      <c r="AW39" s="118"/>
      <c r="AX39" s="118"/>
      <c r="AY39" s="118"/>
      <c r="AZ39" s="118"/>
      <c r="BA39" s="118"/>
      <c r="BB39" s="118"/>
      <c r="BC39" s="118"/>
      <c r="BD39" s="118"/>
      <c r="BE39" s="118"/>
      <c r="BF39" s="118"/>
      <c r="BG39" s="118"/>
      <c r="BH39" s="118"/>
      <c r="BI39" s="118"/>
      <c r="BJ39" s="118"/>
      <c r="BK39" s="118"/>
      <c r="BL39" s="118"/>
      <c r="BM39" s="118"/>
      <c r="BN39" s="118"/>
      <c r="BO39" s="118"/>
      <c r="BP39" s="118"/>
      <c r="BQ39" s="118"/>
      <c r="BR39" s="118"/>
      <c r="BS39" s="118"/>
      <c r="BT39" s="118"/>
      <c r="BU39" s="118"/>
      <c r="BV39" s="118"/>
      <c r="BW39" s="118"/>
      <c r="BX39" s="115"/>
      <c r="BY39" s="115"/>
      <c r="BZ39" s="115"/>
      <c r="CA39" s="115"/>
      <c r="CB39" s="115"/>
      <c r="CC39" s="115"/>
      <c r="CD39" s="115"/>
      <c r="CE39" s="115"/>
      <c r="CF39" s="115"/>
      <c r="CG39" s="115"/>
      <c r="CH39" s="115"/>
      <c r="CI39" s="115"/>
      <c r="CJ39" s="115"/>
      <c r="CK39" s="115"/>
      <c r="CL39" s="115"/>
      <c r="CM39" s="115"/>
      <c r="CN39" s="115"/>
      <c r="CO39" s="115"/>
      <c r="CP39" s="115"/>
      <c r="CQ39" s="115"/>
      <c r="CR39" s="115"/>
      <c r="CS39" s="115"/>
      <c r="CT39" s="115"/>
      <c r="CU39" s="115"/>
      <c r="CV39" s="115"/>
      <c r="CW39" s="115"/>
      <c r="CX39" s="115"/>
      <c r="CY39" s="115"/>
      <c r="CZ39" s="115"/>
      <c r="DA39" s="115">
        <f>+MEDIAN(Q39,X39,AD39)</f>
        <v>120</v>
      </c>
      <c r="DB39" s="115">
        <f>+AVERAGE(Q39,X39,AD39)</f>
        <v>118.57333333333334</v>
      </c>
      <c r="DC39" s="115">
        <f>+STDEV(Q39,X39,AD39)</f>
        <v>13.197959438236403</v>
      </c>
      <c r="DD39" s="116">
        <f t="shared" si="10"/>
        <v>0.1113063035947071</v>
      </c>
      <c r="DE39" s="115">
        <v>100</v>
      </c>
      <c r="DF39" s="115">
        <f t="shared" si="9"/>
        <v>19</v>
      </c>
      <c r="DG39" s="175">
        <f t="shared" si="4"/>
        <v>119</v>
      </c>
      <c r="DH39" s="175">
        <f t="shared" si="0"/>
        <v>714000</v>
      </c>
      <c r="DI39" s="119" t="s">
        <v>228</v>
      </c>
    </row>
    <row r="40" spans="1:113" s="28" customFormat="1" ht="30" x14ac:dyDescent="0.25">
      <c r="A40" s="36">
        <v>32</v>
      </c>
      <c r="B40" s="113" t="s">
        <v>33</v>
      </c>
      <c r="C40" s="113" t="s">
        <v>111</v>
      </c>
      <c r="D40" s="114" t="s">
        <v>167</v>
      </c>
      <c r="E40" s="114">
        <v>500</v>
      </c>
      <c r="F40" s="115"/>
      <c r="G40" s="115"/>
      <c r="H40" s="115"/>
      <c r="I40" s="115"/>
      <c r="J40" s="115"/>
      <c r="K40" s="115"/>
      <c r="L40" s="115"/>
      <c r="M40" s="115"/>
      <c r="N40" s="115"/>
      <c r="O40" s="122">
        <v>110.08403361344538</v>
      </c>
      <c r="P40" s="122">
        <f>+O40*0.19</f>
        <v>20.915966386554622</v>
      </c>
      <c r="Q40" s="122">
        <f>+O40+P40</f>
        <v>131</v>
      </c>
      <c r="R40" s="115"/>
      <c r="S40" s="115"/>
      <c r="T40" s="115"/>
      <c r="U40" s="122"/>
      <c r="V40" s="122"/>
      <c r="W40" s="122"/>
      <c r="X40" s="122">
        <v>120</v>
      </c>
      <c r="Y40" s="118"/>
      <c r="Z40" s="118"/>
      <c r="AA40" s="118"/>
      <c r="AB40" s="118"/>
      <c r="AC40" s="118"/>
      <c r="AD40" s="118"/>
      <c r="AE40" s="118"/>
      <c r="AF40" s="118"/>
      <c r="AG40" s="118"/>
      <c r="AH40" s="118"/>
      <c r="AI40" s="118"/>
      <c r="AJ40" s="118"/>
      <c r="AK40" s="118"/>
      <c r="AL40" s="118"/>
      <c r="AM40" s="118"/>
      <c r="AN40" s="118"/>
      <c r="AO40" s="118"/>
      <c r="AP40" s="118"/>
      <c r="AQ40" s="118"/>
      <c r="AR40" s="118"/>
      <c r="AS40" s="118"/>
      <c r="AT40" s="118"/>
      <c r="AU40" s="118"/>
      <c r="AV40" s="118"/>
      <c r="AW40" s="118"/>
      <c r="AX40" s="118"/>
      <c r="AY40" s="118"/>
      <c r="AZ40" s="118"/>
      <c r="BA40" s="118"/>
      <c r="BB40" s="118"/>
      <c r="BC40" s="118"/>
      <c r="BD40" s="118"/>
      <c r="BE40" s="118"/>
      <c r="BF40" s="118"/>
      <c r="BG40" s="118"/>
      <c r="BH40" s="118"/>
      <c r="BI40" s="118"/>
      <c r="BJ40" s="118"/>
      <c r="BK40" s="118"/>
      <c r="BL40" s="118"/>
      <c r="BM40" s="118"/>
      <c r="BN40" s="118"/>
      <c r="BO40" s="118"/>
      <c r="BP40" s="118"/>
      <c r="BQ40" s="118"/>
      <c r="BR40" s="118"/>
      <c r="BS40" s="118"/>
      <c r="BT40" s="118"/>
      <c r="BU40" s="118"/>
      <c r="BV40" s="118"/>
      <c r="BW40" s="118"/>
      <c r="BX40" s="115"/>
      <c r="BY40" s="115"/>
      <c r="BZ40" s="115"/>
      <c r="CA40" s="115"/>
      <c r="CB40" s="115"/>
      <c r="CC40" s="115"/>
      <c r="CD40" s="115"/>
      <c r="CE40" s="115"/>
      <c r="CF40" s="115"/>
      <c r="CG40" s="115"/>
      <c r="CH40" s="115"/>
      <c r="CI40" s="115"/>
      <c r="CJ40" s="115"/>
      <c r="CK40" s="115"/>
      <c r="CL40" s="115"/>
      <c r="CM40" s="115"/>
      <c r="CN40" s="115"/>
      <c r="CO40" s="115"/>
      <c r="CP40" s="115"/>
      <c r="CQ40" s="115"/>
      <c r="CR40" s="115"/>
      <c r="CS40" s="115"/>
      <c r="CT40" s="115"/>
      <c r="CU40" s="115"/>
      <c r="CV40" s="115"/>
      <c r="CW40" s="115"/>
      <c r="CX40" s="115"/>
      <c r="CY40" s="115"/>
      <c r="CZ40" s="115"/>
      <c r="DA40" s="115">
        <f>+MEDIAN(Q40,X40)</f>
        <v>125.5</v>
      </c>
      <c r="DB40" s="115">
        <f>+AVERAGE(Q40,X40)</f>
        <v>125.5</v>
      </c>
      <c r="DC40" s="115">
        <f>+STDEV(Q40,X40)</f>
        <v>7.7781745930520225</v>
      </c>
      <c r="DD40" s="116">
        <f t="shared" si="10"/>
        <v>6.1977486797227269E-2</v>
      </c>
      <c r="DE40" s="115">
        <v>105.88235294117648</v>
      </c>
      <c r="DF40" s="115">
        <f t="shared" si="9"/>
        <v>20.117647058823533</v>
      </c>
      <c r="DG40" s="175">
        <f t="shared" si="4"/>
        <v>126</v>
      </c>
      <c r="DH40" s="175">
        <f t="shared" si="0"/>
        <v>63000</v>
      </c>
      <c r="DI40" s="119" t="s">
        <v>228</v>
      </c>
    </row>
    <row r="41" spans="1:113" s="28" customFormat="1" ht="30" x14ac:dyDescent="0.25">
      <c r="A41" s="36">
        <v>33</v>
      </c>
      <c r="B41" s="112" t="s">
        <v>34</v>
      </c>
      <c r="C41" s="113" t="s">
        <v>111</v>
      </c>
      <c r="D41" s="114" t="s">
        <v>167</v>
      </c>
      <c r="E41" s="114">
        <v>6000</v>
      </c>
      <c r="F41" s="115"/>
      <c r="G41" s="115"/>
      <c r="H41" s="115"/>
      <c r="I41" s="115"/>
      <c r="J41" s="115"/>
      <c r="K41" s="115"/>
      <c r="L41" s="115"/>
      <c r="M41" s="115"/>
      <c r="N41" s="115"/>
      <c r="O41" s="115">
        <v>110.08403361344538</v>
      </c>
      <c r="P41" s="115">
        <f t="shared" ref="P41:P50" si="11">+O41*0.19</f>
        <v>20.915966386554622</v>
      </c>
      <c r="Q41" s="115">
        <f t="shared" ref="Q41:Q50" si="12">+O41+P41</f>
        <v>131</v>
      </c>
      <c r="R41" s="115"/>
      <c r="S41" s="115"/>
      <c r="T41" s="115"/>
      <c r="U41" s="115"/>
      <c r="V41" s="115"/>
      <c r="W41" s="115"/>
      <c r="X41" s="115">
        <v>120</v>
      </c>
      <c r="Y41" s="118"/>
      <c r="Z41" s="118"/>
      <c r="AA41" s="118"/>
      <c r="AB41" s="118">
        <v>88</v>
      </c>
      <c r="AC41" s="118">
        <f t="shared" ref="AC41:AC50" si="13">+AB41*0.19</f>
        <v>16.72</v>
      </c>
      <c r="AD41" s="118">
        <f t="shared" ref="AD41:AD50" si="14">+AB41+AC41</f>
        <v>104.72</v>
      </c>
      <c r="AE41" s="118"/>
      <c r="AF41" s="118"/>
      <c r="AG41" s="118"/>
      <c r="AH41" s="118"/>
      <c r="AI41" s="118"/>
      <c r="AJ41" s="118"/>
      <c r="AK41" s="118"/>
      <c r="AL41" s="118"/>
      <c r="AM41" s="118"/>
      <c r="AN41" s="118"/>
      <c r="AO41" s="118"/>
      <c r="AP41" s="118"/>
      <c r="AQ41" s="118"/>
      <c r="AR41" s="118"/>
      <c r="AS41" s="118"/>
      <c r="AT41" s="118"/>
      <c r="AU41" s="118"/>
      <c r="AV41" s="118"/>
      <c r="AW41" s="118"/>
      <c r="AX41" s="118"/>
      <c r="AY41" s="118"/>
      <c r="AZ41" s="118"/>
      <c r="BA41" s="118"/>
      <c r="BB41" s="118"/>
      <c r="BC41" s="118"/>
      <c r="BD41" s="118"/>
      <c r="BE41" s="118"/>
      <c r="BF41" s="118"/>
      <c r="BG41" s="118"/>
      <c r="BH41" s="118"/>
      <c r="BI41" s="118"/>
      <c r="BJ41" s="118"/>
      <c r="BK41" s="118"/>
      <c r="BL41" s="118"/>
      <c r="BM41" s="118"/>
      <c r="BN41" s="118"/>
      <c r="BO41" s="118"/>
      <c r="BP41" s="118"/>
      <c r="BQ41" s="118"/>
      <c r="BR41" s="118"/>
      <c r="BS41" s="118"/>
      <c r="BT41" s="118"/>
      <c r="BU41" s="118"/>
      <c r="BV41" s="118"/>
      <c r="BW41" s="118"/>
      <c r="BX41" s="115"/>
      <c r="BY41" s="115"/>
      <c r="BZ41" s="115"/>
      <c r="CA41" s="115"/>
      <c r="CB41" s="115"/>
      <c r="CC41" s="115"/>
      <c r="CD41" s="115"/>
      <c r="CE41" s="115"/>
      <c r="CF41" s="115"/>
      <c r="CG41" s="115"/>
      <c r="CH41" s="115"/>
      <c r="CI41" s="115"/>
      <c r="CJ41" s="115"/>
      <c r="CK41" s="115"/>
      <c r="CL41" s="115"/>
      <c r="CM41" s="115"/>
      <c r="CN41" s="115"/>
      <c r="CO41" s="115"/>
      <c r="CP41" s="115"/>
      <c r="CQ41" s="115"/>
      <c r="CR41" s="115"/>
      <c r="CS41" s="115"/>
      <c r="CT41" s="115"/>
      <c r="CU41" s="115"/>
      <c r="CV41" s="115"/>
      <c r="CW41" s="115"/>
      <c r="CX41" s="115"/>
      <c r="CY41" s="115"/>
      <c r="CZ41" s="115"/>
      <c r="DA41" s="115">
        <f t="shared" ref="DA41:DA50" si="15">+MEDIAN(Q41,X41,AD41)</f>
        <v>120</v>
      </c>
      <c r="DB41" s="115">
        <f t="shared" ref="DB41:DB50" si="16">+AVERAGE(Q41,X41,AD41)</f>
        <v>118.57333333333334</v>
      </c>
      <c r="DC41" s="115">
        <f t="shared" ref="DC41:DC50" si="17">+STDEV(Q41,X41,AD41)</f>
        <v>13.197959438236403</v>
      </c>
      <c r="DD41" s="116">
        <f t="shared" si="10"/>
        <v>0.1113063035947071</v>
      </c>
      <c r="DE41" s="115">
        <v>100</v>
      </c>
      <c r="DF41" s="115">
        <f t="shared" si="9"/>
        <v>19</v>
      </c>
      <c r="DG41" s="175">
        <f t="shared" si="4"/>
        <v>119</v>
      </c>
      <c r="DH41" s="175">
        <f t="shared" ref="DH41:DH72" si="18">+DG41*E41</f>
        <v>714000</v>
      </c>
      <c r="DI41" s="119" t="s">
        <v>228</v>
      </c>
    </row>
    <row r="42" spans="1:113" s="28" customFormat="1" ht="30" x14ac:dyDescent="0.25">
      <c r="A42" s="36">
        <v>34</v>
      </c>
      <c r="B42" s="112" t="s">
        <v>35</v>
      </c>
      <c r="C42" s="113" t="s">
        <v>111</v>
      </c>
      <c r="D42" s="114" t="s">
        <v>167</v>
      </c>
      <c r="E42" s="114">
        <v>2000</v>
      </c>
      <c r="F42" s="115"/>
      <c r="G42" s="115"/>
      <c r="H42" s="115"/>
      <c r="I42" s="115"/>
      <c r="J42" s="115"/>
      <c r="K42" s="115"/>
      <c r="L42" s="115"/>
      <c r="M42" s="115"/>
      <c r="N42" s="115"/>
      <c r="O42" s="118">
        <v>110.08403361344538</v>
      </c>
      <c r="P42" s="118">
        <f t="shared" si="11"/>
        <v>20.915966386554622</v>
      </c>
      <c r="Q42" s="118">
        <f t="shared" si="12"/>
        <v>131</v>
      </c>
      <c r="R42" s="115"/>
      <c r="S42" s="115"/>
      <c r="T42" s="115"/>
      <c r="U42" s="118"/>
      <c r="V42" s="118"/>
      <c r="W42" s="118"/>
      <c r="X42" s="118">
        <v>120</v>
      </c>
      <c r="Y42" s="118"/>
      <c r="Z42" s="118"/>
      <c r="AA42" s="118"/>
      <c r="AB42" s="118">
        <v>154</v>
      </c>
      <c r="AC42" s="118">
        <f t="shared" si="13"/>
        <v>29.26</v>
      </c>
      <c r="AD42" s="118">
        <f t="shared" si="14"/>
        <v>183.26</v>
      </c>
      <c r="AE42" s="118"/>
      <c r="AF42" s="118"/>
      <c r="AG42" s="118"/>
      <c r="AH42" s="118"/>
      <c r="AI42" s="118"/>
      <c r="AJ42" s="118"/>
      <c r="AK42" s="118"/>
      <c r="AL42" s="118"/>
      <c r="AM42" s="118"/>
      <c r="AN42" s="118"/>
      <c r="AO42" s="118"/>
      <c r="AP42" s="118"/>
      <c r="AQ42" s="118"/>
      <c r="AR42" s="118"/>
      <c r="AS42" s="118"/>
      <c r="AT42" s="118"/>
      <c r="AU42" s="118"/>
      <c r="AV42" s="118"/>
      <c r="AW42" s="118"/>
      <c r="AX42" s="118"/>
      <c r="AY42" s="118"/>
      <c r="AZ42" s="118"/>
      <c r="BA42" s="118"/>
      <c r="BB42" s="118"/>
      <c r="BC42" s="118"/>
      <c r="BD42" s="118"/>
      <c r="BE42" s="118"/>
      <c r="BF42" s="118"/>
      <c r="BG42" s="118"/>
      <c r="BH42" s="118"/>
      <c r="BI42" s="118"/>
      <c r="BJ42" s="118"/>
      <c r="BK42" s="118"/>
      <c r="BL42" s="118"/>
      <c r="BM42" s="118"/>
      <c r="BN42" s="118"/>
      <c r="BO42" s="118"/>
      <c r="BP42" s="118"/>
      <c r="BQ42" s="118"/>
      <c r="BR42" s="118"/>
      <c r="BS42" s="118"/>
      <c r="BT42" s="118"/>
      <c r="BU42" s="118"/>
      <c r="BV42" s="118"/>
      <c r="BW42" s="118"/>
      <c r="BX42" s="115"/>
      <c r="BY42" s="115"/>
      <c r="BZ42" s="115"/>
      <c r="CA42" s="115"/>
      <c r="CB42" s="115"/>
      <c r="CC42" s="115"/>
      <c r="CD42" s="115"/>
      <c r="CE42" s="115"/>
      <c r="CF42" s="115"/>
      <c r="CG42" s="115"/>
      <c r="CH42" s="115"/>
      <c r="CI42" s="115"/>
      <c r="CJ42" s="115"/>
      <c r="CK42" s="115"/>
      <c r="CL42" s="115"/>
      <c r="CM42" s="115"/>
      <c r="CN42" s="115"/>
      <c r="CO42" s="115"/>
      <c r="CP42" s="115"/>
      <c r="CQ42" s="115"/>
      <c r="CR42" s="115"/>
      <c r="CS42" s="115"/>
      <c r="CT42" s="115"/>
      <c r="CU42" s="115"/>
      <c r="CV42" s="115"/>
      <c r="CW42" s="115"/>
      <c r="CX42" s="115"/>
      <c r="CY42" s="115"/>
      <c r="CZ42" s="115"/>
      <c r="DA42" s="115">
        <f t="shared" si="15"/>
        <v>131</v>
      </c>
      <c r="DB42" s="115">
        <f t="shared" si="16"/>
        <v>144.75333333333333</v>
      </c>
      <c r="DC42" s="115">
        <f t="shared" si="17"/>
        <v>33.798262282746613</v>
      </c>
      <c r="DD42" s="116">
        <f t="shared" si="10"/>
        <v>0.23348866312402672</v>
      </c>
      <c r="DE42" s="115">
        <v>110.08403361344538</v>
      </c>
      <c r="DF42" s="115">
        <f t="shared" si="9"/>
        <v>20.915966386554622</v>
      </c>
      <c r="DG42" s="175">
        <f t="shared" si="4"/>
        <v>131</v>
      </c>
      <c r="DH42" s="175">
        <f t="shared" si="18"/>
        <v>262000</v>
      </c>
      <c r="DI42" s="119" t="s">
        <v>227</v>
      </c>
    </row>
    <row r="43" spans="1:113" s="28" customFormat="1" ht="30" x14ac:dyDescent="0.25">
      <c r="A43" s="36">
        <v>35</v>
      </c>
      <c r="B43" s="112" t="s">
        <v>224</v>
      </c>
      <c r="C43" s="113" t="s">
        <v>111</v>
      </c>
      <c r="D43" s="114" t="s">
        <v>167</v>
      </c>
      <c r="E43" s="114">
        <v>6000</v>
      </c>
      <c r="F43" s="115"/>
      <c r="G43" s="115"/>
      <c r="H43" s="115"/>
      <c r="I43" s="115"/>
      <c r="J43" s="115"/>
      <c r="K43" s="115"/>
      <c r="L43" s="115"/>
      <c r="M43" s="115"/>
      <c r="N43" s="115"/>
      <c r="O43" s="118">
        <v>110.08403361344538</v>
      </c>
      <c r="P43" s="118">
        <f t="shared" si="11"/>
        <v>20.915966386554622</v>
      </c>
      <c r="Q43" s="118">
        <f t="shared" si="12"/>
        <v>131</v>
      </c>
      <c r="R43" s="115"/>
      <c r="S43" s="115"/>
      <c r="T43" s="115"/>
      <c r="U43" s="118"/>
      <c r="V43" s="118"/>
      <c r="W43" s="118"/>
      <c r="X43" s="118">
        <v>120</v>
      </c>
      <c r="Y43" s="118"/>
      <c r="Z43" s="118"/>
      <c r="AA43" s="118"/>
      <c r="AB43" s="118">
        <v>88</v>
      </c>
      <c r="AC43" s="118">
        <f t="shared" si="13"/>
        <v>16.72</v>
      </c>
      <c r="AD43" s="118">
        <f t="shared" si="14"/>
        <v>104.72</v>
      </c>
      <c r="AE43" s="118"/>
      <c r="AF43" s="118"/>
      <c r="AG43" s="118"/>
      <c r="AH43" s="118"/>
      <c r="AI43" s="118"/>
      <c r="AJ43" s="118"/>
      <c r="AK43" s="118"/>
      <c r="AL43" s="118"/>
      <c r="AM43" s="118"/>
      <c r="AN43" s="118"/>
      <c r="AO43" s="118"/>
      <c r="AP43" s="118"/>
      <c r="AQ43" s="118"/>
      <c r="AR43" s="118"/>
      <c r="AS43" s="118"/>
      <c r="AT43" s="118"/>
      <c r="AU43" s="118"/>
      <c r="AV43" s="118"/>
      <c r="AW43" s="118"/>
      <c r="AX43" s="118"/>
      <c r="AY43" s="118"/>
      <c r="AZ43" s="118"/>
      <c r="BA43" s="118"/>
      <c r="BB43" s="118"/>
      <c r="BC43" s="118"/>
      <c r="BD43" s="118"/>
      <c r="BE43" s="118"/>
      <c r="BF43" s="118"/>
      <c r="BG43" s="118"/>
      <c r="BH43" s="118"/>
      <c r="BI43" s="118"/>
      <c r="BJ43" s="118"/>
      <c r="BK43" s="118"/>
      <c r="BL43" s="118"/>
      <c r="BM43" s="118"/>
      <c r="BN43" s="118"/>
      <c r="BO43" s="118"/>
      <c r="BP43" s="118"/>
      <c r="BQ43" s="118"/>
      <c r="BR43" s="118"/>
      <c r="BS43" s="118"/>
      <c r="BT43" s="118"/>
      <c r="BU43" s="118"/>
      <c r="BV43" s="118"/>
      <c r="BW43" s="118"/>
      <c r="BX43" s="115"/>
      <c r="BY43" s="115"/>
      <c r="BZ43" s="115"/>
      <c r="CA43" s="115"/>
      <c r="CB43" s="115"/>
      <c r="CC43" s="115"/>
      <c r="CD43" s="115"/>
      <c r="CE43" s="115"/>
      <c r="CF43" s="115"/>
      <c r="CG43" s="115"/>
      <c r="CH43" s="115"/>
      <c r="CI43" s="115"/>
      <c r="CJ43" s="115"/>
      <c r="CK43" s="115"/>
      <c r="CL43" s="115"/>
      <c r="CM43" s="115"/>
      <c r="CN43" s="115"/>
      <c r="CO43" s="115"/>
      <c r="CP43" s="115"/>
      <c r="CQ43" s="115"/>
      <c r="CR43" s="115"/>
      <c r="CS43" s="115"/>
      <c r="CT43" s="115"/>
      <c r="CU43" s="115"/>
      <c r="CV43" s="115"/>
      <c r="CW43" s="115"/>
      <c r="CX43" s="115"/>
      <c r="CY43" s="115"/>
      <c r="CZ43" s="115"/>
      <c r="DA43" s="115">
        <f t="shared" si="15"/>
        <v>120</v>
      </c>
      <c r="DB43" s="115">
        <f t="shared" si="16"/>
        <v>118.57333333333334</v>
      </c>
      <c r="DC43" s="115">
        <f t="shared" si="17"/>
        <v>13.197959438236403</v>
      </c>
      <c r="DD43" s="116">
        <f t="shared" si="10"/>
        <v>0.1113063035947071</v>
      </c>
      <c r="DE43" s="115">
        <v>100</v>
      </c>
      <c r="DF43" s="115">
        <f t="shared" si="9"/>
        <v>19</v>
      </c>
      <c r="DG43" s="175">
        <f t="shared" si="4"/>
        <v>119</v>
      </c>
      <c r="DH43" s="175">
        <f t="shared" si="18"/>
        <v>714000</v>
      </c>
      <c r="DI43" s="119" t="s">
        <v>228</v>
      </c>
    </row>
    <row r="44" spans="1:113" s="28" customFormat="1" ht="30" x14ac:dyDescent="0.25">
      <c r="A44" s="36">
        <v>36</v>
      </c>
      <c r="B44" s="112" t="s">
        <v>225</v>
      </c>
      <c r="C44" s="113" t="s">
        <v>111</v>
      </c>
      <c r="D44" s="114" t="s">
        <v>167</v>
      </c>
      <c r="E44" s="114">
        <v>6000</v>
      </c>
      <c r="F44" s="115"/>
      <c r="G44" s="115"/>
      <c r="H44" s="115"/>
      <c r="I44" s="115"/>
      <c r="J44" s="115"/>
      <c r="K44" s="115"/>
      <c r="L44" s="115"/>
      <c r="M44" s="115"/>
      <c r="N44" s="115"/>
      <c r="O44" s="118">
        <v>110.08403361344538</v>
      </c>
      <c r="P44" s="118">
        <f t="shared" si="11"/>
        <v>20.915966386554622</v>
      </c>
      <c r="Q44" s="118">
        <f t="shared" si="12"/>
        <v>131</v>
      </c>
      <c r="R44" s="115"/>
      <c r="S44" s="115"/>
      <c r="T44" s="115"/>
      <c r="U44" s="118"/>
      <c r="V44" s="118"/>
      <c r="W44" s="118"/>
      <c r="X44" s="118">
        <v>120</v>
      </c>
      <c r="Y44" s="118"/>
      <c r="Z44" s="118"/>
      <c r="AA44" s="118"/>
      <c r="AB44" s="118">
        <v>88</v>
      </c>
      <c r="AC44" s="118">
        <f t="shared" si="13"/>
        <v>16.72</v>
      </c>
      <c r="AD44" s="118">
        <f t="shared" si="14"/>
        <v>104.72</v>
      </c>
      <c r="AE44" s="118"/>
      <c r="AF44" s="118"/>
      <c r="AG44" s="118"/>
      <c r="AH44" s="118"/>
      <c r="AI44" s="118"/>
      <c r="AJ44" s="118"/>
      <c r="AK44" s="118"/>
      <c r="AL44" s="118"/>
      <c r="AM44" s="118"/>
      <c r="AN44" s="118"/>
      <c r="AO44" s="118"/>
      <c r="AP44" s="118"/>
      <c r="AQ44" s="118"/>
      <c r="AR44" s="118"/>
      <c r="AS44" s="118"/>
      <c r="AT44" s="118"/>
      <c r="AU44" s="118"/>
      <c r="AV44" s="118"/>
      <c r="AW44" s="118"/>
      <c r="AX44" s="118"/>
      <c r="AY44" s="118"/>
      <c r="AZ44" s="118"/>
      <c r="BA44" s="118"/>
      <c r="BB44" s="118"/>
      <c r="BC44" s="118"/>
      <c r="BD44" s="118"/>
      <c r="BE44" s="118"/>
      <c r="BF44" s="118"/>
      <c r="BG44" s="118"/>
      <c r="BH44" s="118"/>
      <c r="BI44" s="118"/>
      <c r="BJ44" s="118"/>
      <c r="BK44" s="118"/>
      <c r="BL44" s="118"/>
      <c r="BM44" s="118"/>
      <c r="BN44" s="118"/>
      <c r="BO44" s="118"/>
      <c r="BP44" s="118"/>
      <c r="BQ44" s="118"/>
      <c r="BR44" s="118"/>
      <c r="BS44" s="118"/>
      <c r="BT44" s="118"/>
      <c r="BU44" s="118"/>
      <c r="BV44" s="118"/>
      <c r="BW44" s="118"/>
      <c r="BX44" s="115"/>
      <c r="BY44" s="115"/>
      <c r="BZ44" s="115"/>
      <c r="CA44" s="115"/>
      <c r="CB44" s="115"/>
      <c r="CC44" s="115"/>
      <c r="CD44" s="115"/>
      <c r="CE44" s="115"/>
      <c r="CF44" s="115"/>
      <c r="CG44" s="115"/>
      <c r="CH44" s="115"/>
      <c r="CI44" s="115"/>
      <c r="CJ44" s="115"/>
      <c r="CK44" s="115"/>
      <c r="CL44" s="115"/>
      <c r="CM44" s="115"/>
      <c r="CN44" s="115"/>
      <c r="CO44" s="115"/>
      <c r="CP44" s="115"/>
      <c r="CQ44" s="115"/>
      <c r="CR44" s="115"/>
      <c r="CS44" s="115"/>
      <c r="CT44" s="115"/>
      <c r="CU44" s="115"/>
      <c r="CV44" s="115"/>
      <c r="CW44" s="115"/>
      <c r="CX44" s="115"/>
      <c r="CY44" s="115"/>
      <c r="CZ44" s="115"/>
      <c r="DA44" s="115">
        <f t="shared" si="15"/>
        <v>120</v>
      </c>
      <c r="DB44" s="115">
        <f t="shared" si="16"/>
        <v>118.57333333333334</v>
      </c>
      <c r="DC44" s="115">
        <f t="shared" si="17"/>
        <v>13.197959438236403</v>
      </c>
      <c r="DD44" s="116">
        <f t="shared" si="10"/>
        <v>0.1113063035947071</v>
      </c>
      <c r="DE44" s="115">
        <v>100</v>
      </c>
      <c r="DF44" s="115">
        <f t="shared" si="9"/>
        <v>19</v>
      </c>
      <c r="DG44" s="175">
        <f t="shared" si="4"/>
        <v>119</v>
      </c>
      <c r="DH44" s="175">
        <f t="shared" si="18"/>
        <v>714000</v>
      </c>
      <c r="DI44" s="119" t="s">
        <v>228</v>
      </c>
    </row>
    <row r="45" spans="1:113" s="28" customFormat="1" ht="37.5" customHeight="1" x14ac:dyDescent="0.25">
      <c r="A45" s="36">
        <v>37</v>
      </c>
      <c r="B45" s="112" t="s">
        <v>36</v>
      </c>
      <c r="C45" s="113" t="s">
        <v>111</v>
      </c>
      <c r="D45" s="114" t="s">
        <v>167</v>
      </c>
      <c r="E45" s="114">
        <v>6000</v>
      </c>
      <c r="F45" s="115"/>
      <c r="G45" s="115"/>
      <c r="H45" s="115"/>
      <c r="I45" s="115"/>
      <c r="J45" s="115"/>
      <c r="K45" s="115"/>
      <c r="L45" s="115"/>
      <c r="M45" s="115"/>
      <c r="N45" s="115"/>
      <c r="O45" s="118">
        <v>110.08403361344538</v>
      </c>
      <c r="P45" s="118">
        <f t="shared" si="11"/>
        <v>20.915966386554622</v>
      </c>
      <c r="Q45" s="118">
        <f t="shared" si="12"/>
        <v>131</v>
      </c>
      <c r="R45" s="115"/>
      <c r="S45" s="115"/>
      <c r="T45" s="115"/>
      <c r="U45" s="118"/>
      <c r="V45" s="118"/>
      <c r="W45" s="118"/>
      <c r="X45" s="118">
        <v>120</v>
      </c>
      <c r="Y45" s="118"/>
      <c r="Z45" s="118"/>
      <c r="AA45" s="118"/>
      <c r="AB45" s="118">
        <v>88</v>
      </c>
      <c r="AC45" s="118">
        <f t="shared" si="13"/>
        <v>16.72</v>
      </c>
      <c r="AD45" s="118">
        <f t="shared" si="14"/>
        <v>104.72</v>
      </c>
      <c r="AE45" s="118"/>
      <c r="AF45" s="118"/>
      <c r="AG45" s="118"/>
      <c r="AH45" s="118"/>
      <c r="AI45" s="118"/>
      <c r="AJ45" s="118"/>
      <c r="AK45" s="118"/>
      <c r="AL45" s="118"/>
      <c r="AM45" s="118"/>
      <c r="AN45" s="118"/>
      <c r="AO45" s="118"/>
      <c r="AP45" s="118"/>
      <c r="AQ45" s="118"/>
      <c r="AR45" s="118"/>
      <c r="AS45" s="118"/>
      <c r="AT45" s="118"/>
      <c r="AU45" s="118"/>
      <c r="AV45" s="118"/>
      <c r="AW45" s="118"/>
      <c r="AX45" s="118"/>
      <c r="AY45" s="118"/>
      <c r="AZ45" s="118"/>
      <c r="BA45" s="118"/>
      <c r="BB45" s="118"/>
      <c r="BC45" s="118"/>
      <c r="BD45" s="118"/>
      <c r="BE45" s="118"/>
      <c r="BF45" s="118"/>
      <c r="BG45" s="118"/>
      <c r="BH45" s="118"/>
      <c r="BI45" s="118"/>
      <c r="BJ45" s="118"/>
      <c r="BK45" s="118"/>
      <c r="BL45" s="118"/>
      <c r="BM45" s="118"/>
      <c r="BN45" s="118"/>
      <c r="BO45" s="118"/>
      <c r="BP45" s="118"/>
      <c r="BQ45" s="118"/>
      <c r="BR45" s="118"/>
      <c r="BS45" s="118"/>
      <c r="BT45" s="118"/>
      <c r="BU45" s="118"/>
      <c r="BV45" s="118"/>
      <c r="BW45" s="118"/>
      <c r="BX45" s="115"/>
      <c r="BY45" s="115"/>
      <c r="BZ45" s="115"/>
      <c r="CA45" s="115"/>
      <c r="CB45" s="115"/>
      <c r="CC45" s="115"/>
      <c r="CD45" s="115"/>
      <c r="CE45" s="115"/>
      <c r="CF45" s="115"/>
      <c r="CG45" s="115"/>
      <c r="CH45" s="115"/>
      <c r="CI45" s="115"/>
      <c r="CJ45" s="115"/>
      <c r="CK45" s="115"/>
      <c r="CL45" s="115"/>
      <c r="CM45" s="115"/>
      <c r="CN45" s="115"/>
      <c r="CO45" s="115"/>
      <c r="CP45" s="115"/>
      <c r="CQ45" s="115"/>
      <c r="CR45" s="115"/>
      <c r="CS45" s="115"/>
      <c r="CT45" s="115"/>
      <c r="CU45" s="115"/>
      <c r="CV45" s="115"/>
      <c r="CW45" s="115"/>
      <c r="CX45" s="115"/>
      <c r="CY45" s="115"/>
      <c r="CZ45" s="115"/>
      <c r="DA45" s="115">
        <f t="shared" si="15"/>
        <v>120</v>
      </c>
      <c r="DB45" s="115">
        <f t="shared" si="16"/>
        <v>118.57333333333334</v>
      </c>
      <c r="DC45" s="115">
        <f t="shared" si="17"/>
        <v>13.197959438236403</v>
      </c>
      <c r="DD45" s="116">
        <f t="shared" si="10"/>
        <v>0.1113063035947071</v>
      </c>
      <c r="DE45" s="115">
        <v>100</v>
      </c>
      <c r="DF45" s="115">
        <f t="shared" si="9"/>
        <v>19</v>
      </c>
      <c r="DG45" s="175">
        <f t="shared" si="4"/>
        <v>119</v>
      </c>
      <c r="DH45" s="175">
        <f t="shared" si="18"/>
        <v>714000</v>
      </c>
      <c r="DI45" s="119" t="s">
        <v>228</v>
      </c>
    </row>
    <row r="46" spans="1:113" s="28" customFormat="1" ht="30" x14ac:dyDescent="0.25">
      <c r="A46" s="36">
        <v>38</v>
      </c>
      <c r="B46" s="112" t="s">
        <v>37</v>
      </c>
      <c r="C46" s="113" t="s">
        <v>111</v>
      </c>
      <c r="D46" s="114" t="s">
        <v>167</v>
      </c>
      <c r="E46" s="114">
        <v>6000</v>
      </c>
      <c r="F46" s="115"/>
      <c r="G46" s="115"/>
      <c r="H46" s="115"/>
      <c r="I46" s="115"/>
      <c r="J46" s="115"/>
      <c r="K46" s="115"/>
      <c r="L46" s="115"/>
      <c r="M46" s="115"/>
      <c r="N46" s="115"/>
      <c r="O46" s="118">
        <v>110.08403361344538</v>
      </c>
      <c r="P46" s="118">
        <f t="shared" si="11"/>
        <v>20.915966386554622</v>
      </c>
      <c r="Q46" s="118">
        <f t="shared" si="12"/>
        <v>131</v>
      </c>
      <c r="R46" s="115"/>
      <c r="S46" s="115"/>
      <c r="T46" s="115"/>
      <c r="U46" s="118"/>
      <c r="V46" s="118"/>
      <c r="W46" s="118"/>
      <c r="X46" s="118">
        <v>120</v>
      </c>
      <c r="Y46" s="118"/>
      <c r="Z46" s="118"/>
      <c r="AA46" s="118"/>
      <c r="AB46" s="118">
        <v>88</v>
      </c>
      <c r="AC46" s="118">
        <f t="shared" si="13"/>
        <v>16.72</v>
      </c>
      <c r="AD46" s="118">
        <f t="shared" si="14"/>
        <v>104.72</v>
      </c>
      <c r="AE46" s="118"/>
      <c r="AF46" s="118"/>
      <c r="AG46" s="118"/>
      <c r="AH46" s="118"/>
      <c r="AI46" s="118"/>
      <c r="AJ46" s="118"/>
      <c r="AK46" s="118"/>
      <c r="AL46" s="118"/>
      <c r="AM46" s="118"/>
      <c r="AN46" s="118"/>
      <c r="AO46" s="118"/>
      <c r="AP46" s="118"/>
      <c r="AQ46" s="118"/>
      <c r="AR46" s="118"/>
      <c r="AS46" s="118"/>
      <c r="AT46" s="118"/>
      <c r="AU46" s="118"/>
      <c r="AV46" s="118"/>
      <c r="AW46" s="118"/>
      <c r="AX46" s="118"/>
      <c r="AY46" s="118"/>
      <c r="AZ46" s="118"/>
      <c r="BA46" s="118"/>
      <c r="BB46" s="118"/>
      <c r="BC46" s="118"/>
      <c r="BD46" s="118"/>
      <c r="BE46" s="118"/>
      <c r="BF46" s="118"/>
      <c r="BG46" s="118"/>
      <c r="BH46" s="118"/>
      <c r="BI46" s="118"/>
      <c r="BJ46" s="118"/>
      <c r="BK46" s="118"/>
      <c r="BL46" s="118"/>
      <c r="BM46" s="118"/>
      <c r="BN46" s="118"/>
      <c r="BO46" s="118"/>
      <c r="BP46" s="118"/>
      <c r="BQ46" s="118"/>
      <c r="BR46" s="118"/>
      <c r="BS46" s="118"/>
      <c r="BT46" s="118"/>
      <c r="BU46" s="118"/>
      <c r="BV46" s="118"/>
      <c r="BW46" s="118"/>
      <c r="BX46" s="115"/>
      <c r="BY46" s="115"/>
      <c r="BZ46" s="115"/>
      <c r="CA46" s="115"/>
      <c r="CB46" s="115"/>
      <c r="CC46" s="115"/>
      <c r="CD46" s="115"/>
      <c r="CE46" s="115"/>
      <c r="CF46" s="115"/>
      <c r="CG46" s="115"/>
      <c r="CH46" s="115"/>
      <c r="CI46" s="115"/>
      <c r="CJ46" s="115"/>
      <c r="CK46" s="115"/>
      <c r="CL46" s="115"/>
      <c r="CM46" s="115"/>
      <c r="CN46" s="115"/>
      <c r="CO46" s="115"/>
      <c r="CP46" s="115"/>
      <c r="CQ46" s="115"/>
      <c r="CR46" s="115"/>
      <c r="CS46" s="115"/>
      <c r="CT46" s="115"/>
      <c r="CU46" s="115"/>
      <c r="CV46" s="115"/>
      <c r="CW46" s="115"/>
      <c r="CX46" s="115"/>
      <c r="CY46" s="115"/>
      <c r="CZ46" s="115"/>
      <c r="DA46" s="115">
        <f t="shared" si="15"/>
        <v>120</v>
      </c>
      <c r="DB46" s="115">
        <f t="shared" si="16"/>
        <v>118.57333333333334</v>
      </c>
      <c r="DC46" s="115">
        <f t="shared" si="17"/>
        <v>13.197959438236403</v>
      </c>
      <c r="DD46" s="116">
        <f t="shared" si="10"/>
        <v>0.1113063035947071</v>
      </c>
      <c r="DE46" s="115">
        <v>100</v>
      </c>
      <c r="DF46" s="115">
        <f t="shared" si="9"/>
        <v>19</v>
      </c>
      <c r="DG46" s="175">
        <f t="shared" si="4"/>
        <v>119</v>
      </c>
      <c r="DH46" s="175">
        <f t="shared" si="18"/>
        <v>714000</v>
      </c>
      <c r="DI46" s="119" t="s">
        <v>228</v>
      </c>
    </row>
    <row r="47" spans="1:113" s="28" customFormat="1" ht="30" x14ac:dyDescent="0.25">
      <c r="A47" s="36">
        <v>39</v>
      </c>
      <c r="B47" s="113" t="s">
        <v>38</v>
      </c>
      <c r="C47" s="113" t="s">
        <v>111</v>
      </c>
      <c r="D47" s="114" t="s">
        <v>167</v>
      </c>
      <c r="E47" s="114">
        <v>6000</v>
      </c>
      <c r="F47" s="115"/>
      <c r="G47" s="115"/>
      <c r="H47" s="115"/>
      <c r="I47" s="115"/>
      <c r="J47" s="115"/>
      <c r="K47" s="115"/>
      <c r="L47" s="115"/>
      <c r="M47" s="115"/>
      <c r="N47" s="115"/>
      <c r="O47" s="122">
        <v>110.08403361344538</v>
      </c>
      <c r="P47" s="122">
        <f t="shared" si="11"/>
        <v>20.915966386554622</v>
      </c>
      <c r="Q47" s="122">
        <f t="shared" si="12"/>
        <v>131</v>
      </c>
      <c r="R47" s="115"/>
      <c r="S47" s="115"/>
      <c r="T47" s="115"/>
      <c r="U47" s="122"/>
      <c r="V47" s="122"/>
      <c r="W47" s="122"/>
      <c r="X47" s="122">
        <v>120</v>
      </c>
      <c r="Y47" s="118"/>
      <c r="Z47" s="118"/>
      <c r="AA47" s="118"/>
      <c r="AB47" s="118">
        <v>88</v>
      </c>
      <c r="AC47" s="118">
        <f t="shared" si="13"/>
        <v>16.72</v>
      </c>
      <c r="AD47" s="118">
        <f t="shared" si="14"/>
        <v>104.72</v>
      </c>
      <c r="AE47" s="118"/>
      <c r="AF47" s="118"/>
      <c r="AG47" s="118"/>
      <c r="AH47" s="118"/>
      <c r="AI47" s="118"/>
      <c r="AJ47" s="118"/>
      <c r="AK47" s="118"/>
      <c r="AL47" s="118"/>
      <c r="AM47" s="118"/>
      <c r="AN47" s="118"/>
      <c r="AO47" s="118"/>
      <c r="AP47" s="118"/>
      <c r="AQ47" s="118"/>
      <c r="AR47" s="118"/>
      <c r="AS47" s="118"/>
      <c r="AT47" s="118"/>
      <c r="AU47" s="118"/>
      <c r="AV47" s="118"/>
      <c r="AW47" s="118"/>
      <c r="AX47" s="118"/>
      <c r="AY47" s="118"/>
      <c r="AZ47" s="118"/>
      <c r="BA47" s="118"/>
      <c r="BB47" s="118"/>
      <c r="BC47" s="118"/>
      <c r="BD47" s="118"/>
      <c r="BE47" s="118"/>
      <c r="BF47" s="118"/>
      <c r="BG47" s="118"/>
      <c r="BH47" s="118"/>
      <c r="BI47" s="118"/>
      <c r="BJ47" s="118"/>
      <c r="BK47" s="118"/>
      <c r="BL47" s="118"/>
      <c r="BM47" s="118"/>
      <c r="BN47" s="118"/>
      <c r="BO47" s="118"/>
      <c r="BP47" s="118"/>
      <c r="BQ47" s="118"/>
      <c r="BR47" s="118"/>
      <c r="BS47" s="118"/>
      <c r="BT47" s="118"/>
      <c r="BU47" s="118"/>
      <c r="BV47" s="118"/>
      <c r="BW47" s="118"/>
      <c r="BX47" s="115"/>
      <c r="BY47" s="115"/>
      <c r="BZ47" s="115"/>
      <c r="CA47" s="115"/>
      <c r="CB47" s="115"/>
      <c r="CC47" s="115"/>
      <c r="CD47" s="115"/>
      <c r="CE47" s="115"/>
      <c r="CF47" s="115"/>
      <c r="CG47" s="115"/>
      <c r="CH47" s="115"/>
      <c r="CI47" s="115"/>
      <c r="CJ47" s="115"/>
      <c r="CK47" s="115"/>
      <c r="CL47" s="115"/>
      <c r="CM47" s="115"/>
      <c r="CN47" s="115"/>
      <c r="CO47" s="115"/>
      <c r="CP47" s="115"/>
      <c r="CQ47" s="115"/>
      <c r="CR47" s="115"/>
      <c r="CS47" s="115"/>
      <c r="CT47" s="115"/>
      <c r="CU47" s="115"/>
      <c r="CV47" s="115"/>
      <c r="CW47" s="115"/>
      <c r="CX47" s="115"/>
      <c r="CY47" s="115"/>
      <c r="CZ47" s="115"/>
      <c r="DA47" s="115">
        <f t="shared" si="15"/>
        <v>120</v>
      </c>
      <c r="DB47" s="115">
        <f t="shared" si="16"/>
        <v>118.57333333333334</v>
      </c>
      <c r="DC47" s="115">
        <f t="shared" si="17"/>
        <v>13.197959438236403</v>
      </c>
      <c r="DD47" s="116">
        <f t="shared" si="10"/>
        <v>0.1113063035947071</v>
      </c>
      <c r="DE47" s="115">
        <v>100</v>
      </c>
      <c r="DF47" s="115">
        <f t="shared" si="9"/>
        <v>19</v>
      </c>
      <c r="DG47" s="175">
        <f t="shared" si="4"/>
        <v>119</v>
      </c>
      <c r="DH47" s="175">
        <f t="shared" si="18"/>
        <v>714000</v>
      </c>
      <c r="DI47" s="119" t="s">
        <v>228</v>
      </c>
    </row>
    <row r="48" spans="1:113" s="28" customFormat="1" ht="30" x14ac:dyDescent="0.25">
      <c r="A48" s="36">
        <v>40</v>
      </c>
      <c r="B48" s="113" t="s">
        <v>39</v>
      </c>
      <c r="C48" s="113" t="s">
        <v>111</v>
      </c>
      <c r="D48" s="114" t="s">
        <v>167</v>
      </c>
      <c r="E48" s="114">
        <v>6000</v>
      </c>
      <c r="F48" s="115"/>
      <c r="G48" s="115"/>
      <c r="H48" s="115"/>
      <c r="I48" s="115"/>
      <c r="J48" s="115"/>
      <c r="K48" s="115"/>
      <c r="L48" s="115"/>
      <c r="M48" s="115"/>
      <c r="N48" s="115"/>
      <c r="O48" s="122">
        <v>110.08403361344538</v>
      </c>
      <c r="P48" s="122">
        <f t="shared" si="11"/>
        <v>20.915966386554622</v>
      </c>
      <c r="Q48" s="122">
        <f t="shared" si="12"/>
        <v>131</v>
      </c>
      <c r="R48" s="115"/>
      <c r="S48" s="115"/>
      <c r="T48" s="115"/>
      <c r="U48" s="122"/>
      <c r="V48" s="122"/>
      <c r="W48" s="122"/>
      <c r="X48" s="122">
        <v>120</v>
      </c>
      <c r="Y48" s="118"/>
      <c r="Z48" s="118"/>
      <c r="AA48" s="118"/>
      <c r="AB48" s="118">
        <v>88</v>
      </c>
      <c r="AC48" s="118">
        <f t="shared" si="13"/>
        <v>16.72</v>
      </c>
      <c r="AD48" s="118">
        <f t="shared" si="14"/>
        <v>104.72</v>
      </c>
      <c r="AE48" s="118"/>
      <c r="AF48" s="118"/>
      <c r="AG48" s="118"/>
      <c r="AH48" s="118"/>
      <c r="AI48" s="118"/>
      <c r="AJ48" s="118"/>
      <c r="AK48" s="118"/>
      <c r="AL48" s="118"/>
      <c r="AM48" s="118"/>
      <c r="AN48" s="118"/>
      <c r="AO48" s="118"/>
      <c r="AP48" s="118"/>
      <c r="AQ48" s="118"/>
      <c r="AR48" s="118"/>
      <c r="AS48" s="118"/>
      <c r="AT48" s="118"/>
      <c r="AU48" s="118"/>
      <c r="AV48" s="118"/>
      <c r="AW48" s="118"/>
      <c r="AX48" s="118"/>
      <c r="AY48" s="118"/>
      <c r="AZ48" s="118"/>
      <c r="BA48" s="118"/>
      <c r="BB48" s="118"/>
      <c r="BC48" s="118"/>
      <c r="BD48" s="118"/>
      <c r="BE48" s="118"/>
      <c r="BF48" s="118"/>
      <c r="BG48" s="118"/>
      <c r="BH48" s="118"/>
      <c r="BI48" s="118"/>
      <c r="BJ48" s="118"/>
      <c r="BK48" s="118"/>
      <c r="BL48" s="118"/>
      <c r="BM48" s="118"/>
      <c r="BN48" s="118"/>
      <c r="BO48" s="118"/>
      <c r="BP48" s="118"/>
      <c r="BQ48" s="118"/>
      <c r="BR48" s="118"/>
      <c r="BS48" s="118"/>
      <c r="BT48" s="118"/>
      <c r="BU48" s="118"/>
      <c r="BV48" s="118"/>
      <c r="BW48" s="118"/>
      <c r="BX48" s="115"/>
      <c r="BY48" s="115"/>
      <c r="BZ48" s="115"/>
      <c r="CA48" s="115"/>
      <c r="CB48" s="115"/>
      <c r="CC48" s="115"/>
      <c r="CD48" s="115"/>
      <c r="CE48" s="115"/>
      <c r="CF48" s="115"/>
      <c r="CG48" s="115"/>
      <c r="CH48" s="115"/>
      <c r="CI48" s="115"/>
      <c r="CJ48" s="115"/>
      <c r="CK48" s="115"/>
      <c r="CL48" s="115"/>
      <c r="CM48" s="115"/>
      <c r="CN48" s="115"/>
      <c r="CO48" s="115"/>
      <c r="CP48" s="115"/>
      <c r="CQ48" s="115"/>
      <c r="CR48" s="115"/>
      <c r="CS48" s="115"/>
      <c r="CT48" s="115"/>
      <c r="CU48" s="115"/>
      <c r="CV48" s="115"/>
      <c r="CW48" s="115"/>
      <c r="CX48" s="115"/>
      <c r="CY48" s="115"/>
      <c r="CZ48" s="115"/>
      <c r="DA48" s="115">
        <f t="shared" si="15"/>
        <v>120</v>
      </c>
      <c r="DB48" s="115">
        <f t="shared" si="16"/>
        <v>118.57333333333334</v>
      </c>
      <c r="DC48" s="115">
        <f t="shared" si="17"/>
        <v>13.197959438236403</v>
      </c>
      <c r="DD48" s="116">
        <f t="shared" si="10"/>
        <v>0.1113063035947071</v>
      </c>
      <c r="DE48" s="115">
        <v>100</v>
      </c>
      <c r="DF48" s="115">
        <f t="shared" si="9"/>
        <v>19</v>
      </c>
      <c r="DG48" s="175">
        <f t="shared" si="4"/>
        <v>119</v>
      </c>
      <c r="DH48" s="175">
        <f t="shared" si="18"/>
        <v>714000</v>
      </c>
      <c r="DI48" s="119" t="s">
        <v>228</v>
      </c>
    </row>
    <row r="49" spans="1:114" s="28" customFormat="1" ht="45" customHeight="1" x14ac:dyDescent="0.25">
      <c r="A49" s="36">
        <v>41</v>
      </c>
      <c r="B49" s="113" t="s">
        <v>40</v>
      </c>
      <c r="C49" s="113" t="s">
        <v>111</v>
      </c>
      <c r="D49" s="114" t="s">
        <v>167</v>
      </c>
      <c r="E49" s="114">
        <v>6000</v>
      </c>
      <c r="F49" s="115"/>
      <c r="G49" s="115"/>
      <c r="H49" s="115"/>
      <c r="I49" s="115"/>
      <c r="J49" s="115"/>
      <c r="K49" s="115"/>
      <c r="L49" s="115"/>
      <c r="M49" s="115"/>
      <c r="N49" s="115"/>
      <c r="O49" s="122">
        <v>110.08403361344538</v>
      </c>
      <c r="P49" s="122">
        <f t="shared" si="11"/>
        <v>20.915966386554622</v>
      </c>
      <c r="Q49" s="122">
        <f t="shared" si="12"/>
        <v>131</v>
      </c>
      <c r="R49" s="115"/>
      <c r="S49" s="115"/>
      <c r="T49" s="115"/>
      <c r="U49" s="122"/>
      <c r="V49" s="122"/>
      <c r="W49" s="122"/>
      <c r="X49" s="122">
        <v>120</v>
      </c>
      <c r="Y49" s="118"/>
      <c r="Z49" s="118"/>
      <c r="AA49" s="118"/>
      <c r="AB49" s="118">
        <v>88</v>
      </c>
      <c r="AC49" s="118">
        <f t="shared" si="13"/>
        <v>16.72</v>
      </c>
      <c r="AD49" s="118">
        <f t="shared" si="14"/>
        <v>104.72</v>
      </c>
      <c r="AE49" s="118"/>
      <c r="AF49" s="118"/>
      <c r="AG49" s="118"/>
      <c r="AH49" s="118"/>
      <c r="AI49" s="118"/>
      <c r="AJ49" s="118"/>
      <c r="AK49" s="118"/>
      <c r="AL49" s="118"/>
      <c r="AM49" s="118"/>
      <c r="AN49" s="118"/>
      <c r="AO49" s="118"/>
      <c r="AP49" s="118"/>
      <c r="AQ49" s="118"/>
      <c r="AR49" s="118"/>
      <c r="AS49" s="118"/>
      <c r="AT49" s="118"/>
      <c r="AU49" s="118"/>
      <c r="AV49" s="118"/>
      <c r="AW49" s="118"/>
      <c r="AX49" s="118"/>
      <c r="AY49" s="118"/>
      <c r="AZ49" s="118"/>
      <c r="BA49" s="118"/>
      <c r="BB49" s="118"/>
      <c r="BC49" s="118"/>
      <c r="BD49" s="118"/>
      <c r="BE49" s="118"/>
      <c r="BF49" s="118"/>
      <c r="BG49" s="118"/>
      <c r="BH49" s="118"/>
      <c r="BI49" s="118"/>
      <c r="BJ49" s="118"/>
      <c r="BK49" s="118"/>
      <c r="BL49" s="118"/>
      <c r="BM49" s="118"/>
      <c r="BN49" s="118"/>
      <c r="BO49" s="118"/>
      <c r="BP49" s="118"/>
      <c r="BQ49" s="118"/>
      <c r="BR49" s="118"/>
      <c r="BS49" s="118"/>
      <c r="BT49" s="118"/>
      <c r="BU49" s="118"/>
      <c r="BV49" s="118"/>
      <c r="BW49" s="118"/>
      <c r="BX49" s="115"/>
      <c r="BY49" s="115"/>
      <c r="BZ49" s="115"/>
      <c r="CA49" s="115"/>
      <c r="CB49" s="115"/>
      <c r="CC49" s="115"/>
      <c r="CD49" s="115"/>
      <c r="CE49" s="115"/>
      <c r="CF49" s="115"/>
      <c r="CG49" s="115"/>
      <c r="CH49" s="115"/>
      <c r="CI49" s="115"/>
      <c r="CJ49" s="115"/>
      <c r="CK49" s="115"/>
      <c r="CL49" s="115"/>
      <c r="CM49" s="115"/>
      <c r="CN49" s="115"/>
      <c r="CO49" s="115"/>
      <c r="CP49" s="115"/>
      <c r="CQ49" s="115"/>
      <c r="CR49" s="115"/>
      <c r="CS49" s="115"/>
      <c r="CT49" s="115"/>
      <c r="CU49" s="115"/>
      <c r="CV49" s="115"/>
      <c r="CW49" s="115"/>
      <c r="CX49" s="115"/>
      <c r="CY49" s="115"/>
      <c r="CZ49" s="115"/>
      <c r="DA49" s="115">
        <f t="shared" si="15"/>
        <v>120</v>
      </c>
      <c r="DB49" s="115">
        <f t="shared" si="16"/>
        <v>118.57333333333334</v>
      </c>
      <c r="DC49" s="115">
        <f t="shared" si="17"/>
        <v>13.197959438236403</v>
      </c>
      <c r="DD49" s="116">
        <f t="shared" si="10"/>
        <v>0.1113063035947071</v>
      </c>
      <c r="DE49" s="115">
        <v>100</v>
      </c>
      <c r="DF49" s="115">
        <f t="shared" si="9"/>
        <v>19</v>
      </c>
      <c r="DG49" s="175">
        <f t="shared" si="4"/>
        <v>119</v>
      </c>
      <c r="DH49" s="175">
        <f t="shared" si="18"/>
        <v>714000</v>
      </c>
      <c r="DI49" s="119" t="s">
        <v>228</v>
      </c>
    </row>
    <row r="50" spans="1:114" s="28" customFormat="1" ht="30" x14ac:dyDescent="0.25">
      <c r="A50" s="36">
        <v>42</v>
      </c>
      <c r="B50" s="112" t="s">
        <v>41</v>
      </c>
      <c r="C50" s="113" t="s">
        <v>111</v>
      </c>
      <c r="D50" s="114" t="s">
        <v>167</v>
      </c>
      <c r="E50" s="114">
        <v>6000</v>
      </c>
      <c r="F50" s="115"/>
      <c r="G50" s="115"/>
      <c r="H50" s="115"/>
      <c r="I50" s="115"/>
      <c r="J50" s="115"/>
      <c r="K50" s="115"/>
      <c r="L50" s="115"/>
      <c r="M50" s="115"/>
      <c r="N50" s="115"/>
      <c r="O50" s="115">
        <v>110.08403361344538</v>
      </c>
      <c r="P50" s="115">
        <f t="shared" si="11"/>
        <v>20.915966386554622</v>
      </c>
      <c r="Q50" s="115">
        <f t="shared" si="12"/>
        <v>131</v>
      </c>
      <c r="R50" s="115"/>
      <c r="S50" s="115"/>
      <c r="T50" s="115"/>
      <c r="U50" s="115"/>
      <c r="V50" s="115"/>
      <c r="W50" s="115"/>
      <c r="X50" s="115">
        <v>120</v>
      </c>
      <c r="Y50" s="118"/>
      <c r="Z50" s="118"/>
      <c r="AA50" s="118"/>
      <c r="AB50" s="118">
        <v>88</v>
      </c>
      <c r="AC50" s="118">
        <f t="shared" si="13"/>
        <v>16.72</v>
      </c>
      <c r="AD50" s="118">
        <f t="shared" si="14"/>
        <v>104.72</v>
      </c>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c r="BN50" s="118"/>
      <c r="BO50" s="118"/>
      <c r="BP50" s="118"/>
      <c r="BQ50" s="118"/>
      <c r="BR50" s="118"/>
      <c r="BS50" s="118"/>
      <c r="BT50" s="118"/>
      <c r="BU50" s="118"/>
      <c r="BV50" s="118"/>
      <c r="BW50" s="118"/>
      <c r="BX50" s="115"/>
      <c r="BY50" s="115"/>
      <c r="BZ50" s="115"/>
      <c r="CA50" s="115"/>
      <c r="CB50" s="115"/>
      <c r="CC50" s="115"/>
      <c r="CD50" s="115"/>
      <c r="CE50" s="115"/>
      <c r="CF50" s="115"/>
      <c r="CG50" s="115"/>
      <c r="CH50" s="115"/>
      <c r="CI50" s="115"/>
      <c r="CJ50" s="115"/>
      <c r="CK50" s="115"/>
      <c r="CL50" s="115"/>
      <c r="CM50" s="115"/>
      <c r="CN50" s="115"/>
      <c r="CO50" s="115"/>
      <c r="CP50" s="115"/>
      <c r="CQ50" s="115"/>
      <c r="CR50" s="115"/>
      <c r="CS50" s="115"/>
      <c r="CT50" s="115"/>
      <c r="CU50" s="115"/>
      <c r="CV50" s="115"/>
      <c r="CW50" s="115"/>
      <c r="CX50" s="115"/>
      <c r="CY50" s="115"/>
      <c r="CZ50" s="115"/>
      <c r="DA50" s="115">
        <f t="shared" si="15"/>
        <v>120</v>
      </c>
      <c r="DB50" s="115">
        <f t="shared" si="16"/>
        <v>118.57333333333334</v>
      </c>
      <c r="DC50" s="115">
        <f t="shared" si="17"/>
        <v>13.197959438236403</v>
      </c>
      <c r="DD50" s="116">
        <f t="shared" si="10"/>
        <v>0.1113063035947071</v>
      </c>
      <c r="DE50" s="115">
        <v>100</v>
      </c>
      <c r="DF50" s="115">
        <f t="shared" si="9"/>
        <v>19</v>
      </c>
      <c r="DG50" s="175">
        <f t="shared" si="4"/>
        <v>119</v>
      </c>
      <c r="DH50" s="175">
        <f t="shared" si="18"/>
        <v>714000</v>
      </c>
      <c r="DI50" s="119" t="s">
        <v>228</v>
      </c>
    </row>
    <row r="51" spans="1:114" s="28" customFormat="1" ht="30" x14ac:dyDescent="0.25">
      <c r="A51" s="36">
        <v>43</v>
      </c>
      <c r="B51" s="112" t="s">
        <v>42</v>
      </c>
      <c r="C51" s="113" t="s">
        <v>199</v>
      </c>
      <c r="D51" s="114" t="s">
        <v>168</v>
      </c>
      <c r="E51" s="114">
        <f>58+70</f>
        <v>128</v>
      </c>
      <c r="F51" s="115">
        <f>2941*5</f>
        <v>14705</v>
      </c>
      <c r="G51" s="115">
        <f>+F51*19%</f>
        <v>2793.95</v>
      </c>
      <c r="H51" s="115">
        <f>+F51+G51</f>
        <v>17498.95</v>
      </c>
      <c r="I51" s="115">
        <f>1849*5</f>
        <v>9245</v>
      </c>
      <c r="J51" s="115">
        <f>+I51*0.19</f>
        <v>1756.55</v>
      </c>
      <c r="K51" s="115">
        <f>+I51+J51</f>
        <v>11001.55</v>
      </c>
      <c r="L51" s="115">
        <f>1945*5</f>
        <v>9725</v>
      </c>
      <c r="M51" s="115">
        <f>+L51*0.19</f>
        <v>1847.75</v>
      </c>
      <c r="N51" s="115">
        <f>+L51+M51</f>
        <v>11572.75</v>
      </c>
      <c r="O51" s="118"/>
      <c r="P51" s="118"/>
      <c r="Q51" s="118"/>
      <c r="R51" s="115"/>
      <c r="S51" s="115"/>
      <c r="T51" s="115"/>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118"/>
      <c r="AX51" s="118"/>
      <c r="AY51" s="118"/>
      <c r="AZ51" s="118"/>
      <c r="BA51" s="118"/>
      <c r="BB51" s="118"/>
      <c r="BC51" s="118"/>
      <c r="BD51" s="118"/>
      <c r="BE51" s="118"/>
      <c r="BF51" s="118"/>
      <c r="BG51" s="118"/>
      <c r="BH51" s="118"/>
      <c r="BI51" s="118"/>
      <c r="BJ51" s="118"/>
      <c r="BK51" s="118"/>
      <c r="BL51" s="118"/>
      <c r="BM51" s="118"/>
      <c r="BN51" s="118"/>
      <c r="BO51" s="118"/>
      <c r="BP51" s="118"/>
      <c r="BQ51" s="118"/>
      <c r="BR51" s="118"/>
      <c r="BS51" s="118"/>
      <c r="BT51" s="118"/>
      <c r="BU51" s="118"/>
      <c r="BV51" s="118"/>
      <c r="BW51" s="118"/>
      <c r="BX51" s="115"/>
      <c r="BY51" s="115"/>
      <c r="BZ51" s="115"/>
      <c r="CA51" s="115"/>
      <c r="CB51" s="115"/>
      <c r="CC51" s="115"/>
      <c r="CD51" s="115"/>
      <c r="CE51" s="115"/>
      <c r="CF51" s="115"/>
      <c r="CG51" s="115"/>
      <c r="CH51" s="115"/>
      <c r="CI51" s="115"/>
      <c r="CJ51" s="115"/>
      <c r="CK51" s="115"/>
      <c r="CL51" s="115"/>
      <c r="CM51" s="115"/>
      <c r="CN51" s="115"/>
      <c r="CO51" s="115"/>
      <c r="CP51" s="115"/>
      <c r="CQ51" s="115"/>
      <c r="CR51" s="115"/>
      <c r="CS51" s="115"/>
      <c r="CT51" s="115"/>
      <c r="CU51" s="115"/>
      <c r="CV51" s="115"/>
      <c r="CW51" s="115"/>
      <c r="CX51" s="115">
        <f>(3700/1.19)*5</f>
        <v>15546.218487394959</v>
      </c>
      <c r="CY51" s="115">
        <f>+CX51*0.19</f>
        <v>2953.7815126050423</v>
      </c>
      <c r="CZ51" s="115">
        <f>+CX51+CY51</f>
        <v>18500</v>
      </c>
      <c r="DA51" s="115">
        <f>+MEDIAN(H51,K51,N51,CZ51)</f>
        <v>14535.85</v>
      </c>
      <c r="DB51" s="115">
        <f>+AVERAGE(H51,K51,N51,CZ51)</f>
        <v>14643.3125</v>
      </c>
      <c r="DC51" s="115">
        <f>+STDEV(H51,K51,N51,CZ51)</f>
        <v>3903.8225786560793</v>
      </c>
      <c r="DD51" s="116">
        <f>+DC51/DB51</f>
        <v>0.26659422713652253</v>
      </c>
      <c r="DE51" s="115">
        <v>12215.126050420169</v>
      </c>
      <c r="DF51" s="115">
        <f>+DE51*19%</f>
        <v>2320.8739495798322</v>
      </c>
      <c r="DG51" s="175">
        <f t="shared" si="4"/>
        <v>14536</v>
      </c>
      <c r="DH51" s="175">
        <f t="shared" si="18"/>
        <v>1860608</v>
      </c>
      <c r="DI51" s="119" t="s">
        <v>227</v>
      </c>
      <c r="DJ51" s="185"/>
    </row>
    <row r="52" spans="1:114" s="28" customFormat="1" ht="66" customHeight="1" x14ac:dyDescent="0.25">
      <c r="A52" s="36">
        <v>44</v>
      </c>
      <c r="B52" s="113" t="s">
        <v>43</v>
      </c>
      <c r="C52" s="113" t="s">
        <v>112</v>
      </c>
      <c r="D52" s="114" t="s">
        <v>166</v>
      </c>
      <c r="E52" s="114">
        <v>326</v>
      </c>
      <c r="F52" s="115"/>
      <c r="G52" s="115"/>
      <c r="H52" s="115"/>
      <c r="I52" s="115"/>
      <c r="J52" s="115"/>
      <c r="K52" s="115"/>
      <c r="L52" s="115"/>
      <c r="M52" s="115"/>
      <c r="N52" s="115"/>
      <c r="O52" s="122"/>
      <c r="P52" s="122"/>
      <c r="Q52" s="122"/>
      <c r="R52" s="115"/>
      <c r="S52" s="115"/>
      <c r="T52" s="115"/>
      <c r="U52" s="122"/>
      <c r="V52" s="122"/>
      <c r="W52" s="122"/>
      <c r="X52" s="118"/>
      <c r="Y52" s="122"/>
      <c r="Z52" s="122"/>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18"/>
      <c r="AW52" s="118"/>
      <c r="AX52" s="118"/>
      <c r="AY52" s="118">
        <f>1900/1.19</f>
        <v>1596.6386554621849</v>
      </c>
      <c r="AZ52" s="118">
        <f>+AY52*19%</f>
        <v>303.36134453781517</v>
      </c>
      <c r="BA52" s="118">
        <f>+AY52+AZ52</f>
        <v>1900</v>
      </c>
      <c r="BB52" s="118">
        <f>+BA52*15%</f>
        <v>285</v>
      </c>
      <c r="BC52" s="118">
        <f>+BA52+BB52</f>
        <v>2185</v>
      </c>
      <c r="BD52" s="118"/>
      <c r="BE52" s="118"/>
      <c r="BF52" s="118"/>
      <c r="BG52" s="118"/>
      <c r="BH52" s="118"/>
      <c r="BI52" s="118"/>
      <c r="BJ52" s="118"/>
      <c r="BK52" s="118"/>
      <c r="BL52" s="118"/>
      <c r="BM52" s="118"/>
      <c r="BN52" s="118"/>
      <c r="BO52" s="118"/>
      <c r="BP52" s="118"/>
      <c r="BQ52" s="118"/>
      <c r="BR52" s="118"/>
      <c r="BS52" s="118"/>
      <c r="BT52" s="118"/>
      <c r="BU52" s="118"/>
      <c r="BV52" s="118"/>
      <c r="BW52" s="118"/>
      <c r="BX52" s="115"/>
      <c r="BY52" s="115"/>
      <c r="BZ52" s="115"/>
      <c r="CA52" s="115"/>
      <c r="CB52" s="115"/>
      <c r="CC52" s="115"/>
      <c r="CD52" s="115">
        <f>1500/1.19</f>
        <v>1260.5042016806724</v>
      </c>
      <c r="CE52" s="115">
        <f>+CD52*19%</f>
        <v>239.49579831932775</v>
      </c>
      <c r="CF52" s="115">
        <f>+CD52+CE52</f>
        <v>1500.0000000000002</v>
      </c>
      <c r="CG52" s="115">
        <f>+CF52*15%</f>
        <v>225.00000000000003</v>
      </c>
      <c r="CH52" s="115">
        <f>+CF52+CG52</f>
        <v>1725.0000000000002</v>
      </c>
      <c r="CI52" s="115"/>
      <c r="CJ52" s="115"/>
      <c r="CK52" s="115"/>
      <c r="CL52" s="115"/>
      <c r="CM52" s="115"/>
      <c r="CN52" s="115"/>
      <c r="CO52" s="115"/>
      <c r="CP52" s="115"/>
      <c r="CQ52" s="115"/>
      <c r="CR52" s="115"/>
      <c r="CS52" s="115"/>
      <c r="CT52" s="115"/>
      <c r="CU52" s="115"/>
      <c r="CV52" s="115"/>
      <c r="CW52" s="115"/>
      <c r="CX52" s="115"/>
      <c r="CY52" s="115"/>
      <c r="CZ52" s="115"/>
      <c r="DA52" s="115">
        <f>+MEDIAN(BC52,CH52)</f>
        <v>1955</v>
      </c>
      <c r="DB52" s="115">
        <f>+AVERAGE(BC52,CH52)</f>
        <v>1955</v>
      </c>
      <c r="DC52" s="115">
        <f>+STDEV(BC52,CH52)</f>
        <v>325.26911934581329</v>
      </c>
      <c r="DD52" s="116">
        <f t="shared" si="10"/>
        <v>0.16637806616154133</v>
      </c>
      <c r="DE52" s="115">
        <v>1642.8571428571429</v>
      </c>
      <c r="DF52" s="115">
        <f>+DE52*19%</f>
        <v>312.14285714285717</v>
      </c>
      <c r="DG52" s="175">
        <f>+ROUNDUP(IF(DD52&lt;15%,DB52,DA52),0)</f>
        <v>1955</v>
      </c>
      <c r="DH52" s="175">
        <f t="shared" si="18"/>
        <v>637330</v>
      </c>
      <c r="DI52" s="119" t="s">
        <v>227</v>
      </c>
    </row>
    <row r="53" spans="1:114" s="28" customFormat="1" ht="30" x14ac:dyDescent="0.25">
      <c r="A53" s="36">
        <v>45</v>
      </c>
      <c r="B53" s="113" t="s">
        <v>43</v>
      </c>
      <c r="C53" s="113" t="s">
        <v>113</v>
      </c>
      <c r="D53" s="114" t="s">
        <v>166</v>
      </c>
      <c r="E53" s="114">
        <v>294</v>
      </c>
      <c r="F53" s="115"/>
      <c r="G53" s="115"/>
      <c r="H53" s="115"/>
      <c r="I53" s="115"/>
      <c r="J53" s="115"/>
      <c r="K53" s="115"/>
      <c r="L53" s="115"/>
      <c r="M53" s="115"/>
      <c r="N53" s="115"/>
      <c r="O53" s="122"/>
      <c r="P53" s="122"/>
      <c r="Q53" s="122"/>
      <c r="R53" s="115"/>
      <c r="S53" s="115"/>
      <c r="T53" s="115"/>
      <c r="U53" s="122">
        <v>2100.840336134454</v>
      </c>
      <c r="V53" s="122">
        <f>+U53*0.19</f>
        <v>399.15966386554624</v>
      </c>
      <c r="W53" s="122">
        <f t="shared" ref="W53:W70" si="19">+U53+V53</f>
        <v>2500</v>
      </c>
      <c r="X53" s="122"/>
      <c r="Y53" s="122">
        <v>2352.9411764705883</v>
      </c>
      <c r="Z53" s="122">
        <f>+Y53*0.19</f>
        <v>447.05882352941177</v>
      </c>
      <c r="AA53" s="122">
        <f t="shared" ref="AA53:AA70" si="20">+Y53+Z53</f>
        <v>2800</v>
      </c>
      <c r="AB53" s="118"/>
      <c r="AC53" s="118"/>
      <c r="AD53" s="118"/>
      <c r="AE53" s="118"/>
      <c r="AF53" s="118"/>
      <c r="AG53" s="118"/>
      <c r="AH53" s="118"/>
      <c r="AI53" s="118"/>
      <c r="AJ53" s="115"/>
      <c r="AK53" s="115"/>
      <c r="AL53" s="115"/>
      <c r="AM53" s="115"/>
      <c r="AN53" s="115"/>
      <c r="AO53" s="115"/>
      <c r="AP53" s="115"/>
      <c r="AQ53" s="115"/>
      <c r="AR53" s="115"/>
      <c r="AS53" s="115"/>
      <c r="AT53" s="115"/>
      <c r="AU53" s="115"/>
      <c r="AV53" s="115"/>
      <c r="AW53" s="115"/>
      <c r="AX53" s="115"/>
      <c r="AY53" s="115"/>
      <c r="AZ53" s="115"/>
      <c r="BA53" s="115"/>
      <c r="BB53" s="115"/>
      <c r="BC53" s="115"/>
      <c r="BD53" s="118"/>
      <c r="BE53" s="118"/>
      <c r="BF53" s="118"/>
      <c r="BG53" s="118"/>
      <c r="BH53" s="118"/>
      <c r="BI53" s="118"/>
      <c r="BJ53" s="118"/>
      <c r="BK53" s="118"/>
      <c r="BL53" s="118"/>
      <c r="BM53" s="118"/>
      <c r="BN53" s="118"/>
      <c r="BO53" s="118"/>
      <c r="BP53" s="118"/>
      <c r="BQ53" s="118"/>
      <c r="BR53" s="118"/>
      <c r="BS53" s="118"/>
      <c r="BT53" s="118"/>
      <c r="BU53" s="118"/>
      <c r="BV53" s="118"/>
      <c r="BW53" s="118"/>
      <c r="BX53" s="115"/>
      <c r="BY53" s="115"/>
      <c r="BZ53" s="115"/>
      <c r="CA53" s="115"/>
      <c r="CB53" s="115"/>
      <c r="CC53" s="115"/>
      <c r="CD53" s="115"/>
      <c r="CE53" s="115"/>
      <c r="CF53" s="115"/>
      <c r="CG53" s="115"/>
      <c r="CH53" s="115"/>
      <c r="CI53" s="115"/>
      <c r="CJ53" s="115"/>
      <c r="CK53" s="115"/>
      <c r="CL53" s="115"/>
      <c r="CM53" s="115"/>
      <c r="CN53" s="115"/>
      <c r="CO53" s="115"/>
      <c r="CP53" s="115"/>
      <c r="CQ53" s="115"/>
      <c r="CR53" s="115"/>
      <c r="CS53" s="115"/>
      <c r="CT53" s="115"/>
      <c r="CU53" s="115"/>
      <c r="CV53" s="115"/>
      <c r="CW53" s="115"/>
      <c r="CX53" s="115"/>
      <c r="CY53" s="115"/>
      <c r="CZ53" s="115"/>
      <c r="DA53" s="122">
        <f>+MEDIAN(W53,AA53)</f>
        <v>2650</v>
      </c>
      <c r="DB53" s="122">
        <f>+AVERAGE(W53,AA53)</f>
        <v>2650</v>
      </c>
      <c r="DC53" s="122">
        <f>+STDEV(W53,AA53)</f>
        <v>212.13203435596427</v>
      </c>
      <c r="DD53" s="116">
        <f t="shared" si="10"/>
        <v>8.0049824285269536E-2</v>
      </c>
      <c r="DE53" s="115">
        <v>2226.8907563025209</v>
      </c>
      <c r="DF53" s="115">
        <f t="shared" si="9"/>
        <v>423.10924369747897</v>
      </c>
      <c r="DG53" s="175">
        <f t="shared" si="4"/>
        <v>2650</v>
      </c>
      <c r="DH53" s="175">
        <f t="shared" si="18"/>
        <v>779100</v>
      </c>
      <c r="DI53" s="119" t="s">
        <v>228</v>
      </c>
    </row>
    <row r="54" spans="1:114" s="28" customFormat="1" ht="56.25" customHeight="1" x14ac:dyDescent="0.25">
      <c r="A54" s="36">
        <v>46</v>
      </c>
      <c r="B54" s="113" t="s">
        <v>44</v>
      </c>
      <c r="C54" s="113" t="s">
        <v>185</v>
      </c>
      <c r="D54" s="114" t="s">
        <v>166</v>
      </c>
      <c r="E54" s="114">
        <f>7+250</f>
        <v>257</v>
      </c>
      <c r="F54" s="115"/>
      <c r="G54" s="115"/>
      <c r="H54" s="115"/>
      <c r="I54" s="115">
        <v>2184.8739495798322</v>
      </c>
      <c r="J54" s="115">
        <f>+I54*0.19</f>
        <v>415.12605042016816</v>
      </c>
      <c r="K54" s="115">
        <f>+I54+J54</f>
        <v>2600.0000000000005</v>
      </c>
      <c r="L54" s="115"/>
      <c r="M54" s="115"/>
      <c r="N54" s="115"/>
      <c r="O54" s="122"/>
      <c r="P54" s="122"/>
      <c r="Q54" s="122"/>
      <c r="R54" s="115"/>
      <c r="S54" s="115"/>
      <c r="T54" s="115"/>
      <c r="U54" s="122"/>
      <c r="V54" s="122"/>
      <c r="W54" s="122"/>
      <c r="X54" s="122"/>
      <c r="Y54" s="122"/>
      <c r="Z54" s="122"/>
      <c r="AA54" s="122"/>
      <c r="AB54" s="118"/>
      <c r="AC54" s="118"/>
      <c r="AD54" s="118"/>
      <c r="AE54" s="118"/>
      <c r="AF54" s="118"/>
      <c r="AG54" s="118"/>
      <c r="AH54" s="118"/>
      <c r="AI54" s="118"/>
      <c r="AJ54" s="122"/>
      <c r="AK54" s="122"/>
      <c r="AL54" s="122"/>
      <c r="AM54" s="122"/>
      <c r="AN54" s="122"/>
      <c r="AO54" s="122"/>
      <c r="AP54" s="122"/>
      <c r="AQ54" s="115"/>
      <c r="AR54" s="115"/>
      <c r="AS54" s="115"/>
      <c r="AT54" s="115"/>
      <c r="AU54" s="115"/>
      <c r="AV54" s="115"/>
      <c r="AW54" s="115"/>
      <c r="AX54" s="115"/>
      <c r="AY54" s="115"/>
      <c r="AZ54" s="115"/>
      <c r="BA54" s="115"/>
      <c r="BB54" s="115"/>
      <c r="BC54" s="115"/>
      <c r="BD54" s="122"/>
      <c r="BE54" s="122"/>
      <c r="BF54" s="122"/>
      <c r="BG54" s="122"/>
      <c r="BH54" s="122"/>
      <c r="BI54" s="122">
        <v>2626.0504201680674</v>
      </c>
      <c r="BJ54" s="122">
        <f>+BI54*0.19</f>
        <v>498.94957983193279</v>
      </c>
      <c r="BK54" s="122">
        <f>+BI54+BJ54</f>
        <v>3125</v>
      </c>
      <c r="BL54" s="122">
        <f>+BK54*15%</f>
        <v>468.75</v>
      </c>
      <c r="BM54" s="122">
        <f>+BK54+BL54</f>
        <v>3593.75</v>
      </c>
      <c r="BN54" s="122"/>
      <c r="BO54" s="122"/>
      <c r="BP54" s="122"/>
      <c r="BQ54" s="122"/>
      <c r="BR54" s="122"/>
      <c r="BS54" s="118"/>
      <c r="BT54" s="118"/>
      <c r="BU54" s="118"/>
      <c r="BV54" s="118"/>
      <c r="BW54" s="118"/>
      <c r="BX54" s="115"/>
      <c r="BY54" s="115"/>
      <c r="BZ54" s="115"/>
      <c r="CA54" s="115"/>
      <c r="CB54" s="115"/>
      <c r="CC54" s="115"/>
      <c r="CD54" s="115"/>
      <c r="CE54" s="115"/>
      <c r="CF54" s="115"/>
      <c r="CG54" s="115"/>
      <c r="CH54" s="115"/>
      <c r="CI54" s="115"/>
      <c r="CJ54" s="115"/>
      <c r="CK54" s="115"/>
      <c r="CL54" s="115"/>
      <c r="CM54" s="115"/>
      <c r="CN54" s="115"/>
      <c r="CO54" s="115"/>
      <c r="CP54" s="115"/>
      <c r="CQ54" s="115"/>
      <c r="CR54" s="115"/>
      <c r="CS54" s="115"/>
      <c r="CT54" s="115"/>
      <c r="CU54" s="115"/>
      <c r="CV54" s="115"/>
      <c r="CW54" s="115"/>
      <c r="CX54" s="115"/>
      <c r="CY54" s="115"/>
      <c r="CZ54" s="115"/>
      <c r="DA54" s="122">
        <f>+MEDIAN(K54,BM54)</f>
        <v>3096.875</v>
      </c>
      <c r="DB54" s="122">
        <f>+AVERAGE(K54,BM54)</f>
        <v>3096.875</v>
      </c>
      <c r="DC54" s="122">
        <f>+STDEV(K54,BM54)</f>
        <v>702.68736380413429</v>
      </c>
      <c r="DD54" s="116">
        <f t="shared" si="10"/>
        <v>0.22690207509316143</v>
      </c>
      <c r="DE54" s="115">
        <v>2602.5210084033615</v>
      </c>
      <c r="DF54" s="115">
        <f t="shared" si="9"/>
        <v>494.47899159663871</v>
      </c>
      <c r="DG54" s="175">
        <f>+ROUNDUP(IF(DD54&lt;15%,DB54,DA54),0)</f>
        <v>3097</v>
      </c>
      <c r="DH54" s="175">
        <f t="shared" si="18"/>
        <v>795929</v>
      </c>
      <c r="DI54" s="119" t="s">
        <v>227</v>
      </c>
    </row>
    <row r="55" spans="1:114" s="28" customFormat="1" ht="30" x14ac:dyDescent="0.25">
      <c r="A55" s="36">
        <v>47</v>
      </c>
      <c r="B55" s="112" t="s">
        <v>45</v>
      </c>
      <c r="C55" s="113" t="s">
        <v>114</v>
      </c>
      <c r="D55" s="114" t="s">
        <v>166</v>
      </c>
      <c r="E55" s="114">
        <v>96</v>
      </c>
      <c r="F55" s="115"/>
      <c r="G55" s="115"/>
      <c r="H55" s="115"/>
      <c r="I55" s="115"/>
      <c r="J55" s="115"/>
      <c r="K55" s="115"/>
      <c r="L55" s="115"/>
      <c r="M55" s="115"/>
      <c r="N55" s="115"/>
      <c r="O55" s="115"/>
      <c r="P55" s="115"/>
      <c r="Q55" s="115"/>
      <c r="R55" s="115"/>
      <c r="S55" s="115"/>
      <c r="T55" s="115"/>
      <c r="U55" s="115">
        <v>3781.5126050420172</v>
      </c>
      <c r="V55" s="115">
        <f>+U55*0.19</f>
        <v>718.48739495798327</v>
      </c>
      <c r="W55" s="115">
        <f t="shared" si="19"/>
        <v>4500</v>
      </c>
      <c r="X55" s="115"/>
      <c r="Y55" s="115">
        <v>4840.3361344537816</v>
      </c>
      <c r="Z55" s="115">
        <f>+Y55*0.19</f>
        <v>919.66386554621852</v>
      </c>
      <c r="AA55" s="115">
        <f t="shared" si="20"/>
        <v>5760</v>
      </c>
      <c r="AB55" s="118"/>
      <c r="AC55" s="118"/>
      <c r="AD55" s="118"/>
      <c r="AE55" s="118"/>
      <c r="AF55" s="118"/>
      <c r="AG55" s="118"/>
      <c r="AH55" s="118"/>
      <c r="AI55" s="118"/>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8"/>
      <c r="BT55" s="118"/>
      <c r="BU55" s="118"/>
      <c r="BV55" s="118"/>
      <c r="BW55" s="118"/>
      <c r="BX55" s="115"/>
      <c r="BY55" s="115"/>
      <c r="BZ55" s="115"/>
      <c r="CA55" s="115"/>
      <c r="CB55" s="115"/>
      <c r="CC55" s="115"/>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f>+MEDIAN(W55,AA55)</f>
        <v>5130</v>
      </c>
      <c r="DB55" s="115">
        <f>+AVERAGE(W55,AA55)</f>
        <v>5130</v>
      </c>
      <c r="DC55" s="115">
        <f>+STDEV(W55,AA55)</f>
        <v>890.95454429504991</v>
      </c>
      <c r="DD55" s="116">
        <f t="shared" si="10"/>
        <v>0.17367534976511695</v>
      </c>
      <c r="DE55" s="115">
        <v>4310.9243697478996</v>
      </c>
      <c r="DF55" s="115">
        <f t="shared" si="9"/>
        <v>819.07563025210095</v>
      </c>
      <c r="DG55" s="175">
        <f t="shared" si="4"/>
        <v>5130</v>
      </c>
      <c r="DH55" s="175">
        <f t="shared" si="18"/>
        <v>492480</v>
      </c>
      <c r="DI55" s="119" t="s">
        <v>227</v>
      </c>
    </row>
    <row r="56" spans="1:114" s="28" customFormat="1" ht="45" x14ac:dyDescent="0.25">
      <c r="A56" s="36">
        <v>48</v>
      </c>
      <c r="B56" s="112" t="s">
        <v>46</v>
      </c>
      <c r="C56" s="113" t="s">
        <v>115</v>
      </c>
      <c r="D56" s="114" t="s">
        <v>167</v>
      </c>
      <c r="E56" s="114">
        <v>96</v>
      </c>
      <c r="F56" s="115">
        <v>2521</v>
      </c>
      <c r="G56" s="115">
        <f>+F56*19%</f>
        <v>478.99</v>
      </c>
      <c r="H56" s="115">
        <f>+F56+G56</f>
        <v>2999.99</v>
      </c>
      <c r="I56" s="115">
        <v>1681</v>
      </c>
      <c r="J56" s="115">
        <f>+I56*0.19</f>
        <v>319.39</v>
      </c>
      <c r="K56" s="115">
        <f>+I56+J56</f>
        <v>2000.3899999999999</v>
      </c>
      <c r="L56" s="120"/>
      <c r="M56" s="120"/>
      <c r="N56" s="120"/>
      <c r="O56" s="118"/>
      <c r="P56" s="118"/>
      <c r="Q56" s="118"/>
      <c r="R56" s="118"/>
      <c r="S56" s="118"/>
      <c r="T56" s="118"/>
      <c r="U56" s="118"/>
      <c r="V56" s="118"/>
      <c r="W56" s="118"/>
      <c r="X56" s="118"/>
      <c r="Y56" s="118"/>
      <c r="Z56" s="118"/>
      <c r="AA56" s="118"/>
      <c r="AB56" s="118"/>
      <c r="AC56" s="118"/>
      <c r="AD56" s="118"/>
      <c r="AE56" s="118"/>
      <c r="AF56" s="118"/>
      <c r="AG56" s="118"/>
      <c r="AH56" s="118"/>
      <c r="AI56" s="118"/>
      <c r="AJ56" s="118"/>
      <c r="AK56" s="118"/>
      <c r="AL56" s="118"/>
      <c r="AM56" s="118"/>
      <c r="AN56" s="118"/>
      <c r="AO56" s="118"/>
      <c r="AP56" s="118"/>
      <c r="AQ56" s="115"/>
      <c r="AR56" s="115"/>
      <c r="AS56" s="115"/>
      <c r="AT56" s="115"/>
      <c r="AU56" s="115"/>
      <c r="AV56" s="115"/>
      <c r="AW56" s="115"/>
      <c r="AX56" s="115"/>
      <c r="AY56" s="115"/>
      <c r="AZ56" s="115"/>
      <c r="BA56" s="115"/>
      <c r="BB56" s="115"/>
      <c r="BC56" s="115"/>
      <c r="BD56" s="115"/>
      <c r="BE56" s="115"/>
      <c r="BF56" s="115"/>
      <c r="BG56" s="115"/>
      <c r="BH56" s="115"/>
      <c r="BI56" s="115"/>
      <c r="BJ56" s="115"/>
      <c r="BK56" s="115"/>
      <c r="BL56" s="115"/>
      <c r="BM56" s="115"/>
      <c r="BN56" s="115"/>
      <c r="BO56" s="115"/>
      <c r="BP56" s="115"/>
      <c r="BQ56" s="115"/>
      <c r="BR56" s="115"/>
      <c r="BS56" s="118"/>
      <c r="BT56" s="118"/>
      <c r="BU56" s="118"/>
      <c r="BV56" s="118"/>
      <c r="BW56" s="118"/>
      <c r="BX56" s="115"/>
      <c r="BY56" s="115"/>
      <c r="BZ56" s="115"/>
      <c r="CA56" s="115"/>
      <c r="CB56" s="115"/>
      <c r="CC56" s="115"/>
      <c r="CD56" s="115"/>
      <c r="CE56" s="115"/>
      <c r="CF56" s="115"/>
      <c r="CG56" s="115"/>
      <c r="CH56" s="115"/>
      <c r="CI56" s="115"/>
      <c r="CJ56" s="115"/>
      <c r="CK56" s="115"/>
      <c r="CL56" s="115"/>
      <c r="CM56" s="115"/>
      <c r="CN56" s="115"/>
      <c r="CO56" s="115"/>
      <c r="CP56" s="115"/>
      <c r="CQ56" s="115"/>
      <c r="CR56" s="115"/>
      <c r="CS56" s="115"/>
      <c r="CT56" s="115"/>
      <c r="CU56" s="115"/>
      <c r="CV56" s="115"/>
      <c r="CW56" s="115"/>
      <c r="CX56" s="115"/>
      <c r="CY56" s="115"/>
      <c r="CZ56" s="115"/>
      <c r="DA56" s="115">
        <f>+MEDIAN(H56,K56)</f>
        <v>2500.1899999999996</v>
      </c>
      <c r="DB56" s="115">
        <f>+AVERAGE(H56,K56)</f>
        <v>2500.1899999999996</v>
      </c>
      <c r="DC56" s="115">
        <f>+STDEV(H56,K56)</f>
        <v>706.82393847407423</v>
      </c>
      <c r="DD56" s="116">
        <f t="shared" si="10"/>
        <v>0.28270808957482207</v>
      </c>
      <c r="DE56" s="115">
        <v>2101.6806722689075</v>
      </c>
      <c r="DF56" s="115">
        <f t="shared" si="9"/>
        <v>399.31932773109241</v>
      </c>
      <c r="DG56" s="175">
        <f t="shared" ref="DG56:DG73" si="21">+ROUNDUP(IF(DD56&lt;15%,DB56,DA56),0)</f>
        <v>2501</v>
      </c>
      <c r="DH56" s="175">
        <f t="shared" si="18"/>
        <v>240096</v>
      </c>
      <c r="DI56" s="119" t="s">
        <v>227</v>
      </c>
    </row>
    <row r="57" spans="1:114" s="28" customFormat="1" ht="96.75" customHeight="1" x14ac:dyDescent="0.25">
      <c r="A57" s="36">
        <v>49</v>
      </c>
      <c r="B57" s="112" t="s">
        <v>47</v>
      </c>
      <c r="C57" s="113" t="s">
        <v>116</v>
      </c>
      <c r="D57" s="114" t="s">
        <v>166</v>
      </c>
      <c r="E57" s="114">
        <v>314</v>
      </c>
      <c r="F57" s="115">
        <v>11500</v>
      </c>
      <c r="G57" s="115">
        <v>0</v>
      </c>
      <c r="H57" s="115">
        <f>+F57+G57</f>
        <v>11500</v>
      </c>
      <c r="I57" s="115"/>
      <c r="J57" s="115"/>
      <c r="K57" s="115"/>
      <c r="L57" s="115">
        <f>759*12</f>
        <v>9108</v>
      </c>
      <c r="M57" s="115">
        <v>0</v>
      </c>
      <c r="N57" s="115">
        <f>+L57+M57</f>
        <v>9108</v>
      </c>
      <c r="O57" s="118"/>
      <c r="P57" s="118"/>
      <c r="Q57" s="118"/>
      <c r="R57" s="118"/>
      <c r="S57" s="118"/>
      <c r="T57" s="118"/>
      <c r="U57" s="115"/>
      <c r="V57" s="115"/>
      <c r="W57" s="115"/>
      <c r="X57" s="115"/>
      <c r="Y57" s="115"/>
      <c r="Z57" s="115"/>
      <c r="AA57" s="115"/>
      <c r="AB57" s="115"/>
      <c r="AC57" s="115"/>
      <c r="AD57" s="115"/>
      <c r="AE57" s="115"/>
      <c r="AF57" s="115"/>
      <c r="AG57" s="115"/>
      <c r="AH57" s="115"/>
      <c r="AI57" s="115"/>
      <c r="AJ57" s="115"/>
      <c r="AK57" s="115"/>
      <c r="AL57" s="115"/>
      <c r="AM57" s="115"/>
      <c r="AN57" s="115"/>
      <c r="AO57" s="115"/>
      <c r="AP57" s="115"/>
      <c r="AQ57" s="115"/>
      <c r="AR57" s="115"/>
      <c r="AS57" s="115"/>
      <c r="AT57" s="115"/>
      <c r="AU57" s="115"/>
      <c r="AV57" s="115"/>
      <c r="AW57" s="115"/>
      <c r="AX57" s="115"/>
      <c r="AY57" s="115"/>
      <c r="AZ57" s="115"/>
      <c r="BA57" s="115"/>
      <c r="BB57" s="115"/>
      <c r="BC57" s="115"/>
      <c r="BD57" s="115"/>
      <c r="BE57" s="115"/>
      <c r="BF57" s="115"/>
      <c r="BG57" s="115"/>
      <c r="BH57" s="115"/>
      <c r="BI57" s="115"/>
      <c r="BJ57" s="115"/>
      <c r="BK57" s="115"/>
      <c r="BL57" s="115"/>
      <c r="BM57" s="115"/>
      <c r="BN57" s="115"/>
      <c r="BO57" s="115"/>
      <c r="BP57" s="115"/>
      <c r="BQ57" s="115"/>
      <c r="BR57" s="115"/>
      <c r="BS57" s="115"/>
      <c r="BT57" s="115"/>
      <c r="BU57" s="115"/>
      <c r="BV57" s="115"/>
      <c r="BW57" s="115"/>
      <c r="BX57" s="115"/>
      <c r="BY57" s="115"/>
      <c r="BZ57" s="115"/>
      <c r="CA57" s="115"/>
      <c r="CB57" s="115"/>
      <c r="CC57" s="115"/>
      <c r="CD57" s="115"/>
      <c r="CE57" s="115"/>
      <c r="CF57" s="115"/>
      <c r="CG57" s="115"/>
      <c r="CH57" s="115"/>
      <c r="CI57" s="115"/>
      <c r="CJ57" s="115"/>
      <c r="CK57" s="115"/>
      <c r="CL57" s="115"/>
      <c r="CM57" s="115"/>
      <c r="CN57" s="115"/>
      <c r="CO57" s="115"/>
      <c r="CP57" s="115"/>
      <c r="CQ57" s="115"/>
      <c r="CR57" s="115"/>
      <c r="CS57" s="115"/>
      <c r="CT57" s="115"/>
      <c r="CU57" s="115"/>
      <c r="CV57" s="115"/>
      <c r="CW57" s="115"/>
      <c r="CX57" s="115"/>
      <c r="CY57" s="115"/>
      <c r="CZ57" s="115"/>
      <c r="DA57" s="115">
        <f>+MEDIAN(H57,N57)</f>
        <v>10304</v>
      </c>
      <c r="DB57" s="115">
        <f>+AVERAGE(H57,N57)</f>
        <v>10304</v>
      </c>
      <c r="DC57" s="115">
        <f>+STDEV(H57,N57)</f>
        <v>1691.3994205982217</v>
      </c>
      <c r="DD57" s="116">
        <f t="shared" si="10"/>
        <v>0.16414978848973424</v>
      </c>
      <c r="DE57" s="115">
        <v>8658.8235294117658</v>
      </c>
      <c r="DF57" s="115">
        <v>0</v>
      </c>
      <c r="DG57" s="175">
        <f t="shared" si="21"/>
        <v>10304</v>
      </c>
      <c r="DH57" s="175">
        <f t="shared" si="18"/>
        <v>3235456</v>
      </c>
      <c r="DI57" s="119" t="s">
        <v>227</v>
      </c>
    </row>
    <row r="58" spans="1:114" s="28" customFormat="1" ht="84" customHeight="1" x14ac:dyDescent="0.25">
      <c r="A58" s="36">
        <v>50</v>
      </c>
      <c r="B58" s="112" t="s">
        <v>48</v>
      </c>
      <c r="C58" s="113" t="s">
        <v>187</v>
      </c>
      <c r="D58" s="114" t="s">
        <v>166</v>
      </c>
      <c r="E58" s="114">
        <v>439</v>
      </c>
      <c r="F58" s="115">
        <v>13500</v>
      </c>
      <c r="G58" s="115">
        <v>0</v>
      </c>
      <c r="H58" s="115">
        <f>+F58+G58</f>
        <v>13500</v>
      </c>
      <c r="I58" s="115">
        <v>10704</v>
      </c>
      <c r="J58" s="115">
        <v>0</v>
      </c>
      <c r="K58" s="115">
        <f>+I58+J58</f>
        <v>10704</v>
      </c>
      <c r="L58" s="118"/>
      <c r="M58" s="118"/>
      <c r="N58" s="118"/>
      <c r="O58" s="118"/>
      <c r="P58" s="118"/>
      <c r="Q58" s="118"/>
      <c r="R58" s="118"/>
      <c r="S58" s="118"/>
      <c r="T58" s="118"/>
      <c r="U58" s="118"/>
      <c r="V58" s="118"/>
      <c r="W58" s="11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18"/>
      <c r="AW58" s="118"/>
      <c r="AX58" s="118"/>
      <c r="AY58" s="118"/>
      <c r="AZ58" s="118"/>
      <c r="BA58" s="118"/>
      <c r="BB58" s="118"/>
      <c r="BC58" s="118"/>
      <c r="BD58" s="118"/>
      <c r="BE58" s="118"/>
      <c r="BF58" s="118"/>
      <c r="BG58" s="118"/>
      <c r="BH58" s="118"/>
      <c r="BI58" s="118"/>
      <c r="BJ58" s="118"/>
      <c r="BK58" s="118"/>
      <c r="BL58" s="118"/>
      <c r="BM58" s="118"/>
      <c r="BN58" s="118"/>
      <c r="BO58" s="118"/>
      <c r="BP58" s="118"/>
      <c r="BQ58" s="118"/>
      <c r="BR58" s="118"/>
      <c r="BS58" s="118"/>
      <c r="BT58" s="118"/>
      <c r="BU58" s="118"/>
      <c r="BV58" s="118"/>
      <c r="BW58" s="118"/>
      <c r="BX58" s="115"/>
      <c r="BY58" s="115"/>
      <c r="BZ58" s="115"/>
      <c r="CA58" s="115"/>
      <c r="CB58" s="115"/>
      <c r="CC58" s="115"/>
      <c r="CD58" s="115"/>
      <c r="CE58" s="115"/>
      <c r="CF58" s="115"/>
      <c r="CG58" s="115"/>
      <c r="CH58" s="115"/>
      <c r="CI58" s="115"/>
      <c r="CJ58" s="115"/>
      <c r="CK58" s="115"/>
      <c r="CL58" s="115"/>
      <c r="CM58" s="115"/>
      <c r="CN58" s="115"/>
      <c r="CO58" s="115"/>
      <c r="CP58" s="115"/>
      <c r="CQ58" s="115"/>
      <c r="CR58" s="115"/>
      <c r="CS58" s="115"/>
      <c r="CT58" s="115"/>
      <c r="CU58" s="115"/>
      <c r="CV58" s="115"/>
      <c r="CW58" s="115"/>
      <c r="CX58" s="115"/>
      <c r="CY58" s="115"/>
      <c r="CZ58" s="115"/>
      <c r="DA58" s="115">
        <f>+MEDIAN(H58,K58)</f>
        <v>12102</v>
      </c>
      <c r="DB58" s="115">
        <f>+AVERAGE(H58,K58)</f>
        <v>12102</v>
      </c>
      <c r="DC58" s="115">
        <f>+STDEV(H58,K58)</f>
        <v>1977.0705601975869</v>
      </c>
      <c r="DD58" s="116">
        <f t="shared" si="10"/>
        <v>0.16336725832073928</v>
      </c>
      <c r="DE58" s="115">
        <v>10169.747899159664</v>
      </c>
      <c r="DF58" s="115">
        <v>0</v>
      </c>
      <c r="DG58" s="175">
        <f t="shared" si="21"/>
        <v>12102</v>
      </c>
      <c r="DH58" s="175">
        <f t="shared" si="18"/>
        <v>5312778</v>
      </c>
      <c r="DI58" s="119" t="s">
        <v>227</v>
      </c>
    </row>
    <row r="59" spans="1:114" s="28" customFormat="1" ht="45.75" customHeight="1" x14ac:dyDescent="0.25">
      <c r="A59" s="36">
        <v>51</v>
      </c>
      <c r="B59" s="112" t="s">
        <v>49</v>
      </c>
      <c r="C59" s="113" t="s">
        <v>117</v>
      </c>
      <c r="D59" s="114" t="s">
        <v>167</v>
      </c>
      <c r="E59" s="114">
        <v>220</v>
      </c>
      <c r="F59" s="115"/>
      <c r="G59" s="115"/>
      <c r="H59" s="115"/>
      <c r="I59" s="115"/>
      <c r="J59" s="115"/>
      <c r="K59" s="115"/>
      <c r="L59" s="115"/>
      <c r="M59" s="115"/>
      <c r="N59" s="115"/>
      <c r="O59" s="118"/>
      <c r="P59" s="118"/>
      <c r="Q59" s="118"/>
      <c r="R59" s="115"/>
      <c r="S59" s="115"/>
      <c r="T59" s="115"/>
      <c r="U59" s="118">
        <v>19915.966386554624</v>
      </c>
      <c r="V59" s="118">
        <f>+U59*0.19</f>
        <v>3784.0336134453787</v>
      </c>
      <c r="W59" s="118">
        <f t="shared" si="19"/>
        <v>23700.000000000004</v>
      </c>
      <c r="X59" s="118"/>
      <c r="Y59" s="118">
        <v>17983.193277310926</v>
      </c>
      <c r="Z59" s="118">
        <f>+Y59*0.19</f>
        <v>3416.8067226890757</v>
      </c>
      <c r="AA59" s="118">
        <f t="shared" si="20"/>
        <v>21400</v>
      </c>
      <c r="AB59" s="118"/>
      <c r="AC59" s="118"/>
      <c r="AD59" s="118"/>
      <c r="AE59" s="118"/>
      <c r="AF59" s="118"/>
      <c r="AG59" s="118"/>
      <c r="AH59" s="118"/>
      <c r="AI59" s="118"/>
      <c r="AJ59" s="115"/>
      <c r="AK59" s="115"/>
      <c r="AL59" s="115"/>
      <c r="AM59" s="115"/>
      <c r="AN59" s="115"/>
      <c r="AO59" s="115"/>
      <c r="AP59" s="115"/>
      <c r="AQ59" s="115"/>
      <c r="AR59" s="115"/>
      <c r="AS59" s="115"/>
      <c r="AT59" s="115"/>
      <c r="AU59" s="115"/>
      <c r="AV59" s="115"/>
      <c r="AW59" s="115"/>
      <c r="AX59" s="115"/>
      <c r="AY59" s="115"/>
      <c r="AZ59" s="115"/>
      <c r="BA59" s="115"/>
      <c r="BB59" s="115"/>
      <c r="BC59" s="115"/>
      <c r="BD59" s="115"/>
      <c r="BE59" s="115"/>
      <c r="BF59" s="115"/>
      <c r="BG59" s="115"/>
      <c r="BH59" s="115"/>
      <c r="BI59" s="115"/>
      <c r="BJ59" s="115"/>
      <c r="BK59" s="115"/>
      <c r="BL59" s="115"/>
      <c r="BM59" s="115"/>
      <c r="BN59" s="115"/>
      <c r="BO59" s="115"/>
      <c r="BP59" s="115"/>
      <c r="BQ59" s="115"/>
      <c r="BR59" s="115"/>
      <c r="BS59" s="118"/>
      <c r="BT59" s="118"/>
      <c r="BU59" s="118"/>
      <c r="BV59" s="118"/>
      <c r="BW59" s="118"/>
      <c r="BX59" s="115"/>
      <c r="BY59" s="115"/>
      <c r="BZ59" s="115"/>
      <c r="CA59" s="115"/>
      <c r="CB59" s="115"/>
      <c r="CC59" s="115"/>
      <c r="CD59" s="115"/>
      <c r="CE59" s="115"/>
      <c r="CF59" s="115"/>
      <c r="CG59" s="115"/>
      <c r="CH59" s="115"/>
      <c r="CI59" s="115"/>
      <c r="CJ59" s="115"/>
      <c r="CK59" s="115"/>
      <c r="CL59" s="115"/>
      <c r="CM59" s="115"/>
      <c r="CN59" s="115"/>
      <c r="CO59" s="115"/>
      <c r="CP59" s="115"/>
      <c r="CQ59" s="115"/>
      <c r="CR59" s="115"/>
      <c r="CS59" s="115"/>
      <c r="CT59" s="115"/>
      <c r="CU59" s="115"/>
      <c r="CV59" s="115"/>
      <c r="CW59" s="115"/>
      <c r="CX59" s="115"/>
      <c r="CY59" s="115"/>
      <c r="CZ59" s="115"/>
      <c r="DA59" s="115">
        <f>+MEDIAN(W59,AA59)</f>
        <v>22550</v>
      </c>
      <c r="DB59" s="115">
        <f>+AVERAGE(W59,AA59)</f>
        <v>22550</v>
      </c>
      <c r="DC59" s="115">
        <f>+STDEV(W59,AA59)</f>
        <v>1626.345596729062</v>
      </c>
      <c r="DD59" s="116">
        <f t="shared" si="10"/>
        <v>7.212175595250829E-2</v>
      </c>
      <c r="DE59" s="115">
        <v>18949.579831932773</v>
      </c>
      <c r="DF59" s="115">
        <f t="shared" si="9"/>
        <v>3600.4201680672268</v>
      </c>
      <c r="DG59" s="175">
        <f>+ROUNDUP(IF(DD59&lt;15%,DB59,DA59),0)</f>
        <v>22550</v>
      </c>
      <c r="DH59" s="175">
        <f t="shared" si="18"/>
        <v>4961000</v>
      </c>
      <c r="DI59" s="119" t="s">
        <v>228</v>
      </c>
    </row>
    <row r="60" spans="1:114" s="28" customFormat="1" ht="109.5" customHeight="1" x14ac:dyDescent="0.25">
      <c r="A60" s="36">
        <v>52</v>
      </c>
      <c r="B60" s="112" t="s">
        <v>50</v>
      </c>
      <c r="C60" s="113" t="s">
        <v>118</v>
      </c>
      <c r="D60" s="114" t="s">
        <v>167</v>
      </c>
      <c r="E60" s="114">
        <v>10</v>
      </c>
      <c r="F60" s="115"/>
      <c r="G60" s="115"/>
      <c r="H60" s="115"/>
      <c r="I60" s="115"/>
      <c r="J60" s="115"/>
      <c r="K60" s="115"/>
      <c r="L60" s="115"/>
      <c r="M60" s="115"/>
      <c r="N60" s="115"/>
      <c r="O60" s="118"/>
      <c r="P60" s="118"/>
      <c r="Q60" s="118"/>
      <c r="R60" s="115">
        <v>19467.787114845942</v>
      </c>
      <c r="S60" s="115">
        <f>+R60*19%</f>
        <v>3698.8795518207289</v>
      </c>
      <c r="T60" s="115">
        <f>+R60+S60</f>
        <v>23166.666666666672</v>
      </c>
      <c r="U60" s="118"/>
      <c r="V60" s="118"/>
      <c r="W60" s="118"/>
      <c r="X60" s="115"/>
      <c r="Y60" s="115"/>
      <c r="Z60" s="115"/>
      <c r="AA60" s="115"/>
      <c r="AB60" s="115"/>
      <c r="AC60" s="115"/>
      <c r="AD60" s="115"/>
      <c r="AE60" s="115"/>
      <c r="AF60" s="115"/>
      <c r="AG60" s="115"/>
      <c r="AH60" s="115"/>
      <c r="AI60" s="115"/>
      <c r="AJ60" s="115">
        <v>18974.789915966387</v>
      </c>
      <c r="AK60" s="115">
        <f>+AJ60*0.19</f>
        <v>3605.2100840336134</v>
      </c>
      <c r="AL60" s="115">
        <f>+AJ60+AK60</f>
        <v>22580</v>
      </c>
      <c r="AM60" s="115">
        <f>+AL60*15%</f>
        <v>3387</v>
      </c>
      <c r="AN60" s="115">
        <f>+AL60+AM60</f>
        <v>25967</v>
      </c>
      <c r="AO60" s="115"/>
      <c r="AP60" s="115"/>
      <c r="AQ60" s="115"/>
      <c r="AR60" s="115"/>
      <c r="AS60" s="115"/>
      <c r="AT60" s="115"/>
      <c r="AU60" s="115"/>
      <c r="AV60" s="115"/>
      <c r="AW60" s="115"/>
      <c r="AX60" s="115"/>
      <c r="AY60" s="115"/>
      <c r="AZ60" s="115"/>
      <c r="BA60" s="115"/>
      <c r="BB60" s="115"/>
      <c r="BC60" s="115"/>
      <c r="BD60" s="115"/>
      <c r="BE60" s="115"/>
      <c r="BF60" s="115"/>
      <c r="BG60" s="115"/>
      <c r="BH60" s="115"/>
      <c r="BI60" s="115"/>
      <c r="BJ60" s="115"/>
      <c r="BK60" s="115"/>
      <c r="BL60" s="115"/>
      <c r="BM60" s="115"/>
      <c r="BN60" s="115"/>
      <c r="BO60" s="115"/>
      <c r="BP60" s="115"/>
      <c r="BQ60" s="115"/>
      <c r="BR60" s="115"/>
      <c r="BS60" s="118"/>
      <c r="BT60" s="118"/>
      <c r="BU60" s="118"/>
      <c r="BV60" s="118"/>
      <c r="BW60" s="118"/>
      <c r="BX60" s="115"/>
      <c r="BY60" s="115"/>
      <c r="BZ60" s="115"/>
      <c r="CA60" s="115"/>
      <c r="CB60" s="115"/>
      <c r="CC60" s="115"/>
      <c r="CD60" s="115"/>
      <c r="CE60" s="115"/>
      <c r="CF60" s="115"/>
      <c r="CG60" s="115"/>
      <c r="CH60" s="115"/>
      <c r="CI60" s="115"/>
      <c r="CJ60" s="115"/>
      <c r="CK60" s="115"/>
      <c r="CL60" s="115"/>
      <c r="CM60" s="115"/>
      <c r="CN60" s="115"/>
      <c r="CO60" s="115"/>
      <c r="CP60" s="115"/>
      <c r="CQ60" s="115"/>
      <c r="CR60" s="115"/>
      <c r="CS60" s="115"/>
      <c r="CT60" s="115"/>
      <c r="CU60" s="115"/>
      <c r="CV60" s="115"/>
      <c r="CW60" s="115"/>
      <c r="CX60" s="115"/>
      <c r="CY60" s="115"/>
      <c r="CZ60" s="115"/>
      <c r="DA60" s="115">
        <f>+MEDIAN(T60,AN60)</f>
        <v>24566.833333333336</v>
      </c>
      <c r="DB60" s="115">
        <f>+AVERAGE(T60,AN60)</f>
        <v>24566.833333333336</v>
      </c>
      <c r="DC60" s="115">
        <f>+STDEV(T60,AN60)</f>
        <v>1980.1346895827253</v>
      </c>
      <c r="DD60" s="116">
        <f>DC60/DB60</f>
        <v>8.0601950716049087E-2</v>
      </c>
      <c r="DE60" s="115">
        <v>20644.537815126052</v>
      </c>
      <c r="DF60" s="115">
        <f t="shared" si="9"/>
        <v>3922.4621848739498</v>
      </c>
      <c r="DG60" s="175">
        <f>+ROUNDUP(IF(DD60&lt;15%,DB60,DA60),0)</f>
        <v>24567</v>
      </c>
      <c r="DH60" s="175">
        <f t="shared" si="18"/>
        <v>245670</v>
      </c>
      <c r="DI60" s="119" t="s">
        <v>228</v>
      </c>
    </row>
    <row r="61" spans="1:114" s="28" customFormat="1" ht="78" customHeight="1" x14ac:dyDescent="0.25">
      <c r="A61" s="36">
        <v>53</v>
      </c>
      <c r="B61" s="112" t="s">
        <v>51</v>
      </c>
      <c r="C61" s="113" t="s">
        <v>119</v>
      </c>
      <c r="D61" s="114" t="s">
        <v>166</v>
      </c>
      <c r="E61" s="114">
        <v>178</v>
      </c>
      <c r="F61" s="115">
        <v>21010</v>
      </c>
      <c r="G61" s="115">
        <f>+F61*19%</f>
        <v>3991.9</v>
      </c>
      <c r="H61" s="115">
        <f>+F61+G61</f>
        <v>25001.9</v>
      </c>
      <c r="I61" s="115"/>
      <c r="J61" s="115"/>
      <c r="K61" s="115"/>
      <c r="L61" s="118"/>
      <c r="M61" s="118"/>
      <c r="N61" s="118"/>
      <c r="O61" s="118"/>
      <c r="P61" s="118"/>
      <c r="Q61" s="118"/>
      <c r="R61" s="115">
        <v>30182.072829131659</v>
      </c>
      <c r="S61" s="115">
        <f>+R61*19%</f>
        <v>5734.5938375350152</v>
      </c>
      <c r="T61" s="115">
        <f>+R61+S61</f>
        <v>35916.666666666672</v>
      </c>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5"/>
      <c r="AR61" s="115"/>
      <c r="AS61" s="115"/>
      <c r="AT61" s="115"/>
      <c r="AU61" s="115"/>
      <c r="AV61" s="115"/>
      <c r="AW61" s="115"/>
      <c r="AX61" s="115"/>
      <c r="AY61" s="115"/>
      <c r="AZ61" s="115"/>
      <c r="BA61" s="115"/>
      <c r="BB61" s="115"/>
      <c r="BC61" s="115"/>
      <c r="BD61" s="115"/>
      <c r="BE61" s="115"/>
      <c r="BF61" s="115"/>
      <c r="BG61" s="115"/>
      <c r="BH61" s="115"/>
      <c r="BI61" s="115"/>
      <c r="BJ61" s="115"/>
      <c r="BK61" s="115"/>
      <c r="BL61" s="115"/>
      <c r="BM61" s="115"/>
      <c r="BN61" s="115"/>
      <c r="BO61" s="115"/>
      <c r="BP61" s="115"/>
      <c r="BQ61" s="115"/>
      <c r="BR61" s="115"/>
      <c r="BS61" s="118"/>
      <c r="BT61" s="118"/>
      <c r="BU61" s="118"/>
      <c r="BV61" s="118"/>
      <c r="BW61" s="118"/>
      <c r="BX61" s="115"/>
      <c r="BY61" s="115"/>
      <c r="BZ61" s="115"/>
      <c r="CA61" s="115"/>
      <c r="CB61" s="115"/>
      <c r="CC61" s="115"/>
      <c r="CD61" s="115"/>
      <c r="CE61" s="115"/>
      <c r="CF61" s="115"/>
      <c r="CG61" s="115"/>
      <c r="CH61" s="115"/>
      <c r="CI61" s="115"/>
      <c r="CJ61" s="115"/>
      <c r="CK61" s="115"/>
      <c r="CL61" s="115"/>
      <c r="CM61" s="115"/>
      <c r="CN61" s="115"/>
      <c r="CO61" s="115"/>
      <c r="CP61" s="115"/>
      <c r="CQ61" s="115"/>
      <c r="CR61" s="115"/>
      <c r="CS61" s="115"/>
      <c r="CT61" s="115"/>
      <c r="CU61" s="115"/>
      <c r="CV61" s="115"/>
      <c r="CW61" s="115"/>
      <c r="CX61" s="115"/>
      <c r="CY61" s="115"/>
      <c r="CZ61" s="115"/>
      <c r="DA61" s="115">
        <f>+MEDIAN(H61,T61)</f>
        <v>30459.283333333336</v>
      </c>
      <c r="DB61" s="115">
        <f>+AVERAGE(H61,T61)</f>
        <v>30459.283333333336</v>
      </c>
      <c r="DC61" s="115">
        <f>+STDEV(H61,T61)</f>
        <v>7717.9055250688907</v>
      </c>
      <c r="DD61" s="116">
        <f t="shared" si="10"/>
        <v>0.25338434396526804</v>
      </c>
      <c r="DE61" s="115">
        <v>25596.638655462186</v>
      </c>
      <c r="DF61" s="115">
        <f t="shared" si="9"/>
        <v>4863.3613445378151</v>
      </c>
      <c r="DG61" s="175">
        <f t="shared" si="21"/>
        <v>30460</v>
      </c>
      <c r="DH61" s="175">
        <f t="shared" si="18"/>
        <v>5421880</v>
      </c>
      <c r="DI61" s="119" t="s">
        <v>227</v>
      </c>
    </row>
    <row r="62" spans="1:114" s="28" customFormat="1" ht="61.5" customHeight="1" x14ac:dyDescent="0.25">
      <c r="A62" s="36">
        <v>54</v>
      </c>
      <c r="B62" s="112" t="s">
        <v>52</v>
      </c>
      <c r="C62" s="113" t="s">
        <v>120</v>
      </c>
      <c r="D62" s="114" t="s">
        <v>167</v>
      </c>
      <c r="E62" s="114">
        <v>73</v>
      </c>
      <c r="F62" s="115"/>
      <c r="G62" s="115"/>
      <c r="H62" s="115"/>
      <c r="I62" s="115"/>
      <c r="J62" s="115"/>
      <c r="K62" s="115"/>
      <c r="L62" s="115"/>
      <c r="M62" s="115"/>
      <c r="N62" s="115"/>
      <c r="O62" s="118"/>
      <c r="P62" s="118"/>
      <c r="Q62" s="118"/>
      <c r="R62" s="115"/>
      <c r="S62" s="115"/>
      <c r="T62" s="115"/>
      <c r="U62" s="118">
        <v>983.19327731092437</v>
      </c>
      <c r="V62" s="118">
        <f>+U62*0.19</f>
        <v>186.80672268907563</v>
      </c>
      <c r="W62" s="118">
        <f t="shared" si="19"/>
        <v>1170</v>
      </c>
      <c r="X62" s="118"/>
      <c r="Y62" s="118">
        <v>1134.453781512605</v>
      </c>
      <c r="Z62" s="118">
        <f>+Y62*0.19</f>
        <v>215.54621848739495</v>
      </c>
      <c r="AA62" s="118">
        <f t="shared" si="20"/>
        <v>1350</v>
      </c>
      <c r="AB62" s="118"/>
      <c r="AC62" s="118"/>
      <c r="AD62" s="118"/>
      <c r="AE62" s="118"/>
      <c r="AF62" s="118"/>
      <c r="AG62" s="118"/>
      <c r="AH62" s="118"/>
      <c r="AI62" s="118"/>
      <c r="AJ62" s="115"/>
      <c r="AK62" s="115"/>
      <c r="AL62" s="115"/>
      <c r="AM62" s="115"/>
      <c r="AN62" s="115"/>
      <c r="AO62" s="115"/>
      <c r="AP62" s="115"/>
      <c r="AQ62" s="115"/>
      <c r="AR62" s="115"/>
      <c r="AS62" s="115"/>
      <c r="AT62" s="115"/>
      <c r="AU62" s="115"/>
      <c r="AV62" s="115"/>
      <c r="AW62" s="115"/>
      <c r="AX62" s="115"/>
      <c r="AY62" s="115"/>
      <c r="AZ62" s="115"/>
      <c r="BA62" s="115"/>
      <c r="BB62" s="115"/>
      <c r="BC62" s="115"/>
      <c r="BD62" s="115"/>
      <c r="BE62" s="115"/>
      <c r="BF62" s="115"/>
      <c r="BG62" s="115"/>
      <c r="BH62" s="115"/>
      <c r="BI62" s="115"/>
      <c r="BJ62" s="115"/>
      <c r="BK62" s="115"/>
      <c r="BL62" s="115"/>
      <c r="BM62" s="115"/>
      <c r="BN62" s="115"/>
      <c r="BO62" s="115"/>
      <c r="BP62" s="115"/>
      <c r="BQ62" s="115"/>
      <c r="BR62" s="115"/>
      <c r="BS62" s="118"/>
      <c r="BT62" s="118"/>
      <c r="BU62" s="118"/>
      <c r="BV62" s="118"/>
      <c r="BW62" s="118"/>
      <c r="BX62" s="115"/>
      <c r="BY62" s="115"/>
      <c r="BZ62" s="115"/>
      <c r="CA62" s="115"/>
      <c r="CB62" s="115"/>
      <c r="CC62" s="115"/>
      <c r="CD62" s="115"/>
      <c r="CE62" s="115"/>
      <c r="CF62" s="115"/>
      <c r="CG62" s="115"/>
      <c r="CH62" s="115"/>
      <c r="CI62" s="115"/>
      <c r="CJ62" s="115"/>
      <c r="CK62" s="115"/>
      <c r="CL62" s="115"/>
      <c r="CM62" s="115"/>
      <c r="CN62" s="115"/>
      <c r="CO62" s="115"/>
      <c r="CP62" s="115"/>
      <c r="CQ62" s="115"/>
      <c r="CR62" s="115"/>
      <c r="CS62" s="115"/>
      <c r="CT62" s="115"/>
      <c r="CU62" s="115"/>
      <c r="CV62" s="115"/>
      <c r="CW62" s="115"/>
      <c r="CX62" s="115"/>
      <c r="CY62" s="115"/>
      <c r="CZ62" s="115"/>
      <c r="DA62" s="115">
        <f>+MEDIAN(W62,AA62)</f>
        <v>1260</v>
      </c>
      <c r="DB62" s="115">
        <f>+AVERAGE(W62,AA62)</f>
        <v>1260</v>
      </c>
      <c r="DC62" s="115">
        <f>+STDEV(W62,AA62)</f>
        <v>127.27922061357856</v>
      </c>
      <c r="DD62" s="116">
        <f t="shared" si="10"/>
        <v>0.10101525445522108</v>
      </c>
      <c r="DE62" s="115">
        <v>1058.8235294117649</v>
      </c>
      <c r="DF62" s="115">
        <f t="shared" si="9"/>
        <v>201.17647058823533</v>
      </c>
      <c r="DG62" s="175">
        <f>+ROUNDUP(IF(DD62&lt;15%,DB62,DA62),0)</f>
        <v>1260</v>
      </c>
      <c r="DH62" s="175">
        <f t="shared" si="18"/>
        <v>91980</v>
      </c>
      <c r="DI62" s="119" t="s">
        <v>228</v>
      </c>
    </row>
    <row r="63" spans="1:114" s="28" customFormat="1" ht="65.25" customHeight="1" x14ac:dyDescent="0.25">
      <c r="A63" s="36">
        <v>55</v>
      </c>
      <c r="B63" s="112" t="s">
        <v>52</v>
      </c>
      <c r="C63" s="113" t="s">
        <v>121</v>
      </c>
      <c r="D63" s="114" t="s">
        <v>166</v>
      </c>
      <c r="E63" s="114">
        <v>108</v>
      </c>
      <c r="F63" s="115">
        <v>21010</v>
      </c>
      <c r="G63" s="115">
        <f>+F63*19%</f>
        <v>3991.9</v>
      </c>
      <c r="H63" s="115">
        <f>+F63+G63</f>
        <v>25001.9</v>
      </c>
      <c r="I63" s="115">
        <f>10084*2</f>
        <v>20168</v>
      </c>
      <c r="J63" s="115">
        <f>+I63*0.19</f>
        <v>3831.92</v>
      </c>
      <c r="K63" s="115">
        <f>+I63+J63</f>
        <v>23999.919999999998</v>
      </c>
      <c r="L63" s="115">
        <f>970*20</f>
        <v>19400</v>
      </c>
      <c r="M63" s="115">
        <f>+L63*0.19</f>
        <v>3686</v>
      </c>
      <c r="N63" s="115">
        <f>+L63+M63</f>
        <v>23086</v>
      </c>
      <c r="O63" s="118"/>
      <c r="P63" s="118"/>
      <c r="Q63" s="118"/>
      <c r="R63" s="118"/>
      <c r="S63" s="118"/>
      <c r="T63" s="118"/>
      <c r="U63" s="118">
        <f>(1170/1.19)*20</f>
        <v>19663.865546218487</v>
      </c>
      <c r="V63" s="118">
        <f>+U63*0.19</f>
        <v>3736.1344537815125</v>
      </c>
      <c r="W63" s="118">
        <f t="shared" si="19"/>
        <v>23400</v>
      </c>
      <c r="X63" s="118"/>
      <c r="Y63" s="118">
        <f>(1350/1.19)*20</f>
        <v>22689.0756302521</v>
      </c>
      <c r="Z63" s="118">
        <f>+Y63*0.19</f>
        <v>4310.9243697478987</v>
      </c>
      <c r="AA63" s="118">
        <f t="shared" si="20"/>
        <v>27000</v>
      </c>
      <c r="AB63" s="118"/>
      <c r="AC63" s="118"/>
      <c r="AD63" s="118"/>
      <c r="AE63" s="118"/>
      <c r="AF63" s="118"/>
      <c r="AG63" s="118"/>
      <c r="AH63" s="118"/>
      <c r="AI63" s="118"/>
      <c r="AJ63" s="118"/>
      <c r="AK63" s="118"/>
      <c r="AL63" s="118"/>
      <c r="AM63" s="118"/>
      <c r="AN63" s="118"/>
      <c r="AO63" s="118"/>
      <c r="AP63" s="118"/>
      <c r="AQ63" s="115"/>
      <c r="AR63" s="115"/>
      <c r="AS63" s="115"/>
      <c r="AT63" s="115"/>
      <c r="AU63" s="115"/>
      <c r="AV63" s="115"/>
      <c r="AW63" s="115"/>
      <c r="AX63" s="115"/>
      <c r="AY63" s="115"/>
      <c r="AZ63" s="115"/>
      <c r="BA63" s="115"/>
      <c r="BB63" s="115"/>
      <c r="BC63" s="115"/>
      <c r="BD63" s="115"/>
      <c r="BE63" s="115"/>
      <c r="BF63" s="115"/>
      <c r="BG63" s="115"/>
      <c r="BH63" s="115"/>
      <c r="BI63" s="115"/>
      <c r="BJ63" s="115"/>
      <c r="BK63" s="115"/>
      <c r="BL63" s="115"/>
      <c r="BM63" s="115"/>
      <c r="BN63" s="115"/>
      <c r="BO63" s="115"/>
      <c r="BP63" s="115"/>
      <c r="BQ63" s="115"/>
      <c r="BR63" s="115"/>
      <c r="BS63" s="118"/>
      <c r="BT63" s="118"/>
      <c r="BU63" s="118"/>
      <c r="BV63" s="118"/>
      <c r="BW63" s="118"/>
      <c r="BX63" s="115"/>
      <c r="BY63" s="115"/>
      <c r="BZ63" s="115"/>
      <c r="CA63" s="115"/>
      <c r="CB63" s="115"/>
      <c r="CC63" s="115"/>
      <c r="CD63" s="115"/>
      <c r="CE63" s="115"/>
      <c r="CF63" s="115"/>
      <c r="CG63" s="115"/>
      <c r="CH63" s="115"/>
      <c r="CI63" s="115"/>
      <c r="CJ63" s="115"/>
      <c r="CK63" s="115"/>
      <c r="CL63" s="115"/>
      <c r="CM63" s="115"/>
      <c r="CN63" s="115"/>
      <c r="CO63" s="115"/>
      <c r="CP63" s="115"/>
      <c r="CQ63" s="115"/>
      <c r="CR63" s="115"/>
      <c r="CS63" s="115"/>
      <c r="CT63" s="115"/>
      <c r="CU63" s="115"/>
      <c r="CV63" s="115"/>
      <c r="CW63" s="115"/>
      <c r="CX63" s="115"/>
      <c r="CY63" s="115"/>
      <c r="CZ63" s="115"/>
      <c r="DA63" s="115">
        <f>+MEDIAN(H63,K63,N63,W63,AA63)</f>
        <v>23999.919999999998</v>
      </c>
      <c r="DB63" s="115">
        <f>+AVERAGE(H63,K63,N63,W63,AA63)</f>
        <v>24497.564000000002</v>
      </c>
      <c r="DC63" s="115">
        <f>+STDEV(H63,K63,N63,W63,AA63)</f>
        <v>1578.0803168660334</v>
      </c>
      <c r="DD63" s="116">
        <f t="shared" ref="DD63:DD94" si="22">DC63/DB63</f>
        <v>6.4417846479185983E-2</v>
      </c>
      <c r="DE63" s="115">
        <v>20586.55462184874</v>
      </c>
      <c r="DF63" s="115">
        <f t="shared" si="9"/>
        <v>3911.4453781512607</v>
      </c>
      <c r="DG63" s="175">
        <f t="shared" si="21"/>
        <v>24498</v>
      </c>
      <c r="DH63" s="175">
        <f t="shared" si="18"/>
        <v>2645784</v>
      </c>
      <c r="DI63" s="119" t="s">
        <v>228</v>
      </c>
    </row>
    <row r="64" spans="1:114" s="28" customFormat="1" ht="79.5" customHeight="1" x14ac:dyDescent="0.25">
      <c r="A64" s="36">
        <v>56</v>
      </c>
      <c r="B64" s="112" t="s">
        <v>52</v>
      </c>
      <c r="C64" s="113" t="s">
        <v>192</v>
      </c>
      <c r="D64" s="114" t="s">
        <v>166</v>
      </c>
      <c r="E64" s="114">
        <v>10</v>
      </c>
      <c r="F64" s="115"/>
      <c r="G64" s="115"/>
      <c r="H64" s="115"/>
      <c r="I64" s="115">
        <v>10084.033613445379</v>
      </c>
      <c r="J64" s="115">
        <f>+I64*0.19</f>
        <v>1915.966386554622</v>
      </c>
      <c r="K64" s="115">
        <f>+I64+J64</f>
        <v>12000.000000000002</v>
      </c>
      <c r="L64" s="115">
        <f>970*10</f>
        <v>9700</v>
      </c>
      <c r="M64" s="115">
        <f>+L64*0.19</f>
        <v>1843</v>
      </c>
      <c r="N64" s="115">
        <f>+L64+M64</f>
        <v>11543</v>
      </c>
      <c r="O64" s="118"/>
      <c r="P64" s="118"/>
      <c r="Q64" s="118"/>
      <c r="R64" s="118"/>
      <c r="S64" s="118"/>
      <c r="T64" s="118"/>
      <c r="U64" s="118"/>
      <c r="V64" s="118"/>
      <c r="W64" s="118"/>
      <c r="X64" s="118"/>
      <c r="Y64" s="118"/>
      <c r="Z64" s="118"/>
      <c r="AA64" s="118"/>
      <c r="AB64" s="118"/>
      <c r="AC64" s="118"/>
      <c r="AD64" s="118"/>
      <c r="AE64" s="118"/>
      <c r="AF64" s="118"/>
      <c r="AG64" s="118"/>
      <c r="AH64" s="118"/>
      <c r="AI64" s="118"/>
      <c r="AJ64" s="118"/>
      <c r="AK64" s="118"/>
      <c r="AL64" s="118"/>
      <c r="AM64" s="118"/>
      <c r="AN64" s="118"/>
      <c r="AO64" s="118"/>
      <c r="AP64" s="118"/>
      <c r="AQ64" s="115"/>
      <c r="AR64" s="115"/>
      <c r="AS64" s="115"/>
      <c r="AT64" s="115"/>
      <c r="AU64" s="115"/>
      <c r="AV64" s="115"/>
      <c r="AW64" s="115"/>
      <c r="AX64" s="115"/>
      <c r="AY64" s="115"/>
      <c r="AZ64" s="115"/>
      <c r="BA64" s="115"/>
      <c r="BB64" s="115"/>
      <c r="BC64" s="115"/>
      <c r="BD64" s="115"/>
      <c r="BE64" s="115"/>
      <c r="BF64" s="115"/>
      <c r="BG64" s="115"/>
      <c r="BH64" s="115"/>
      <c r="BI64" s="115"/>
      <c r="BJ64" s="115"/>
      <c r="BK64" s="115"/>
      <c r="BL64" s="115"/>
      <c r="BM64" s="115"/>
      <c r="BN64" s="115"/>
      <c r="BO64" s="115"/>
      <c r="BP64" s="115"/>
      <c r="BQ64" s="115"/>
      <c r="BR64" s="115"/>
      <c r="BS64" s="118"/>
      <c r="BT64" s="118"/>
      <c r="BU64" s="118"/>
      <c r="BV64" s="118"/>
      <c r="BW64" s="118"/>
      <c r="BX64" s="115"/>
      <c r="BY64" s="115"/>
      <c r="BZ64" s="115"/>
      <c r="CA64" s="115"/>
      <c r="CB64" s="115"/>
      <c r="CC64" s="115"/>
      <c r="CD64" s="115"/>
      <c r="CE64" s="115"/>
      <c r="CF64" s="115"/>
      <c r="CG64" s="115"/>
      <c r="CH64" s="115"/>
      <c r="CI64" s="115"/>
      <c r="CJ64" s="115"/>
      <c r="CK64" s="115"/>
      <c r="CL64" s="115"/>
      <c r="CM64" s="115"/>
      <c r="CN64" s="115"/>
      <c r="CO64" s="115"/>
      <c r="CP64" s="115"/>
      <c r="CQ64" s="115"/>
      <c r="CR64" s="115"/>
      <c r="CS64" s="115"/>
      <c r="CT64" s="115"/>
      <c r="CU64" s="115"/>
      <c r="CV64" s="115"/>
      <c r="CW64" s="115"/>
      <c r="CX64" s="115"/>
      <c r="CY64" s="115"/>
      <c r="CZ64" s="115"/>
      <c r="DA64" s="115">
        <f>+MEDIAN(K64,N64)</f>
        <v>11771.5</v>
      </c>
      <c r="DB64" s="115">
        <f>+AVERAGE(K64,N64)</f>
        <v>11771.5</v>
      </c>
      <c r="DC64" s="115">
        <f>+STDEV(K64,N64)</f>
        <v>323.14779900225352</v>
      </c>
      <c r="DD64" s="116">
        <f t="shared" si="22"/>
        <v>2.7451709552924735E-2</v>
      </c>
      <c r="DE64" s="115">
        <v>9892.4369747899163</v>
      </c>
      <c r="DF64" s="115">
        <f t="shared" si="9"/>
        <v>1879.5630252100841</v>
      </c>
      <c r="DG64" s="175">
        <f t="shared" si="21"/>
        <v>11772</v>
      </c>
      <c r="DH64" s="175">
        <f t="shared" si="18"/>
        <v>117720</v>
      </c>
      <c r="DI64" s="119" t="s">
        <v>228</v>
      </c>
    </row>
    <row r="65" spans="1:113" s="28" customFormat="1" ht="46.5" customHeight="1" x14ac:dyDescent="0.25">
      <c r="A65" s="36">
        <v>57</v>
      </c>
      <c r="B65" s="112" t="s">
        <v>52</v>
      </c>
      <c r="C65" s="113" t="s">
        <v>122</v>
      </c>
      <c r="D65" s="114" t="s">
        <v>166</v>
      </c>
      <c r="E65" s="114">
        <v>2</v>
      </c>
      <c r="F65" s="115"/>
      <c r="G65" s="115"/>
      <c r="H65" s="115"/>
      <c r="I65" s="115"/>
      <c r="J65" s="115"/>
      <c r="K65" s="115"/>
      <c r="L65" s="115"/>
      <c r="M65" s="115"/>
      <c r="N65" s="115"/>
      <c r="O65" s="115"/>
      <c r="P65" s="115"/>
      <c r="Q65" s="115"/>
      <c r="R65" s="115"/>
      <c r="S65" s="115"/>
      <c r="T65" s="115"/>
      <c r="U65" s="115">
        <v>25210.084033613446</v>
      </c>
      <c r="V65" s="115">
        <f>+U65*0.19</f>
        <v>4789.9159663865548</v>
      </c>
      <c r="W65" s="115">
        <f t="shared" si="19"/>
        <v>30000</v>
      </c>
      <c r="X65" s="115"/>
      <c r="Y65" s="115">
        <v>27731.092436974792</v>
      </c>
      <c r="Z65" s="115">
        <f>+Y65*0.19</f>
        <v>5268.9075630252109</v>
      </c>
      <c r="AA65" s="115">
        <f t="shared" si="20"/>
        <v>33000</v>
      </c>
      <c r="AB65" s="118"/>
      <c r="AC65" s="118"/>
      <c r="AD65" s="118"/>
      <c r="AE65" s="118"/>
      <c r="AF65" s="118"/>
      <c r="AG65" s="118"/>
      <c r="AH65" s="118"/>
      <c r="AI65" s="118"/>
      <c r="AJ65" s="115"/>
      <c r="AK65" s="115"/>
      <c r="AL65" s="115"/>
      <c r="AM65" s="115"/>
      <c r="AN65" s="115"/>
      <c r="AO65" s="115"/>
      <c r="AP65" s="115"/>
      <c r="AQ65" s="115"/>
      <c r="AR65" s="115"/>
      <c r="AS65" s="115"/>
      <c r="AT65" s="115"/>
      <c r="AU65" s="115"/>
      <c r="AV65" s="115"/>
      <c r="AW65" s="115"/>
      <c r="AX65" s="115"/>
      <c r="AY65" s="115"/>
      <c r="AZ65" s="115"/>
      <c r="BA65" s="115"/>
      <c r="BB65" s="115"/>
      <c r="BC65" s="115"/>
      <c r="BD65" s="115"/>
      <c r="BE65" s="115"/>
      <c r="BF65" s="115"/>
      <c r="BG65" s="115"/>
      <c r="BH65" s="115"/>
      <c r="BI65" s="115"/>
      <c r="BJ65" s="115"/>
      <c r="BK65" s="115"/>
      <c r="BL65" s="115"/>
      <c r="BM65" s="115"/>
      <c r="BN65" s="115"/>
      <c r="BO65" s="115"/>
      <c r="BP65" s="115"/>
      <c r="BQ65" s="115"/>
      <c r="BR65" s="115"/>
      <c r="BS65" s="118"/>
      <c r="BT65" s="118"/>
      <c r="BU65" s="118"/>
      <c r="BV65" s="118"/>
      <c r="BW65" s="118"/>
      <c r="BX65" s="115"/>
      <c r="BY65" s="115"/>
      <c r="BZ65" s="115"/>
      <c r="CA65" s="115"/>
      <c r="CB65" s="115"/>
      <c r="CC65" s="115"/>
      <c r="CD65" s="115"/>
      <c r="CE65" s="115"/>
      <c r="CF65" s="115"/>
      <c r="CG65" s="115"/>
      <c r="CH65" s="115"/>
      <c r="CI65" s="115"/>
      <c r="CJ65" s="115"/>
      <c r="CK65" s="115"/>
      <c r="CL65" s="115"/>
      <c r="CM65" s="115"/>
      <c r="CN65" s="115"/>
      <c r="CO65" s="115"/>
      <c r="CP65" s="115"/>
      <c r="CQ65" s="115"/>
      <c r="CR65" s="115"/>
      <c r="CS65" s="115"/>
      <c r="CT65" s="115"/>
      <c r="CU65" s="115"/>
      <c r="CV65" s="115"/>
      <c r="CW65" s="115"/>
      <c r="CX65" s="115"/>
      <c r="CY65" s="115"/>
      <c r="CZ65" s="115"/>
      <c r="DA65" s="115">
        <f>+MEDIAN(W65,AA65)</f>
        <v>31500</v>
      </c>
      <c r="DB65" s="115">
        <f>+AVERAGE(W65,AA65)</f>
        <v>31500</v>
      </c>
      <c r="DC65" s="115">
        <f>+STDEV(W65,AA65)</f>
        <v>2121.3203435596424</v>
      </c>
      <c r="DD65" s="116">
        <f t="shared" si="22"/>
        <v>6.7343502970147379E-2</v>
      </c>
      <c r="DE65" s="115">
        <v>26470.588235294119</v>
      </c>
      <c r="DF65" s="115">
        <f t="shared" si="9"/>
        <v>5029.4117647058829</v>
      </c>
      <c r="DG65" s="175">
        <f>+ROUNDUP(IF(DD65&lt;15%,DB65,DA65),0)</f>
        <v>31500</v>
      </c>
      <c r="DH65" s="175">
        <f t="shared" si="18"/>
        <v>63000</v>
      </c>
      <c r="DI65" s="119" t="s">
        <v>228</v>
      </c>
    </row>
    <row r="66" spans="1:113" s="28" customFormat="1" ht="66.75" customHeight="1" x14ac:dyDescent="0.25">
      <c r="A66" s="36">
        <v>58</v>
      </c>
      <c r="B66" s="112" t="s">
        <v>52</v>
      </c>
      <c r="C66" s="113" t="s">
        <v>123</v>
      </c>
      <c r="D66" s="114" t="s">
        <v>166</v>
      </c>
      <c r="E66" s="114">
        <v>20</v>
      </c>
      <c r="F66" s="115"/>
      <c r="G66" s="115"/>
      <c r="H66" s="115"/>
      <c r="I66" s="115"/>
      <c r="J66" s="115"/>
      <c r="K66" s="115"/>
      <c r="L66" s="115"/>
      <c r="M66" s="115"/>
      <c r="N66" s="115"/>
      <c r="O66" s="118"/>
      <c r="P66" s="118"/>
      <c r="Q66" s="118"/>
      <c r="R66" s="115"/>
      <c r="S66" s="115"/>
      <c r="T66" s="115"/>
      <c r="U66" s="118">
        <v>18151.26050420168</v>
      </c>
      <c r="V66" s="118">
        <f>+U66*0.19</f>
        <v>3448.7394957983192</v>
      </c>
      <c r="W66" s="118">
        <f t="shared" si="19"/>
        <v>21600</v>
      </c>
      <c r="X66" s="118"/>
      <c r="Y66" s="118">
        <v>14285.714285714286</v>
      </c>
      <c r="Z66" s="118">
        <f>+Y66*0.19</f>
        <v>2714.2857142857142</v>
      </c>
      <c r="AA66" s="118">
        <f t="shared" si="20"/>
        <v>17000</v>
      </c>
      <c r="AB66" s="118"/>
      <c r="AC66" s="118"/>
      <c r="AD66" s="118"/>
      <c r="AE66" s="118"/>
      <c r="AF66" s="118"/>
      <c r="AG66" s="118"/>
      <c r="AH66" s="118"/>
      <c r="AI66" s="118"/>
      <c r="AJ66" s="115"/>
      <c r="AK66" s="115"/>
      <c r="AL66" s="115"/>
      <c r="AM66" s="115"/>
      <c r="AN66" s="115"/>
      <c r="AO66" s="115"/>
      <c r="AP66" s="115"/>
      <c r="AQ66" s="115"/>
      <c r="AR66" s="115"/>
      <c r="AS66" s="115"/>
      <c r="AT66" s="115"/>
      <c r="AU66" s="115"/>
      <c r="AV66" s="115"/>
      <c r="AW66" s="115"/>
      <c r="AX66" s="115"/>
      <c r="AY66" s="115"/>
      <c r="AZ66" s="115"/>
      <c r="BA66" s="115"/>
      <c r="BB66" s="115"/>
      <c r="BC66" s="115"/>
      <c r="BD66" s="115"/>
      <c r="BE66" s="115"/>
      <c r="BF66" s="115"/>
      <c r="BG66" s="115"/>
      <c r="BH66" s="115"/>
      <c r="BI66" s="115"/>
      <c r="BJ66" s="115"/>
      <c r="BK66" s="115"/>
      <c r="BL66" s="115"/>
      <c r="BM66" s="115"/>
      <c r="BN66" s="115"/>
      <c r="BO66" s="115"/>
      <c r="BP66" s="115"/>
      <c r="BQ66" s="115"/>
      <c r="BR66" s="115"/>
      <c r="BS66" s="118"/>
      <c r="BT66" s="118"/>
      <c r="BU66" s="118"/>
      <c r="BV66" s="118"/>
      <c r="BW66" s="118"/>
      <c r="BX66" s="115"/>
      <c r="BY66" s="115"/>
      <c r="BZ66" s="115"/>
      <c r="CA66" s="115"/>
      <c r="CB66" s="115"/>
      <c r="CC66" s="115"/>
      <c r="CD66" s="115"/>
      <c r="CE66" s="115"/>
      <c r="CF66" s="115"/>
      <c r="CG66" s="115"/>
      <c r="CH66" s="115"/>
      <c r="CI66" s="115"/>
      <c r="CJ66" s="115"/>
      <c r="CK66" s="115"/>
      <c r="CL66" s="115"/>
      <c r="CM66" s="115"/>
      <c r="CN66" s="115"/>
      <c r="CO66" s="115"/>
      <c r="CP66" s="115"/>
      <c r="CQ66" s="115"/>
      <c r="CR66" s="115"/>
      <c r="CS66" s="115"/>
      <c r="CT66" s="115"/>
      <c r="CU66" s="115"/>
      <c r="CV66" s="115"/>
      <c r="CW66" s="115"/>
      <c r="CX66" s="115"/>
      <c r="CY66" s="115"/>
      <c r="CZ66" s="115"/>
      <c r="DA66" s="115">
        <f>+MEDIAN(W66,AA66)</f>
        <v>19300</v>
      </c>
      <c r="DB66" s="115">
        <f>+AVERAGE(W66,AA66)</f>
        <v>19300</v>
      </c>
      <c r="DC66" s="115">
        <f>+STDEV(W66,AA66)</f>
        <v>3252.6911934581185</v>
      </c>
      <c r="DD66" s="116">
        <f t="shared" si="22"/>
        <v>0.16853322245896987</v>
      </c>
      <c r="DE66" s="115">
        <v>16218.487394957983</v>
      </c>
      <c r="DF66" s="115">
        <f t="shared" si="9"/>
        <v>3081.5126050420167</v>
      </c>
      <c r="DG66" s="175">
        <f>+ROUNDUP(IF(DD66&lt;15%,DB66,DA66),0)</f>
        <v>19300</v>
      </c>
      <c r="DH66" s="175">
        <f t="shared" si="18"/>
        <v>386000</v>
      </c>
      <c r="DI66" s="119" t="s">
        <v>227</v>
      </c>
    </row>
    <row r="67" spans="1:113" s="28" customFormat="1" ht="30" x14ac:dyDescent="0.25">
      <c r="A67" s="36">
        <v>59</v>
      </c>
      <c r="B67" s="112" t="s">
        <v>53</v>
      </c>
      <c r="C67" s="113" t="s">
        <v>124</v>
      </c>
      <c r="D67" s="114" t="s">
        <v>168</v>
      </c>
      <c r="E67" s="114">
        <v>380</v>
      </c>
      <c r="F67" s="115"/>
      <c r="G67" s="115"/>
      <c r="H67" s="115"/>
      <c r="I67" s="115"/>
      <c r="J67" s="115"/>
      <c r="K67" s="115"/>
      <c r="L67" s="115"/>
      <c r="M67" s="115"/>
      <c r="N67" s="115"/>
      <c r="O67" s="118"/>
      <c r="P67" s="118"/>
      <c r="Q67" s="118"/>
      <c r="R67" s="115"/>
      <c r="S67" s="115"/>
      <c r="T67" s="115"/>
      <c r="U67" s="118">
        <v>840.3361344537816</v>
      </c>
      <c r="V67" s="118">
        <f>+U67*0.19</f>
        <v>159.66386554621852</v>
      </c>
      <c r="W67" s="118">
        <f t="shared" si="19"/>
        <v>1000.0000000000001</v>
      </c>
      <c r="X67" s="118"/>
      <c r="Y67" s="118">
        <v>1050.420168067227</v>
      </c>
      <c r="Z67" s="118">
        <f>+Y67*0.19</f>
        <v>199.57983193277312</v>
      </c>
      <c r="AA67" s="118">
        <f t="shared" si="20"/>
        <v>1250</v>
      </c>
      <c r="AB67" s="118"/>
      <c r="AC67" s="118"/>
      <c r="AD67" s="118"/>
      <c r="AE67" s="118"/>
      <c r="AF67" s="118"/>
      <c r="AG67" s="118"/>
      <c r="AH67" s="118"/>
      <c r="AI67" s="118"/>
      <c r="AJ67" s="115"/>
      <c r="AK67" s="115"/>
      <c r="AL67" s="115"/>
      <c r="AM67" s="115"/>
      <c r="AN67" s="115"/>
      <c r="AO67" s="115"/>
      <c r="AP67" s="115"/>
      <c r="AQ67" s="115"/>
      <c r="AR67" s="115"/>
      <c r="AS67" s="115"/>
      <c r="AT67" s="115"/>
      <c r="AU67" s="115"/>
      <c r="AV67" s="115"/>
      <c r="AW67" s="115"/>
      <c r="AX67" s="115"/>
      <c r="AY67" s="115"/>
      <c r="AZ67" s="115"/>
      <c r="BA67" s="115"/>
      <c r="BB67" s="115"/>
      <c r="BC67" s="115"/>
      <c r="BD67" s="115"/>
      <c r="BE67" s="115"/>
      <c r="BF67" s="115"/>
      <c r="BG67" s="115"/>
      <c r="BH67" s="115"/>
      <c r="BI67" s="115"/>
      <c r="BJ67" s="115"/>
      <c r="BK67" s="115"/>
      <c r="BL67" s="115"/>
      <c r="BM67" s="115"/>
      <c r="BN67" s="115"/>
      <c r="BO67" s="115"/>
      <c r="BP67" s="115"/>
      <c r="BQ67" s="115"/>
      <c r="BR67" s="115"/>
      <c r="BS67" s="118"/>
      <c r="BT67" s="118"/>
      <c r="BU67" s="118"/>
      <c r="BV67" s="118"/>
      <c r="BW67" s="118"/>
      <c r="BX67" s="115"/>
      <c r="BY67" s="115"/>
      <c r="BZ67" s="115"/>
      <c r="CA67" s="115"/>
      <c r="CB67" s="115"/>
      <c r="CC67" s="115"/>
      <c r="CD67" s="115"/>
      <c r="CE67" s="115"/>
      <c r="CF67" s="115"/>
      <c r="CG67" s="115"/>
      <c r="CH67" s="115"/>
      <c r="CI67" s="115"/>
      <c r="CJ67" s="115"/>
      <c r="CK67" s="115"/>
      <c r="CL67" s="115"/>
      <c r="CM67" s="115"/>
      <c r="CN67" s="115"/>
      <c r="CO67" s="115"/>
      <c r="CP67" s="115"/>
      <c r="CQ67" s="115"/>
      <c r="CR67" s="115"/>
      <c r="CS67" s="115"/>
      <c r="CT67" s="115"/>
      <c r="CU67" s="115"/>
      <c r="CV67" s="115"/>
      <c r="CW67" s="115"/>
      <c r="CX67" s="115"/>
      <c r="CY67" s="115"/>
      <c r="CZ67" s="115"/>
      <c r="DA67" s="115">
        <f>+MEDIAN(W67,AA67)</f>
        <v>1125</v>
      </c>
      <c r="DB67" s="115">
        <f>+AVERAGE(W67,AA67)</f>
        <v>1125</v>
      </c>
      <c r="DC67" s="115">
        <f>+STDEV(W67,AA67)</f>
        <v>176.77669529663689</v>
      </c>
      <c r="DD67" s="116">
        <f t="shared" si="22"/>
        <v>0.15713484026367724</v>
      </c>
      <c r="DE67" s="115">
        <v>945.3781512605043</v>
      </c>
      <c r="DF67" s="115">
        <f t="shared" si="9"/>
        <v>179.62184873949582</v>
      </c>
      <c r="DG67" s="175">
        <f>+ROUNDUP(IF(DD67&lt;15%,DB67,DA67),0)</f>
        <v>1125</v>
      </c>
      <c r="DH67" s="175">
        <f t="shared" si="18"/>
        <v>427500</v>
      </c>
      <c r="DI67" s="119" t="s">
        <v>227</v>
      </c>
    </row>
    <row r="68" spans="1:113" s="28" customFormat="1" ht="30" x14ac:dyDescent="0.25">
      <c r="A68" s="36">
        <v>60</v>
      </c>
      <c r="B68" s="112" t="s">
        <v>53</v>
      </c>
      <c r="C68" s="113" t="s">
        <v>125</v>
      </c>
      <c r="D68" s="114" t="s">
        <v>168</v>
      </c>
      <c r="E68" s="114">
        <v>18</v>
      </c>
      <c r="F68" s="115">
        <v>2101</v>
      </c>
      <c r="G68" s="115">
        <f>+F68*19%</f>
        <v>399.19</v>
      </c>
      <c r="H68" s="115">
        <f>+F68+G68</f>
        <v>2500.19</v>
      </c>
      <c r="I68" s="115"/>
      <c r="J68" s="115"/>
      <c r="K68" s="115"/>
      <c r="L68" s="115">
        <v>2411</v>
      </c>
      <c r="M68" s="115">
        <f>+L68*0.19</f>
        <v>458.09000000000003</v>
      </c>
      <c r="N68" s="115">
        <f>+L68+M68</f>
        <v>2869.09</v>
      </c>
      <c r="O68" s="118"/>
      <c r="P68" s="118"/>
      <c r="Q68" s="118"/>
      <c r="R68" s="118"/>
      <c r="S68" s="118"/>
      <c r="T68" s="118"/>
      <c r="U68" s="118"/>
      <c r="V68" s="118"/>
      <c r="W68" s="118"/>
      <c r="X68" s="118"/>
      <c r="Y68" s="118"/>
      <c r="Z68" s="118"/>
      <c r="AA68" s="118"/>
      <c r="AB68" s="118"/>
      <c r="AC68" s="118"/>
      <c r="AD68" s="118"/>
      <c r="AE68" s="118"/>
      <c r="AF68" s="118"/>
      <c r="AG68" s="118"/>
      <c r="AH68" s="118"/>
      <c r="AI68" s="118"/>
      <c r="AJ68" s="118"/>
      <c r="AK68" s="118"/>
      <c r="AL68" s="118"/>
      <c r="AM68" s="118"/>
      <c r="AN68" s="118"/>
      <c r="AO68" s="118"/>
      <c r="AP68" s="118"/>
      <c r="AQ68" s="115"/>
      <c r="AR68" s="115"/>
      <c r="AS68" s="115"/>
      <c r="AT68" s="115"/>
      <c r="AU68" s="115"/>
      <c r="AV68" s="115"/>
      <c r="AW68" s="115"/>
      <c r="AX68" s="115"/>
      <c r="AY68" s="115"/>
      <c r="AZ68" s="115"/>
      <c r="BA68" s="115"/>
      <c r="BB68" s="115"/>
      <c r="BC68" s="115"/>
      <c r="BD68" s="115"/>
      <c r="BE68" s="115"/>
      <c r="BF68" s="115"/>
      <c r="BG68" s="115"/>
      <c r="BH68" s="115"/>
      <c r="BI68" s="115"/>
      <c r="BJ68" s="115"/>
      <c r="BK68" s="115"/>
      <c r="BL68" s="115"/>
      <c r="BM68" s="115"/>
      <c r="BN68" s="115"/>
      <c r="BO68" s="115"/>
      <c r="BP68" s="115"/>
      <c r="BQ68" s="115"/>
      <c r="BR68" s="115"/>
      <c r="BS68" s="118"/>
      <c r="BT68" s="118"/>
      <c r="BU68" s="118"/>
      <c r="BV68" s="118"/>
      <c r="BW68" s="118"/>
      <c r="BX68" s="115"/>
      <c r="BY68" s="115"/>
      <c r="BZ68" s="115"/>
      <c r="CA68" s="115"/>
      <c r="CB68" s="115"/>
      <c r="CC68" s="115"/>
      <c r="CD68" s="115"/>
      <c r="CE68" s="115"/>
      <c r="CF68" s="115"/>
      <c r="CG68" s="115"/>
      <c r="CH68" s="115"/>
      <c r="CI68" s="115"/>
      <c r="CJ68" s="115"/>
      <c r="CK68" s="115"/>
      <c r="CL68" s="115"/>
      <c r="CM68" s="115"/>
      <c r="CN68" s="115"/>
      <c r="CO68" s="115"/>
      <c r="CP68" s="115"/>
      <c r="CQ68" s="115"/>
      <c r="CR68" s="115"/>
      <c r="CS68" s="115"/>
      <c r="CT68" s="115"/>
      <c r="CU68" s="115"/>
      <c r="CV68" s="115"/>
      <c r="CW68" s="115"/>
      <c r="CX68" s="115"/>
      <c r="CY68" s="115"/>
      <c r="CZ68" s="115"/>
      <c r="DA68" s="115">
        <f>+MEDIAN(H68,N68)</f>
        <v>2684.6400000000003</v>
      </c>
      <c r="DB68" s="115">
        <f>+AVERAGE(H68,N68)</f>
        <v>2684.6400000000003</v>
      </c>
      <c r="DC68" s="115">
        <f>+STDEV(H68,N68)</f>
        <v>260.85169157971745</v>
      </c>
      <c r="DD68" s="116">
        <f t="shared" si="22"/>
        <v>9.7164495641768517E-2</v>
      </c>
      <c r="DE68" s="115">
        <v>2256.3025210084033</v>
      </c>
      <c r="DF68" s="115">
        <f t="shared" si="9"/>
        <v>428.69747899159665</v>
      </c>
      <c r="DG68" s="175">
        <f t="shared" si="21"/>
        <v>2685</v>
      </c>
      <c r="DH68" s="175">
        <f t="shared" si="18"/>
        <v>48330</v>
      </c>
      <c r="DI68" s="119" t="s">
        <v>228</v>
      </c>
    </row>
    <row r="69" spans="1:113" s="28" customFormat="1" ht="30" x14ac:dyDescent="0.25">
      <c r="A69" s="36">
        <v>61</v>
      </c>
      <c r="B69" s="112" t="s">
        <v>53</v>
      </c>
      <c r="C69" s="113" t="s">
        <v>188</v>
      </c>
      <c r="D69" s="114" t="s">
        <v>168</v>
      </c>
      <c r="E69" s="114">
        <v>429</v>
      </c>
      <c r="F69" s="115">
        <f>+(4622/400)*100</f>
        <v>1155.5</v>
      </c>
      <c r="G69" s="115">
        <f>+F69*19%</f>
        <v>219.54500000000002</v>
      </c>
      <c r="H69" s="115">
        <f>+F69+G69</f>
        <v>1375.0450000000001</v>
      </c>
      <c r="I69" s="115">
        <v>1134.453781512605</v>
      </c>
      <c r="J69" s="115">
        <f>+I69*0.19</f>
        <v>215.54621848739495</v>
      </c>
      <c r="K69" s="115">
        <f>+I69+J69</f>
        <v>1350</v>
      </c>
      <c r="L69" s="120"/>
      <c r="M69" s="120"/>
      <c r="N69" s="120"/>
      <c r="O69" s="118"/>
      <c r="P69" s="118"/>
      <c r="Q69" s="118"/>
      <c r="R69" s="118"/>
      <c r="S69" s="118"/>
      <c r="T69" s="118"/>
      <c r="U69" s="118"/>
      <c r="V69" s="118"/>
      <c r="W69" s="118"/>
      <c r="X69" s="118"/>
      <c r="Y69" s="118"/>
      <c r="Z69" s="118"/>
      <c r="AA69" s="118"/>
      <c r="AB69" s="118"/>
      <c r="AC69" s="118"/>
      <c r="AD69" s="118"/>
      <c r="AE69" s="118"/>
      <c r="AF69" s="118"/>
      <c r="AG69" s="118"/>
      <c r="AH69" s="118"/>
      <c r="AI69" s="118"/>
      <c r="AJ69" s="118"/>
      <c r="AK69" s="118"/>
      <c r="AL69" s="118"/>
      <c r="AM69" s="118"/>
      <c r="AN69" s="118"/>
      <c r="AO69" s="118"/>
      <c r="AP69" s="118"/>
      <c r="AQ69" s="115"/>
      <c r="AR69" s="115"/>
      <c r="AS69" s="115"/>
      <c r="AT69" s="115"/>
      <c r="AU69" s="115"/>
      <c r="AV69" s="115"/>
      <c r="AW69" s="115"/>
      <c r="AX69" s="115"/>
      <c r="AY69" s="115"/>
      <c r="AZ69" s="115"/>
      <c r="BA69" s="115"/>
      <c r="BB69" s="115"/>
      <c r="BC69" s="115"/>
      <c r="BD69" s="115"/>
      <c r="BE69" s="115"/>
      <c r="BF69" s="115"/>
      <c r="BG69" s="115"/>
      <c r="BH69" s="115"/>
      <c r="BI69" s="115"/>
      <c r="BJ69" s="115"/>
      <c r="BK69" s="115"/>
      <c r="BL69" s="115"/>
      <c r="BM69" s="115"/>
      <c r="BN69" s="115"/>
      <c r="BO69" s="115"/>
      <c r="BP69" s="115"/>
      <c r="BQ69" s="115"/>
      <c r="BR69" s="115"/>
      <c r="BS69" s="118"/>
      <c r="BT69" s="118"/>
      <c r="BU69" s="118"/>
      <c r="BV69" s="118"/>
      <c r="BW69" s="118"/>
      <c r="BX69" s="115"/>
      <c r="BY69" s="115"/>
      <c r="BZ69" s="115"/>
      <c r="CA69" s="115"/>
      <c r="CB69" s="115"/>
      <c r="CC69" s="115"/>
      <c r="CD69" s="115"/>
      <c r="CE69" s="115"/>
      <c r="CF69" s="115"/>
      <c r="CG69" s="115"/>
      <c r="CH69" s="115"/>
      <c r="CI69" s="115"/>
      <c r="CJ69" s="115"/>
      <c r="CK69" s="115"/>
      <c r="CL69" s="115"/>
      <c r="CM69" s="115"/>
      <c r="CN69" s="115"/>
      <c r="CO69" s="115"/>
      <c r="CP69" s="115"/>
      <c r="CQ69" s="115"/>
      <c r="CR69" s="115"/>
      <c r="CS69" s="115"/>
      <c r="CT69" s="115"/>
      <c r="CU69" s="115"/>
      <c r="CV69" s="115"/>
      <c r="CW69" s="115"/>
      <c r="CX69" s="115"/>
      <c r="CY69" s="115"/>
      <c r="CZ69" s="115"/>
      <c r="DA69" s="115">
        <f>+MEDIAN(H69,K69)</f>
        <v>1362.5225</v>
      </c>
      <c r="DB69" s="115">
        <f>+AVERAGE(H69,K69)</f>
        <v>1362.5225</v>
      </c>
      <c r="DC69" s="115">
        <f>+STDEV(H69,K69)</f>
        <v>17.709489334817135</v>
      </c>
      <c r="DD69" s="116">
        <f t="shared" si="22"/>
        <v>1.2997575698615718E-2</v>
      </c>
      <c r="DE69" s="115">
        <v>1145.3781512605042</v>
      </c>
      <c r="DF69" s="115">
        <f t="shared" si="9"/>
        <v>217.62184873949579</v>
      </c>
      <c r="DG69" s="175">
        <f t="shared" si="21"/>
        <v>1363</v>
      </c>
      <c r="DH69" s="175">
        <f t="shared" si="18"/>
        <v>584727</v>
      </c>
      <c r="DI69" s="119" t="s">
        <v>228</v>
      </c>
    </row>
    <row r="70" spans="1:113" s="28" customFormat="1" ht="61.5" customHeight="1" x14ac:dyDescent="0.25">
      <c r="A70" s="36">
        <v>62</v>
      </c>
      <c r="B70" s="112" t="s">
        <v>54</v>
      </c>
      <c r="C70" s="113" t="s">
        <v>126</v>
      </c>
      <c r="D70" s="114" t="s">
        <v>170</v>
      </c>
      <c r="E70" s="114">
        <v>545</v>
      </c>
      <c r="F70" s="115"/>
      <c r="G70" s="115"/>
      <c r="H70" s="115"/>
      <c r="I70" s="115"/>
      <c r="J70" s="115"/>
      <c r="K70" s="115"/>
      <c r="L70" s="115"/>
      <c r="M70" s="115"/>
      <c r="N70" s="115"/>
      <c r="O70" s="118"/>
      <c r="P70" s="118"/>
      <c r="Q70" s="118"/>
      <c r="R70" s="115"/>
      <c r="S70" s="115"/>
      <c r="T70" s="115"/>
      <c r="U70" s="118">
        <v>2184.8739495798322</v>
      </c>
      <c r="V70" s="118">
        <f>+U70*0.19</f>
        <v>415.12605042016816</v>
      </c>
      <c r="W70" s="118">
        <f t="shared" si="19"/>
        <v>2600.0000000000005</v>
      </c>
      <c r="X70" s="118"/>
      <c r="Y70" s="118">
        <v>2016.8067226890757</v>
      </c>
      <c r="Z70" s="118">
        <f>+Y70*0.19</f>
        <v>383.19327731092437</v>
      </c>
      <c r="AA70" s="118">
        <f t="shared" si="20"/>
        <v>2400</v>
      </c>
      <c r="AB70" s="118"/>
      <c r="AC70" s="118"/>
      <c r="AD70" s="118"/>
      <c r="AE70" s="118"/>
      <c r="AF70" s="118"/>
      <c r="AG70" s="118"/>
      <c r="AH70" s="118"/>
      <c r="AI70" s="118"/>
      <c r="AJ70" s="115"/>
      <c r="AK70" s="115"/>
      <c r="AL70" s="115"/>
      <c r="AM70" s="115"/>
      <c r="AN70" s="115"/>
      <c r="AO70" s="115"/>
      <c r="AP70" s="115"/>
      <c r="AQ70" s="115"/>
      <c r="AR70" s="115"/>
      <c r="AS70" s="115"/>
      <c r="AT70" s="115"/>
      <c r="AU70" s="115"/>
      <c r="AV70" s="115"/>
      <c r="AW70" s="115"/>
      <c r="AX70" s="115"/>
      <c r="AY70" s="115"/>
      <c r="AZ70" s="115"/>
      <c r="BA70" s="115"/>
      <c r="BB70" s="115"/>
      <c r="BC70" s="115"/>
      <c r="BD70" s="115"/>
      <c r="BE70" s="115"/>
      <c r="BF70" s="115"/>
      <c r="BG70" s="115"/>
      <c r="BH70" s="115"/>
      <c r="BI70" s="115"/>
      <c r="BJ70" s="115"/>
      <c r="BK70" s="115"/>
      <c r="BL70" s="115"/>
      <c r="BM70" s="115"/>
      <c r="BN70" s="115"/>
      <c r="BO70" s="115"/>
      <c r="BP70" s="115"/>
      <c r="BQ70" s="115"/>
      <c r="BR70" s="115"/>
      <c r="BS70" s="118"/>
      <c r="BT70" s="118"/>
      <c r="BU70" s="118"/>
      <c r="BV70" s="118"/>
      <c r="BW70" s="118"/>
      <c r="BX70" s="115"/>
      <c r="BY70" s="115"/>
      <c r="BZ70" s="115"/>
      <c r="CA70" s="115"/>
      <c r="CB70" s="115"/>
      <c r="CC70" s="115"/>
      <c r="CD70" s="115"/>
      <c r="CE70" s="115"/>
      <c r="CF70" s="115"/>
      <c r="CG70" s="115"/>
      <c r="CH70" s="115"/>
      <c r="CI70" s="115"/>
      <c r="CJ70" s="115"/>
      <c r="CK70" s="115"/>
      <c r="CL70" s="115"/>
      <c r="CM70" s="115"/>
      <c r="CN70" s="115"/>
      <c r="CO70" s="115"/>
      <c r="CP70" s="115"/>
      <c r="CQ70" s="115"/>
      <c r="CR70" s="115"/>
      <c r="CS70" s="115"/>
      <c r="CT70" s="115"/>
      <c r="CU70" s="115"/>
      <c r="CV70" s="115"/>
      <c r="CW70" s="115"/>
      <c r="CX70" s="115"/>
      <c r="CY70" s="115"/>
      <c r="CZ70" s="115"/>
      <c r="DA70" s="115">
        <f>+MEDIAN(W70,AA70)</f>
        <v>2500</v>
      </c>
      <c r="DB70" s="115">
        <f>+AVERAGE(W70,AA70)</f>
        <v>2500</v>
      </c>
      <c r="DC70" s="115">
        <f>+STDEV(W70,AA70)</f>
        <v>141.42135623730982</v>
      </c>
      <c r="DD70" s="116">
        <f t="shared" si="22"/>
        <v>5.6568542494923928E-2</v>
      </c>
      <c r="DE70" s="115">
        <v>2100.840336134454</v>
      </c>
      <c r="DF70" s="115">
        <f t="shared" si="9"/>
        <v>399.15966386554624</v>
      </c>
      <c r="DG70" s="175">
        <f>+ROUNDUP(IF(DD70&lt;15%,DB70,DA70),0)</f>
        <v>2500</v>
      </c>
      <c r="DH70" s="175">
        <f t="shared" si="18"/>
        <v>1362500</v>
      </c>
      <c r="DI70" s="119" t="s">
        <v>228</v>
      </c>
    </row>
    <row r="71" spans="1:113" s="28" customFormat="1" ht="30" x14ac:dyDescent="0.25">
      <c r="A71" s="36">
        <v>63</v>
      </c>
      <c r="B71" s="112" t="s">
        <v>54</v>
      </c>
      <c r="C71" s="113" t="s">
        <v>127</v>
      </c>
      <c r="D71" s="114" t="s">
        <v>166</v>
      </c>
      <c r="E71" s="114">
        <v>382</v>
      </c>
      <c r="F71" s="115"/>
      <c r="G71" s="115"/>
      <c r="H71" s="115"/>
      <c r="I71" s="115"/>
      <c r="J71" s="115"/>
      <c r="K71" s="115"/>
      <c r="L71" s="115"/>
      <c r="M71" s="115"/>
      <c r="N71" s="115"/>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5"/>
      <c r="AR71" s="115"/>
      <c r="AS71" s="115"/>
      <c r="AT71" s="115"/>
      <c r="AU71" s="115"/>
      <c r="AV71" s="115"/>
      <c r="AW71" s="115"/>
      <c r="AX71" s="115"/>
      <c r="AY71" s="115"/>
      <c r="AZ71" s="115"/>
      <c r="BA71" s="115"/>
      <c r="BB71" s="115"/>
      <c r="BC71" s="115"/>
      <c r="BD71" s="115">
        <v>198500</v>
      </c>
      <c r="BE71" s="115">
        <v>0</v>
      </c>
      <c r="BF71" s="115">
        <f>BD71+BE71</f>
        <v>198500</v>
      </c>
      <c r="BG71" s="115">
        <f>BF71*0.15</f>
        <v>29775</v>
      </c>
      <c r="BH71" s="115">
        <f>BF71+BG71</f>
        <v>228275</v>
      </c>
      <c r="BI71" s="115"/>
      <c r="BJ71" s="115"/>
      <c r="BK71" s="115"/>
      <c r="BL71" s="115"/>
      <c r="BM71" s="115"/>
      <c r="BN71" s="115"/>
      <c r="BO71" s="115"/>
      <c r="BP71" s="115"/>
      <c r="BQ71" s="115"/>
      <c r="BR71" s="115"/>
      <c r="BS71" s="118"/>
      <c r="BT71" s="118"/>
      <c r="BU71" s="118"/>
      <c r="BV71" s="118"/>
      <c r="BW71" s="118"/>
      <c r="BX71" s="115"/>
      <c r="BY71" s="115"/>
      <c r="BZ71" s="115"/>
      <c r="CA71" s="115"/>
      <c r="CB71" s="115"/>
      <c r="CC71" s="115"/>
      <c r="CD71" s="115"/>
      <c r="CE71" s="115"/>
      <c r="CF71" s="115"/>
      <c r="CG71" s="115"/>
      <c r="CH71" s="115"/>
      <c r="CI71" s="115">
        <v>179500</v>
      </c>
      <c r="CJ71" s="115">
        <v>0</v>
      </c>
      <c r="CK71" s="115">
        <f>CI71+CJ71</f>
        <v>179500</v>
      </c>
      <c r="CL71" s="115">
        <f>CK71*0.15</f>
        <v>26925</v>
      </c>
      <c r="CM71" s="115">
        <f>CK71+CL71</f>
        <v>206425</v>
      </c>
      <c r="CN71" s="115">
        <v>175600</v>
      </c>
      <c r="CO71" s="115">
        <v>0</v>
      </c>
      <c r="CP71" s="115">
        <f>CN71+CO71</f>
        <v>175600</v>
      </c>
      <c r="CQ71" s="115">
        <f>CP71*0.15</f>
        <v>26340</v>
      </c>
      <c r="CR71" s="115">
        <f>CP71+CQ71</f>
        <v>201940</v>
      </c>
      <c r="CS71" s="115">
        <v>180900</v>
      </c>
      <c r="CT71" s="115">
        <v>0</v>
      </c>
      <c r="CU71" s="115">
        <f>CS71+CT71</f>
        <v>180900</v>
      </c>
      <c r="CV71" s="115">
        <f>CU71*0.15</f>
        <v>27135</v>
      </c>
      <c r="CW71" s="115">
        <f>CU71+CV71</f>
        <v>208035</v>
      </c>
      <c r="CX71" s="115"/>
      <c r="CY71" s="115"/>
      <c r="CZ71" s="115"/>
      <c r="DA71" s="115">
        <f>+MEDIAN(BH71,CM71,CR71,CW71)</f>
        <v>207230</v>
      </c>
      <c r="DB71" s="115">
        <f>+AVERAGE(BH71,CM71,CR71,CW71)</f>
        <v>211168.75</v>
      </c>
      <c r="DC71" s="115">
        <f>+STDEV(BH71,CM71,CR71,CW71)</f>
        <v>11692.122258882971</v>
      </c>
      <c r="DD71" s="116">
        <f t="shared" si="22"/>
        <v>5.5368619925452847E-2</v>
      </c>
      <c r="DE71" s="115">
        <f>DG71-DF71</f>
        <v>171046.89</v>
      </c>
      <c r="DF71" s="115">
        <f>+DG71*19%</f>
        <v>40122.11</v>
      </c>
      <c r="DG71" s="175">
        <f>+ROUNDUP(IF(DD71&lt;15%,DB71,DA71),0)</f>
        <v>211169</v>
      </c>
      <c r="DH71" s="175">
        <f t="shared" si="18"/>
        <v>80666558</v>
      </c>
      <c r="DI71" s="119" t="s">
        <v>228</v>
      </c>
    </row>
    <row r="72" spans="1:113" s="28" customFormat="1" ht="30" x14ac:dyDescent="0.25">
      <c r="A72" s="36">
        <v>64</v>
      </c>
      <c r="B72" s="112" t="s">
        <v>54</v>
      </c>
      <c r="C72" s="113" t="s">
        <v>128</v>
      </c>
      <c r="D72" s="114" t="s">
        <v>171</v>
      </c>
      <c r="E72" s="114">
        <v>500</v>
      </c>
      <c r="F72" s="115"/>
      <c r="G72" s="115"/>
      <c r="H72" s="115"/>
      <c r="I72" s="115"/>
      <c r="J72" s="115"/>
      <c r="K72" s="115"/>
      <c r="L72" s="115"/>
      <c r="M72" s="115"/>
      <c r="N72" s="115"/>
      <c r="O72" s="118"/>
      <c r="P72" s="118"/>
      <c r="Q72" s="118"/>
      <c r="R72" s="115">
        <v>1120.4481792717088</v>
      </c>
      <c r="S72" s="115">
        <f>+R72*19%</f>
        <v>212.88515406162466</v>
      </c>
      <c r="T72" s="115">
        <f>+R72+S72</f>
        <v>1333.3333333333335</v>
      </c>
      <c r="U72" s="118"/>
      <c r="V72" s="118"/>
      <c r="W72" s="11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18"/>
      <c r="AW72" s="118"/>
      <c r="AX72" s="118"/>
      <c r="AY72" s="118">
        <v>1008.4033613445379</v>
      </c>
      <c r="AZ72" s="118">
        <f>+AY72*19%</f>
        <v>191.59663865546219</v>
      </c>
      <c r="BA72" s="118">
        <f>+AY72+AZ72</f>
        <v>1200</v>
      </c>
      <c r="BB72" s="118">
        <f>+BA72*15%</f>
        <v>180</v>
      </c>
      <c r="BC72" s="118">
        <f>+BA72+BB72</f>
        <v>1380</v>
      </c>
      <c r="BD72" s="115"/>
      <c r="BE72" s="115"/>
      <c r="BF72" s="115"/>
      <c r="BG72" s="115"/>
      <c r="BH72" s="115"/>
      <c r="BI72" s="115"/>
      <c r="BJ72" s="115"/>
      <c r="BK72" s="115"/>
      <c r="BL72" s="115"/>
      <c r="BM72" s="115"/>
      <c r="BN72" s="115"/>
      <c r="BO72" s="115"/>
      <c r="BP72" s="115"/>
      <c r="BQ72" s="115"/>
      <c r="BR72" s="115"/>
      <c r="BS72" s="118"/>
      <c r="BT72" s="118"/>
      <c r="BU72" s="118"/>
      <c r="BV72" s="118"/>
      <c r="BW72" s="118"/>
      <c r="BX72" s="115"/>
      <c r="BY72" s="115"/>
      <c r="BZ72" s="115"/>
      <c r="CA72" s="115"/>
      <c r="CB72" s="115"/>
      <c r="CC72" s="115"/>
      <c r="CD72" s="115"/>
      <c r="CE72" s="115"/>
      <c r="CF72" s="115"/>
      <c r="CG72" s="115"/>
      <c r="CH72" s="115"/>
      <c r="CI72" s="115"/>
      <c r="CJ72" s="115"/>
      <c r="CK72" s="115"/>
      <c r="CL72" s="115"/>
      <c r="CM72" s="115"/>
      <c r="CN72" s="115"/>
      <c r="CO72" s="115"/>
      <c r="CP72" s="115"/>
      <c r="CQ72" s="115"/>
      <c r="CR72" s="115"/>
      <c r="CS72" s="115"/>
      <c r="CT72" s="115"/>
      <c r="CU72" s="115"/>
      <c r="CV72" s="115"/>
      <c r="CW72" s="115"/>
      <c r="CX72" s="115"/>
      <c r="CY72" s="115"/>
      <c r="CZ72" s="115"/>
      <c r="DA72" s="115">
        <f>+MEDIAN(T72,BC72)</f>
        <v>1356.6666666666667</v>
      </c>
      <c r="DB72" s="115">
        <f>+AVERAGE(T72,BC72)</f>
        <v>1356.6666666666667</v>
      </c>
      <c r="DC72" s="115">
        <f>+STDEV(T72,BC72)</f>
        <v>32.998316455372112</v>
      </c>
      <c r="DD72" s="116">
        <f t="shared" si="22"/>
        <v>2.4323083382338163E-2</v>
      </c>
      <c r="DE72" s="115">
        <v>1140.3361344537816</v>
      </c>
      <c r="DF72" s="115">
        <f>+DE72*19%</f>
        <v>216.66386554621852</v>
      </c>
      <c r="DG72" s="175">
        <f>+ROUNDUP(IF(DD72&lt;15%,DB72,DA72),0)</f>
        <v>1357</v>
      </c>
      <c r="DH72" s="175">
        <f t="shared" si="18"/>
        <v>678500</v>
      </c>
      <c r="DI72" s="119" t="s">
        <v>228</v>
      </c>
    </row>
    <row r="73" spans="1:113" s="28" customFormat="1" ht="30" x14ac:dyDescent="0.25">
      <c r="A73" s="36">
        <v>65</v>
      </c>
      <c r="B73" s="112" t="s">
        <v>55</v>
      </c>
      <c r="C73" s="113" t="s">
        <v>129</v>
      </c>
      <c r="D73" s="114" t="s">
        <v>171</v>
      </c>
      <c r="E73" s="114">
        <v>32</v>
      </c>
      <c r="F73" s="115"/>
      <c r="G73" s="115"/>
      <c r="H73" s="115"/>
      <c r="I73" s="115"/>
      <c r="J73" s="115"/>
      <c r="K73" s="115"/>
      <c r="L73" s="115">
        <v>305.04000000000002</v>
      </c>
      <c r="M73" s="115">
        <f>+L73*0.19</f>
        <v>57.957600000000006</v>
      </c>
      <c r="N73" s="115">
        <f>+L73+M73</f>
        <v>362.99760000000003</v>
      </c>
      <c r="O73" s="118"/>
      <c r="P73" s="118"/>
      <c r="Q73" s="118"/>
      <c r="R73" s="118"/>
      <c r="S73" s="118"/>
      <c r="T73" s="118"/>
      <c r="U73" s="118"/>
      <c r="V73" s="118"/>
      <c r="W73" s="118"/>
      <c r="X73" s="118"/>
      <c r="Y73" s="118"/>
      <c r="Z73" s="118"/>
      <c r="AA73" s="118"/>
      <c r="AB73" s="118"/>
      <c r="AC73" s="118"/>
      <c r="AD73" s="118"/>
      <c r="AE73" s="118"/>
      <c r="AF73" s="118"/>
      <c r="AG73" s="118"/>
      <c r="AH73" s="118"/>
      <c r="AI73" s="118"/>
      <c r="AJ73" s="118"/>
      <c r="AK73" s="118"/>
      <c r="AL73" s="118"/>
      <c r="AM73" s="118"/>
      <c r="AN73" s="118"/>
      <c r="AO73" s="118"/>
      <c r="AP73" s="118"/>
      <c r="AQ73" s="118"/>
      <c r="AR73" s="118"/>
      <c r="AS73" s="118"/>
      <c r="AT73" s="118"/>
      <c r="AU73" s="118"/>
      <c r="AV73" s="118"/>
      <c r="AW73" s="118"/>
      <c r="AX73" s="118"/>
      <c r="AY73" s="118"/>
      <c r="AZ73" s="118"/>
      <c r="BA73" s="118"/>
      <c r="BB73" s="118"/>
      <c r="BC73" s="118"/>
      <c r="BD73" s="118"/>
      <c r="BE73" s="118"/>
      <c r="BF73" s="118"/>
      <c r="BG73" s="118"/>
      <c r="BH73" s="118"/>
      <c r="BI73" s="118">
        <f>375/1.19</f>
        <v>315.1260504201681</v>
      </c>
      <c r="BJ73" s="118">
        <f>+BI73*0.19</f>
        <v>59.873949579831937</v>
      </c>
      <c r="BK73" s="118">
        <f>+BI73+BJ73</f>
        <v>375.00000000000006</v>
      </c>
      <c r="BL73" s="122">
        <f>+BK73*15%</f>
        <v>56.250000000000007</v>
      </c>
      <c r="BM73" s="122">
        <f>+BK73+BL73</f>
        <v>431.25000000000006</v>
      </c>
      <c r="BN73" s="118"/>
      <c r="BO73" s="118"/>
      <c r="BP73" s="118"/>
      <c r="BQ73" s="118"/>
      <c r="BR73" s="118"/>
      <c r="BS73" s="118"/>
      <c r="BT73" s="118"/>
      <c r="BU73" s="118"/>
      <c r="BV73" s="118"/>
      <c r="BW73" s="118"/>
      <c r="BX73" s="115"/>
      <c r="BY73" s="115"/>
      <c r="BZ73" s="115"/>
      <c r="CA73" s="115"/>
      <c r="CB73" s="115"/>
      <c r="CC73" s="115"/>
      <c r="CD73" s="115"/>
      <c r="CE73" s="115"/>
      <c r="CF73" s="115"/>
      <c r="CG73" s="115"/>
      <c r="CH73" s="115"/>
      <c r="CI73" s="115"/>
      <c r="CJ73" s="115"/>
      <c r="CK73" s="115"/>
      <c r="CL73" s="115"/>
      <c r="CM73" s="115"/>
      <c r="CN73" s="115"/>
      <c r="CO73" s="115"/>
      <c r="CP73" s="115"/>
      <c r="CQ73" s="115"/>
      <c r="CR73" s="115"/>
      <c r="CS73" s="115"/>
      <c r="CT73" s="115"/>
      <c r="CU73" s="115"/>
      <c r="CV73" s="115"/>
      <c r="CW73" s="115"/>
      <c r="CX73" s="115"/>
      <c r="CY73" s="115"/>
      <c r="CZ73" s="115"/>
      <c r="DA73" s="115">
        <f>+MEDIAN(N73,BM73)</f>
        <v>397.12380000000007</v>
      </c>
      <c r="DB73" s="115">
        <f>+AVERAGE(N73,BM73)</f>
        <v>397.12380000000007</v>
      </c>
      <c r="DC73" s="115">
        <f>+STDEV(N73,BM73)</f>
        <v>48.261734872256731</v>
      </c>
      <c r="DD73" s="116">
        <f t="shared" si="22"/>
        <v>0.1215281855991928</v>
      </c>
      <c r="DE73" s="115">
        <v>334.45378151260508</v>
      </c>
      <c r="DF73" s="115">
        <f>+DE73*19%</f>
        <v>63.546218487394967</v>
      </c>
      <c r="DG73" s="175">
        <f t="shared" si="21"/>
        <v>398</v>
      </c>
      <c r="DH73" s="175">
        <f t="shared" ref="DH73:DH104" si="23">+DG73*E73</f>
        <v>12736</v>
      </c>
      <c r="DI73" s="119" t="s">
        <v>228</v>
      </c>
    </row>
    <row r="74" spans="1:113" s="28" customFormat="1" ht="42.75" customHeight="1" x14ac:dyDescent="0.25">
      <c r="A74" s="36">
        <v>66</v>
      </c>
      <c r="B74" s="112" t="s">
        <v>54</v>
      </c>
      <c r="C74" s="113" t="s">
        <v>130</v>
      </c>
      <c r="D74" s="114" t="s">
        <v>170</v>
      </c>
      <c r="E74" s="114">
        <v>50</v>
      </c>
      <c r="F74" s="115"/>
      <c r="G74" s="115"/>
      <c r="H74" s="115"/>
      <c r="I74" s="115"/>
      <c r="J74" s="115"/>
      <c r="K74" s="115"/>
      <c r="L74" s="115"/>
      <c r="M74" s="115"/>
      <c r="N74" s="115"/>
      <c r="O74" s="118"/>
      <c r="P74" s="118"/>
      <c r="Q74" s="118"/>
      <c r="R74" s="115">
        <v>9103.6414565826344</v>
      </c>
      <c r="S74" s="115">
        <f>+R74*19%</f>
        <v>1729.6918767507007</v>
      </c>
      <c r="T74" s="115">
        <f>+R74+S74</f>
        <v>10833.333333333336</v>
      </c>
      <c r="U74" s="118"/>
      <c r="V74" s="118"/>
      <c r="W74" s="118"/>
      <c r="X74" s="118"/>
      <c r="Y74" s="118">
        <v>12268.90756302521</v>
      </c>
      <c r="Z74" s="118">
        <f>+Y74*0.19</f>
        <v>2331.09243697479</v>
      </c>
      <c r="AA74" s="118">
        <f>+Y74+Z74</f>
        <v>14600</v>
      </c>
      <c r="AB74" s="118"/>
      <c r="AC74" s="118"/>
      <c r="AD74" s="118"/>
      <c r="AE74" s="118"/>
      <c r="AF74" s="118"/>
      <c r="AG74" s="118"/>
      <c r="AH74" s="118"/>
      <c r="AI74" s="118"/>
      <c r="AJ74" s="118"/>
      <c r="AK74" s="118"/>
      <c r="AL74" s="118"/>
      <c r="AM74" s="118"/>
      <c r="AN74" s="118"/>
      <c r="AO74" s="118"/>
      <c r="AP74" s="118"/>
      <c r="AQ74" s="118"/>
      <c r="AR74" s="118"/>
      <c r="AS74" s="118"/>
      <c r="AT74" s="118"/>
      <c r="AU74" s="118"/>
      <c r="AV74" s="118"/>
      <c r="AW74" s="118"/>
      <c r="AX74" s="118"/>
      <c r="AY74" s="118"/>
      <c r="AZ74" s="118"/>
      <c r="BA74" s="118"/>
      <c r="BB74" s="118"/>
      <c r="BC74" s="118"/>
      <c r="BD74" s="118"/>
      <c r="BE74" s="118"/>
      <c r="BF74" s="118"/>
      <c r="BG74" s="118"/>
      <c r="BH74" s="118"/>
      <c r="BI74" s="118"/>
      <c r="BJ74" s="118"/>
      <c r="BK74" s="118"/>
      <c r="BL74" s="118"/>
      <c r="BM74" s="118"/>
      <c r="BN74" s="118"/>
      <c r="BO74" s="118"/>
      <c r="BP74" s="118"/>
      <c r="BQ74" s="118"/>
      <c r="BR74" s="118"/>
      <c r="BS74" s="118"/>
      <c r="BT74" s="118"/>
      <c r="BU74" s="118"/>
      <c r="BV74" s="118"/>
      <c r="BW74" s="118"/>
      <c r="BX74" s="115"/>
      <c r="BY74" s="115"/>
      <c r="BZ74" s="115"/>
      <c r="CA74" s="115"/>
      <c r="CB74" s="115"/>
      <c r="CC74" s="115"/>
      <c r="CD74" s="115"/>
      <c r="CE74" s="115"/>
      <c r="CF74" s="115"/>
      <c r="CG74" s="115"/>
      <c r="CH74" s="115"/>
      <c r="CI74" s="115"/>
      <c r="CJ74" s="115"/>
      <c r="CK74" s="115"/>
      <c r="CL74" s="115"/>
      <c r="CM74" s="115"/>
      <c r="CN74" s="115"/>
      <c r="CO74" s="115"/>
      <c r="CP74" s="115"/>
      <c r="CQ74" s="115"/>
      <c r="CR74" s="115"/>
      <c r="CS74" s="115"/>
      <c r="CT74" s="115"/>
      <c r="CU74" s="115"/>
      <c r="CV74" s="115"/>
      <c r="CW74" s="115"/>
      <c r="CX74" s="115"/>
      <c r="CY74" s="115"/>
      <c r="CZ74" s="115"/>
      <c r="DA74" s="115">
        <f>+MEDIAN(T74,AA74)</f>
        <v>12716.666666666668</v>
      </c>
      <c r="DB74" s="115">
        <f>+AVERAGE(T74,AA74)</f>
        <v>12716.666666666668</v>
      </c>
      <c r="DC74" s="115">
        <f>+STDEV(T74,AA74)</f>
        <v>2663.4355424693304</v>
      </c>
      <c r="DD74" s="116">
        <f t="shared" si="22"/>
        <v>0.20944447254018322</v>
      </c>
      <c r="DE74" s="115">
        <v>10686.55462184874</v>
      </c>
      <c r="DF74" s="115">
        <f t="shared" si="9"/>
        <v>2030.4453781512607</v>
      </c>
      <c r="DG74" s="175">
        <f t="shared" ref="DG74:DG80" si="24">+ROUNDUP(IF(DD74&lt;15%,DB74,DA74),0)</f>
        <v>12717</v>
      </c>
      <c r="DH74" s="175">
        <f t="shared" si="23"/>
        <v>635850</v>
      </c>
      <c r="DI74" s="119" t="s">
        <v>227</v>
      </c>
    </row>
    <row r="75" spans="1:113" s="28" customFormat="1" ht="30" x14ac:dyDescent="0.25">
      <c r="A75" s="36">
        <v>67</v>
      </c>
      <c r="B75" s="112" t="s">
        <v>56</v>
      </c>
      <c r="C75" s="113" t="s">
        <v>131</v>
      </c>
      <c r="D75" s="114" t="s">
        <v>171</v>
      </c>
      <c r="E75" s="114">
        <v>10</v>
      </c>
      <c r="F75" s="115"/>
      <c r="G75" s="115"/>
      <c r="H75" s="115"/>
      <c r="I75" s="115">
        <f>(18908/25)</f>
        <v>756.32</v>
      </c>
      <c r="J75" s="115">
        <f>+I75*0.19</f>
        <v>143.70080000000002</v>
      </c>
      <c r="K75" s="115">
        <f>+I75+J75</f>
        <v>900.02080000000001</v>
      </c>
      <c r="L75" s="115"/>
      <c r="M75" s="115"/>
      <c r="N75" s="115"/>
      <c r="O75" s="118"/>
      <c r="P75" s="118"/>
      <c r="Q75" s="118"/>
      <c r="R75" s="115">
        <v>1260.5042016806724</v>
      </c>
      <c r="S75" s="115">
        <f>+R75*19%</f>
        <v>239.49579831932775</v>
      </c>
      <c r="T75" s="115">
        <f>+R75+S75</f>
        <v>1500.0000000000002</v>
      </c>
      <c r="U75" s="118"/>
      <c r="V75" s="118"/>
      <c r="W75" s="118"/>
      <c r="X75" s="118"/>
      <c r="Y75" s="118"/>
      <c r="Z75" s="118"/>
      <c r="AA75" s="118"/>
      <c r="AB75" s="118"/>
      <c r="AC75" s="118"/>
      <c r="AD75" s="118"/>
      <c r="AE75" s="118"/>
      <c r="AF75" s="118"/>
      <c r="AG75" s="118"/>
      <c r="AH75" s="118"/>
      <c r="AI75" s="118"/>
      <c r="AJ75" s="118"/>
      <c r="AK75" s="118"/>
      <c r="AL75" s="118"/>
      <c r="AM75" s="118"/>
      <c r="AN75" s="118"/>
      <c r="AO75" s="118"/>
      <c r="AP75" s="118"/>
      <c r="AQ75" s="118"/>
      <c r="AR75" s="118"/>
      <c r="AS75" s="118"/>
      <c r="AT75" s="118"/>
      <c r="AU75" s="118"/>
      <c r="AV75" s="118"/>
      <c r="AW75" s="118"/>
      <c r="AX75" s="118"/>
      <c r="AY75" s="118"/>
      <c r="AZ75" s="118"/>
      <c r="BA75" s="118"/>
      <c r="BB75" s="118"/>
      <c r="BC75" s="118"/>
      <c r="BD75" s="118"/>
      <c r="BE75" s="118"/>
      <c r="BF75" s="118"/>
      <c r="BG75" s="118"/>
      <c r="BH75" s="118"/>
      <c r="BI75" s="118"/>
      <c r="BJ75" s="118"/>
      <c r="BK75" s="118"/>
      <c r="BL75" s="118"/>
      <c r="BM75" s="118"/>
      <c r="BN75" s="118"/>
      <c r="BO75" s="118"/>
      <c r="BP75" s="118"/>
      <c r="BQ75" s="118"/>
      <c r="BR75" s="118"/>
      <c r="BS75" s="118"/>
      <c r="BT75" s="118"/>
      <c r="BU75" s="118"/>
      <c r="BV75" s="118"/>
      <c r="BW75" s="118"/>
      <c r="BX75" s="115"/>
      <c r="BY75" s="115"/>
      <c r="BZ75" s="115"/>
      <c r="CA75" s="115"/>
      <c r="CB75" s="115"/>
      <c r="CC75" s="115"/>
      <c r="CD75" s="115"/>
      <c r="CE75" s="115"/>
      <c r="CF75" s="115"/>
      <c r="CG75" s="115"/>
      <c r="CH75" s="115"/>
      <c r="CI75" s="115"/>
      <c r="CJ75" s="115"/>
      <c r="CK75" s="115"/>
      <c r="CL75" s="115"/>
      <c r="CM75" s="115"/>
      <c r="CN75" s="115"/>
      <c r="CO75" s="115"/>
      <c r="CP75" s="115"/>
      <c r="CQ75" s="115"/>
      <c r="CR75" s="115"/>
      <c r="CS75" s="115"/>
      <c r="CT75" s="115"/>
      <c r="CU75" s="115"/>
      <c r="CV75" s="115"/>
      <c r="CW75" s="115"/>
      <c r="CX75" s="115">
        <f>1200/1.19</f>
        <v>1008.4033613445379</v>
      </c>
      <c r="CY75" s="115">
        <f>+CX75*0.19</f>
        <v>191.59663865546219</v>
      </c>
      <c r="CZ75" s="115">
        <f>+CX75+CY75</f>
        <v>1200</v>
      </c>
      <c r="DA75" s="115">
        <f>+MEDIAN(K75,T75,CZ75)</f>
        <v>1200</v>
      </c>
      <c r="DB75" s="115">
        <f>AVERAGE(K75,T75,CZ75)</f>
        <v>1200.0069333333333</v>
      </c>
      <c r="DC75" s="115">
        <f>+STDEV(K75,T75,CZ75)</f>
        <v>299.98960006009077</v>
      </c>
      <c r="DD75" s="116">
        <f>DC75/DB75</f>
        <v>0.24998988899738364</v>
      </c>
      <c r="DE75" s="115">
        <v>1008.4033613445379</v>
      </c>
      <c r="DF75" s="115">
        <f>+DE75*19%</f>
        <v>191.59663865546219</v>
      </c>
      <c r="DG75" s="175">
        <f t="shared" si="24"/>
        <v>1200</v>
      </c>
      <c r="DH75" s="175">
        <f t="shared" si="23"/>
        <v>12000</v>
      </c>
      <c r="DI75" s="119" t="s">
        <v>227</v>
      </c>
    </row>
    <row r="76" spans="1:113" s="28" customFormat="1" ht="30" x14ac:dyDescent="0.25">
      <c r="A76" s="36">
        <v>68</v>
      </c>
      <c r="B76" s="112" t="s">
        <v>57</v>
      </c>
      <c r="C76" s="113" t="s">
        <v>132</v>
      </c>
      <c r="D76" s="114" t="s">
        <v>169</v>
      </c>
      <c r="E76" s="114">
        <v>90</v>
      </c>
      <c r="F76" s="115"/>
      <c r="G76" s="115"/>
      <c r="H76" s="115"/>
      <c r="I76" s="115"/>
      <c r="J76" s="115"/>
      <c r="K76" s="115"/>
      <c r="L76" s="115"/>
      <c r="M76" s="115"/>
      <c r="N76" s="115"/>
      <c r="O76" s="118"/>
      <c r="P76" s="118"/>
      <c r="Q76" s="118"/>
      <c r="R76" s="115"/>
      <c r="S76" s="115"/>
      <c r="T76" s="115"/>
      <c r="U76" s="118"/>
      <c r="V76" s="118"/>
      <c r="W76" s="118"/>
      <c r="X76" s="118"/>
      <c r="Y76" s="118"/>
      <c r="Z76" s="118"/>
      <c r="AA76" s="118"/>
      <c r="AB76" s="118"/>
      <c r="AC76" s="118"/>
      <c r="AD76" s="118"/>
      <c r="AE76" s="118">
        <v>15042.01680672269</v>
      </c>
      <c r="AF76" s="118">
        <f>+AE76*19%</f>
        <v>2857.9831932773109</v>
      </c>
      <c r="AG76" s="118">
        <f>+AE76+AF76</f>
        <v>17900</v>
      </c>
      <c r="AH76" s="115">
        <f>+AG76*15%</f>
        <v>2685</v>
      </c>
      <c r="AI76" s="115">
        <f>+AG76+AH76</f>
        <v>20585</v>
      </c>
      <c r="AJ76" s="118"/>
      <c r="AK76" s="118"/>
      <c r="AL76" s="118"/>
      <c r="AM76" s="118"/>
      <c r="AN76" s="118"/>
      <c r="AO76" s="118"/>
      <c r="AP76" s="118"/>
      <c r="AQ76" s="118"/>
      <c r="AR76" s="118"/>
      <c r="AS76" s="118"/>
      <c r="AT76" s="118"/>
      <c r="AU76" s="118"/>
      <c r="AV76" s="118"/>
      <c r="AW76" s="118"/>
      <c r="AX76" s="118"/>
      <c r="AY76" s="118"/>
      <c r="AZ76" s="118"/>
      <c r="BA76" s="118"/>
      <c r="BB76" s="118"/>
      <c r="BC76" s="118"/>
      <c r="BD76" s="118"/>
      <c r="BE76" s="118"/>
      <c r="BF76" s="118"/>
      <c r="BG76" s="118"/>
      <c r="BH76" s="118"/>
      <c r="BI76" s="118"/>
      <c r="BJ76" s="118"/>
      <c r="BK76" s="118"/>
      <c r="BL76" s="118"/>
      <c r="BM76" s="118"/>
      <c r="BN76" s="118"/>
      <c r="BO76" s="118"/>
      <c r="BP76" s="118"/>
      <c r="BQ76" s="118"/>
      <c r="BR76" s="118"/>
      <c r="BS76" s="118"/>
      <c r="BT76" s="118"/>
      <c r="BU76" s="118"/>
      <c r="BV76" s="118"/>
      <c r="BW76" s="118"/>
      <c r="BX76" s="115"/>
      <c r="BY76" s="115"/>
      <c r="BZ76" s="115"/>
      <c r="CA76" s="115"/>
      <c r="CB76" s="115"/>
      <c r="CC76" s="115"/>
      <c r="CD76" s="115"/>
      <c r="CE76" s="115"/>
      <c r="CF76" s="115"/>
      <c r="CG76" s="115"/>
      <c r="CH76" s="115"/>
      <c r="CI76" s="115"/>
      <c r="CJ76" s="115"/>
      <c r="CK76" s="115"/>
      <c r="CL76" s="115"/>
      <c r="CM76" s="115"/>
      <c r="CN76" s="115"/>
      <c r="CO76" s="115"/>
      <c r="CP76" s="115"/>
      <c r="CQ76" s="115"/>
      <c r="CR76" s="115"/>
      <c r="CS76" s="115">
        <f>16900/1.19</f>
        <v>14201.680672268909</v>
      </c>
      <c r="CT76" s="115">
        <f>+CS76*19%</f>
        <v>2698.3193277310929</v>
      </c>
      <c r="CU76" s="115">
        <f>+CS76+CT76</f>
        <v>16900</v>
      </c>
      <c r="CV76" s="115">
        <f>+CU76*15%</f>
        <v>2535</v>
      </c>
      <c r="CW76" s="115">
        <f>+CU76+CV76</f>
        <v>19435</v>
      </c>
      <c r="CX76" s="115"/>
      <c r="CY76" s="115"/>
      <c r="CZ76" s="115"/>
      <c r="DA76" s="115">
        <f>+MEDIAN(AI76,CW76)</f>
        <v>20010</v>
      </c>
      <c r="DB76" s="115">
        <f>+AVERAGE(AI76,CW76)</f>
        <v>20010</v>
      </c>
      <c r="DC76" s="115">
        <f>+STDEV(AI76,CW76)</f>
        <v>813.17279836452963</v>
      </c>
      <c r="DD76" s="116">
        <f t="shared" si="22"/>
        <v>4.0638320757847554E-2</v>
      </c>
      <c r="DE76" s="115">
        <v>16815.126050420167</v>
      </c>
      <c r="DF76" s="115">
        <f t="shared" ref="DF76:DF115" si="25">+DE76*19%</f>
        <v>3194.8739495798318</v>
      </c>
      <c r="DG76" s="175">
        <f t="shared" si="24"/>
        <v>20010</v>
      </c>
      <c r="DH76" s="175">
        <f t="shared" si="23"/>
        <v>1800900</v>
      </c>
      <c r="DI76" s="119" t="s">
        <v>228</v>
      </c>
    </row>
    <row r="77" spans="1:113" s="28" customFormat="1" ht="30" x14ac:dyDescent="0.25">
      <c r="A77" s="36">
        <v>69</v>
      </c>
      <c r="B77" s="112" t="s">
        <v>57</v>
      </c>
      <c r="C77" s="113" t="s">
        <v>133</v>
      </c>
      <c r="D77" s="114" t="s">
        <v>169</v>
      </c>
      <c r="E77" s="114">
        <v>14</v>
      </c>
      <c r="F77" s="115"/>
      <c r="G77" s="115"/>
      <c r="H77" s="115"/>
      <c r="I77" s="115">
        <v>29412</v>
      </c>
      <c r="J77" s="115">
        <f>+I77*0.19</f>
        <v>5588.28</v>
      </c>
      <c r="K77" s="115">
        <f>+I77+J77</f>
        <v>35000.28</v>
      </c>
      <c r="L77" s="115">
        <v>29814</v>
      </c>
      <c r="M77" s="115">
        <f>+L77*0.19</f>
        <v>5664.66</v>
      </c>
      <c r="N77" s="115">
        <f>+L77+M77</f>
        <v>35478.660000000003</v>
      </c>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8"/>
      <c r="AO77" s="118"/>
      <c r="AP77" s="118"/>
      <c r="AQ77" s="118"/>
      <c r="AR77" s="118"/>
      <c r="AS77" s="118"/>
      <c r="AT77" s="118"/>
      <c r="AU77" s="118"/>
      <c r="AV77" s="118"/>
      <c r="AW77" s="118"/>
      <c r="AX77" s="118"/>
      <c r="AY77" s="118"/>
      <c r="AZ77" s="118"/>
      <c r="BA77" s="118"/>
      <c r="BB77" s="118"/>
      <c r="BC77" s="118"/>
      <c r="BD77" s="118"/>
      <c r="BE77" s="118"/>
      <c r="BF77" s="118"/>
      <c r="BG77" s="118"/>
      <c r="BH77" s="118"/>
      <c r="BI77" s="118"/>
      <c r="BJ77" s="118"/>
      <c r="BK77" s="118"/>
      <c r="BL77" s="118"/>
      <c r="BM77" s="118"/>
      <c r="BN77" s="118"/>
      <c r="BO77" s="118"/>
      <c r="BP77" s="118"/>
      <c r="BQ77" s="118"/>
      <c r="BR77" s="118"/>
      <c r="BS77" s="118"/>
      <c r="BT77" s="118"/>
      <c r="BU77" s="118"/>
      <c r="BV77" s="118"/>
      <c r="BW77" s="118"/>
      <c r="BX77" s="115"/>
      <c r="BY77" s="115"/>
      <c r="BZ77" s="115"/>
      <c r="CA77" s="115"/>
      <c r="CB77" s="115"/>
      <c r="CC77" s="115"/>
      <c r="CD77" s="115"/>
      <c r="CE77" s="115"/>
      <c r="CF77" s="115"/>
      <c r="CG77" s="115"/>
      <c r="CH77" s="115"/>
      <c r="CI77" s="115"/>
      <c r="CJ77" s="115"/>
      <c r="CK77" s="115"/>
      <c r="CL77" s="115"/>
      <c r="CM77" s="115"/>
      <c r="CN77" s="115"/>
      <c r="CO77" s="115"/>
      <c r="CP77" s="115"/>
      <c r="CQ77" s="115"/>
      <c r="CR77" s="115"/>
      <c r="CS77" s="115"/>
      <c r="CT77" s="115"/>
      <c r="CU77" s="115"/>
      <c r="CV77" s="115"/>
      <c r="CW77" s="115"/>
      <c r="CX77" s="115"/>
      <c r="CY77" s="115"/>
      <c r="CZ77" s="115"/>
      <c r="DA77" s="115">
        <f>+MEDIAN(K77,N77)</f>
        <v>35239.47</v>
      </c>
      <c r="DB77" s="115">
        <f>+AVERAGE(K77,N77)</f>
        <v>35239.47</v>
      </c>
      <c r="DC77" s="115">
        <f>+STDEV(K77,N77)</f>
        <v>338.26574198402386</v>
      </c>
      <c r="DD77" s="116">
        <f t="shared" si="22"/>
        <v>9.5990587254582392E-3</v>
      </c>
      <c r="DE77" s="115">
        <v>29613.44537815126</v>
      </c>
      <c r="DF77" s="115">
        <f t="shared" si="25"/>
        <v>5626.5546218487398</v>
      </c>
      <c r="DG77" s="175">
        <f t="shared" si="24"/>
        <v>35240</v>
      </c>
      <c r="DH77" s="175">
        <f t="shared" si="23"/>
        <v>493360</v>
      </c>
      <c r="DI77" s="119" t="s">
        <v>228</v>
      </c>
    </row>
    <row r="78" spans="1:113" s="28" customFormat="1" ht="45" x14ac:dyDescent="0.25">
      <c r="A78" s="36">
        <v>70</v>
      </c>
      <c r="B78" s="112" t="s">
        <v>58</v>
      </c>
      <c r="C78" s="113" t="s">
        <v>190</v>
      </c>
      <c r="D78" s="114" t="s">
        <v>168</v>
      </c>
      <c r="E78" s="114">
        <v>8</v>
      </c>
      <c r="F78" s="115">
        <v>10504</v>
      </c>
      <c r="G78" s="115">
        <f>+F78*19%</f>
        <v>1995.76</v>
      </c>
      <c r="H78" s="115">
        <f>+F78+G78</f>
        <v>12499.76</v>
      </c>
      <c r="I78" s="115"/>
      <c r="J78" s="115"/>
      <c r="K78" s="115"/>
      <c r="L78" s="115"/>
      <c r="M78" s="115"/>
      <c r="N78" s="115"/>
      <c r="O78" s="118"/>
      <c r="P78" s="118"/>
      <c r="Q78" s="118"/>
      <c r="R78" s="115">
        <v>11204.481792717088</v>
      </c>
      <c r="S78" s="115">
        <f>+R78*19%</f>
        <v>2128.8515406162469</v>
      </c>
      <c r="T78" s="115">
        <f>+R78+S78</f>
        <v>13333.333333333336</v>
      </c>
      <c r="U78" s="118"/>
      <c r="V78" s="118"/>
      <c r="W78" s="118"/>
      <c r="X78" s="118"/>
      <c r="Y78" s="118"/>
      <c r="Z78" s="118"/>
      <c r="AA78" s="118"/>
      <c r="AB78" s="118"/>
      <c r="AC78" s="118"/>
      <c r="AD78" s="118"/>
      <c r="AE78" s="118"/>
      <c r="AF78" s="118"/>
      <c r="AG78" s="118"/>
      <c r="AH78" s="118"/>
      <c r="AI78" s="118"/>
      <c r="AJ78" s="118"/>
      <c r="AK78" s="118"/>
      <c r="AL78" s="118"/>
      <c r="AM78" s="118"/>
      <c r="AN78" s="118"/>
      <c r="AO78" s="118"/>
      <c r="AP78" s="118"/>
      <c r="AQ78" s="118"/>
      <c r="AR78" s="118"/>
      <c r="AS78" s="118"/>
      <c r="AT78" s="118"/>
      <c r="AU78" s="118"/>
      <c r="AV78" s="118"/>
      <c r="AW78" s="118"/>
      <c r="AX78" s="118"/>
      <c r="AY78" s="118"/>
      <c r="AZ78" s="118"/>
      <c r="BA78" s="118"/>
      <c r="BB78" s="118"/>
      <c r="BC78" s="118"/>
      <c r="BD78" s="118"/>
      <c r="BE78" s="118"/>
      <c r="BF78" s="118"/>
      <c r="BG78" s="118"/>
      <c r="BH78" s="118"/>
      <c r="BI78" s="118"/>
      <c r="BJ78" s="118"/>
      <c r="BK78" s="118"/>
      <c r="BL78" s="118"/>
      <c r="BM78" s="118"/>
      <c r="BN78" s="118"/>
      <c r="BO78" s="118"/>
      <c r="BP78" s="118"/>
      <c r="BQ78" s="118"/>
      <c r="BR78" s="118"/>
      <c r="BS78" s="118"/>
      <c r="BT78" s="118"/>
      <c r="BU78" s="118"/>
      <c r="BV78" s="118"/>
      <c r="BW78" s="118"/>
      <c r="BX78" s="115"/>
      <c r="BY78" s="115"/>
      <c r="BZ78" s="115"/>
      <c r="CA78" s="115"/>
      <c r="CB78" s="115"/>
      <c r="CC78" s="115"/>
      <c r="CD78" s="115"/>
      <c r="CE78" s="115"/>
      <c r="CF78" s="115"/>
      <c r="CG78" s="115"/>
      <c r="CH78" s="115"/>
      <c r="CI78" s="115"/>
      <c r="CJ78" s="115"/>
      <c r="CK78" s="115"/>
      <c r="CL78" s="115"/>
      <c r="CM78" s="115"/>
      <c r="CN78" s="115"/>
      <c r="CO78" s="115"/>
      <c r="CP78" s="115"/>
      <c r="CQ78" s="115"/>
      <c r="CR78" s="115"/>
      <c r="CS78" s="115"/>
      <c r="CT78" s="115"/>
      <c r="CU78" s="115"/>
      <c r="CV78" s="115"/>
      <c r="CW78" s="115"/>
      <c r="CX78" s="115"/>
      <c r="CY78" s="115"/>
      <c r="CZ78" s="115"/>
      <c r="DA78" s="115">
        <f>+MEDIAN(H78,T78)</f>
        <v>12916.546666666669</v>
      </c>
      <c r="DB78" s="115">
        <f>+AVERAGE(H78,T78)</f>
        <v>12916.546666666669</v>
      </c>
      <c r="DC78" s="115">
        <f>+STDEV(H78,T78)</f>
        <v>589.42535661627596</v>
      </c>
      <c r="DD78" s="116">
        <f t="shared" si="22"/>
        <v>4.5633354783394829E-2</v>
      </c>
      <c r="DE78" s="115">
        <v>10854.621848739496</v>
      </c>
      <c r="DF78" s="115">
        <f t="shared" si="25"/>
        <v>2062.3781512605042</v>
      </c>
      <c r="DG78" s="175">
        <f t="shared" si="24"/>
        <v>12917</v>
      </c>
      <c r="DH78" s="175">
        <f t="shared" si="23"/>
        <v>103336</v>
      </c>
      <c r="DI78" s="119" t="s">
        <v>228</v>
      </c>
    </row>
    <row r="79" spans="1:113" s="28" customFormat="1" ht="30" x14ac:dyDescent="0.25">
      <c r="A79" s="36">
        <v>71</v>
      </c>
      <c r="B79" s="112" t="s">
        <v>55</v>
      </c>
      <c r="C79" s="113" t="s">
        <v>134</v>
      </c>
      <c r="D79" s="114" t="s">
        <v>168</v>
      </c>
      <c r="E79" s="114">
        <v>10</v>
      </c>
      <c r="F79" s="115"/>
      <c r="G79" s="115"/>
      <c r="H79" s="115"/>
      <c r="I79" s="115"/>
      <c r="J79" s="115"/>
      <c r="K79" s="115"/>
      <c r="L79" s="115"/>
      <c r="M79" s="115"/>
      <c r="N79" s="115"/>
      <c r="O79" s="118"/>
      <c r="P79" s="118"/>
      <c r="Q79" s="118"/>
      <c r="R79" s="115"/>
      <c r="S79" s="115"/>
      <c r="T79" s="115"/>
      <c r="U79" s="118">
        <v>5378.1512605042017</v>
      </c>
      <c r="V79" s="118">
        <f>+U79*0.19</f>
        <v>1021.8487394957983</v>
      </c>
      <c r="W79" s="118">
        <f>+U79+V79</f>
        <v>6400</v>
      </c>
      <c r="X79" s="118"/>
      <c r="Y79" s="118">
        <v>4873.9495798319331</v>
      </c>
      <c r="Z79" s="118">
        <f>+Y79*0.19</f>
        <v>926.05042016806726</v>
      </c>
      <c r="AA79" s="118">
        <f>+Y79+Z79</f>
        <v>5800</v>
      </c>
      <c r="AB79" s="118"/>
      <c r="AC79" s="118"/>
      <c r="AD79" s="118"/>
      <c r="AE79" s="118"/>
      <c r="AF79" s="118"/>
      <c r="AG79" s="118"/>
      <c r="AH79" s="118"/>
      <c r="AI79" s="118"/>
      <c r="AJ79" s="115"/>
      <c r="AK79" s="115"/>
      <c r="AL79" s="115"/>
      <c r="AM79" s="115"/>
      <c r="AN79" s="115"/>
      <c r="AO79" s="115"/>
      <c r="AP79" s="115"/>
      <c r="AQ79" s="118"/>
      <c r="AR79" s="118"/>
      <c r="AS79" s="118"/>
      <c r="AT79" s="118"/>
      <c r="AU79" s="118"/>
      <c r="AV79" s="118"/>
      <c r="AW79" s="118"/>
      <c r="AX79" s="118"/>
      <c r="AY79" s="118"/>
      <c r="AZ79" s="118"/>
      <c r="BA79" s="118"/>
      <c r="BB79" s="118"/>
      <c r="BC79" s="118"/>
      <c r="BD79" s="118"/>
      <c r="BE79" s="118"/>
      <c r="BF79" s="118"/>
      <c r="BG79" s="118"/>
      <c r="BH79" s="118"/>
      <c r="BI79" s="118"/>
      <c r="BJ79" s="118"/>
      <c r="BK79" s="118"/>
      <c r="BL79" s="118"/>
      <c r="BM79" s="118"/>
      <c r="BN79" s="118"/>
      <c r="BO79" s="118"/>
      <c r="BP79" s="118"/>
      <c r="BQ79" s="118"/>
      <c r="BR79" s="118"/>
      <c r="BS79" s="118"/>
      <c r="BT79" s="118"/>
      <c r="BU79" s="118"/>
      <c r="BV79" s="118"/>
      <c r="BW79" s="118"/>
      <c r="BX79" s="115"/>
      <c r="BY79" s="115"/>
      <c r="BZ79" s="115"/>
      <c r="CA79" s="115"/>
      <c r="CB79" s="115"/>
      <c r="CC79" s="115"/>
      <c r="CD79" s="115"/>
      <c r="CE79" s="115"/>
      <c r="CF79" s="115"/>
      <c r="CG79" s="115"/>
      <c r="CH79" s="115"/>
      <c r="CI79" s="115"/>
      <c r="CJ79" s="115"/>
      <c r="CK79" s="115"/>
      <c r="CL79" s="115"/>
      <c r="CM79" s="115"/>
      <c r="CN79" s="115"/>
      <c r="CO79" s="115"/>
      <c r="CP79" s="115"/>
      <c r="CQ79" s="115"/>
      <c r="CR79" s="115"/>
      <c r="CS79" s="115"/>
      <c r="CT79" s="115"/>
      <c r="CU79" s="115"/>
      <c r="CV79" s="115"/>
      <c r="CW79" s="115"/>
      <c r="CX79" s="115"/>
      <c r="CY79" s="115"/>
      <c r="CZ79" s="115"/>
      <c r="DA79" s="115">
        <f>+MEDIAN(W79,AA79)</f>
        <v>6100</v>
      </c>
      <c r="DB79" s="115">
        <f>+AVERAGE(W79,AA79)</f>
        <v>6100</v>
      </c>
      <c r="DC79" s="115">
        <f>+STDEV(W79,AA79)</f>
        <v>424.26406871192853</v>
      </c>
      <c r="DD79" s="116">
        <f t="shared" si="22"/>
        <v>6.9551486674086643E-2</v>
      </c>
      <c r="DE79" s="115">
        <v>5126.0504201680678</v>
      </c>
      <c r="DF79" s="115">
        <f t="shared" si="25"/>
        <v>973.94957983193285</v>
      </c>
      <c r="DG79" s="175">
        <f t="shared" si="24"/>
        <v>6100</v>
      </c>
      <c r="DH79" s="175">
        <f t="shared" si="23"/>
        <v>61000</v>
      </c>
      <c r="DI79" s="119" t="s">
        <v>228</v>
      </c>
    </row>
    <row r="80" spans="1:113" s="28" customFormat="1" ht="30" x14ac:dyDescent="0.25">
      <c r="A80" s="36">
        <v>72</v>
      </c>
      <c r="B80" s="112" t="s">
        <v>55</v>
      </c>
      <c r="C80" s="113" t="s">
        <v>135</v>
      </c>
      <c r="D80" s="114" t="s">
        <v>169</v>
      </c>
      <c r="E80" s="114">
        <v>360</v>
      </c>
      <c r="F80" s="115">
        <v>40336</v>
      </c>
      <c r="G80" s="115">
        <f>+F80*19%</f>
        <v>7663.84</v>
      </c>
      <c r="H80" s="115">
        <f>+F80+G80</f>
        <v>47999.839999999997</v>
      </c>
      <c r="I80" s="115">
        <v>29285.714285714286</v>
      </c>
      <c r="J80" s="115">
        <f>+I80*0.19</f>
        <v>5564.2857142857147</v>
      </c>
      <c r="K80" s="115">
        <f>+I80+J80</f>
        <v>34850</v>
      </c>
      <c r="L80" s="115">
        <v>43373</v>
      </c>
      <c r="M80" s="115">
        <f>+L80*0.19</f>
        <v>8240.8700000000008</v>
      </c>
      <c r="N80" s="115">
        <f>+L80+M80</f>
        <v>51613.87</v>
      </c>
      <c r="O80" s="118"/>
      <c r="P80" s="118"/>
      <c r="Q80" s="118"/>
      <c r="R80" s="118"/>
      <c r="S80" s="118"/>
      <c r="T80" s="118"/>
      <c r="U80" s="118"/>
      <c r="V80" s="118"/>
      <c r="W80" s="118"/>
      <c r="X80" s="118"/>
      <c r="Y80" s="118"/>
      <c r="Z80" s="118"/>
      <c r="AA80" s="118"/>
      <c r="AB80" s="118"/>
      <c r="AC80" s="118"/>
      <c r="AD80" s="118"/>
      <c r="AE80" s="118"/>
      <c r="AF80" s="118"/>
      <c r="AG80" s="118"/>
      <c r="AH80" s="118"/>
      <c r="AI80" s="118"/>
      <c r="AJ80" s="118"/>
      <c r="AK80" s="118"/>
      <c r="AL80" s="118"/>
      <c r="AM80" s="118"/>
      <c r="AN80" s="118"/>
      <c r="AO80" s="118"/>
      <c r="AP80" s="118"/>
      <c r="AQ80" s="118"/>
      <c r="AR80" s="118"/>
      <c r="AS80" s="118"/>
      <c r="AT80" s="118"/>
      <c r="AU80" s="118"/>
      <c r="AV80" s="118"/>
      <c r="AW80" s="118"/>
      <c r="AX80" s="118"/>
      <c r="AY80" s="118"/>
      <c r="AZ80" s="118"/>
      <c r="BA80" s="118"/>
      <c r="BB80" s="118"/>
      <c r="BC80" s="118"/>
      <c r="BD80" s="118"/>
      <c r="BE80" s="118"/>
      <c r="BF80" s="118"/>
      <c r="BG80" s="118"/>
      <c r="BH80" s="118"/>
      <c r="BI80" s="118"/>
      <c r="BJ80" s="118"/>
      <c r="BK80" s="118"/>
      <c r="BL80" s="118"/>
      <c r="BM80" s="118"/>
      <c r="BN80" s="118"/>
      <c r="BO80" s="118"/>
      <c r="BP80" s="118"/>
      <c r="BQ80" s="118"/>
      <c r="BR80" s="118"/>
      <c r="BS80" s="118"/>
      <c r="BT80" s="118"/>
      <c r="BU80" s="118"/>
      <c r="BV80" s="118"/>
      <c r="BW80" s="118"/>
      <c r="BX80" s="115"/>
      <c r="BY80" s="115"/>
      <c r="BZ80" s="115"/>
      <c r="CA80" s="115"/>
      <c r="CB80" s="115"/>
      <c r="CC80" s="115"/>
      <c r="CD80" s="115"/>
      <c r="CE80" s="115"/>
      <c r="CF80" s="115"/>
      <c r="CG80" s="115"/>
      <c r="CH80" s="115"/>
      <c r="CI80" s="115"/>
      <c r="CJ80" s="115"/>
      <c r="CK80" s="115"/>
      <c r="CL80" s="115"/>
      <c r="CM80" s="115"/>
      <c r="CN80" s="115"/>
      <c r="CO80" s="115"/>
      <c r="CP80" s="115"/>
      <c r="CQ80" s="115"/>
      <c r="CR80" s="115"/>
      <c r="CS80" s="115"/>
      <c r="CT80" s="115"/>
      <c r="CU80" s="115"/>
      <c r="CV80" s="115"/>
      <c r="CW80" s="115"/>
      <c r="CX80" s="115"/>
      <c r="CY80" s="115"/>
      <c r="CZ80" s="115"/>
      <c r="DA80" s="115">
        <f>+MEDIAN(H80,K80,N80)</f>
        <v>47999.839999999997</v>
      </c>
      <c r="DB80" s="115">
        <f>+AVERAGE(H80,K80,N80)</f>
        <v>44821.236666666664</v>
      </c>
      <c r="DC80" s="115">
        <f>+STDEV(H80,K80,N80)</f>
        <v>8822.3848083856501</v>
      </c>
      <c r="DD80" s="116">
        <f t="shared" si="22"/>
        <v>0.19683492613105016</v>
      </c>
      <c r="DE80" s="115">
        <v>40336.134453781517</v>
      </c>
      <c r="DF80" s="115">
        <f t="shared" si="25"/>
        <v>7663.8655462184879</v>
      </c>
      <c r="DG80" s="175">
        <f t="shared" si="24"/>
        <v>48000</v>
      </c>
      <c r="DH80" s="175">
        <f t="shared" si="23"/>
        <v>17280000</v>
      </c>
      <c r="DI80" s="119" t="s">
        <v>227</v>
      </c>
    </row>
    <row r="81" spans="1:113" s="28" customFormat="1" ht="186.75" customHeight="1" x14ac:dyDescent="0.25">
      <c r="A81" s="36">
        <v>73</v>
      </c>
      <c r="B81" s="112" t="s">
        <v>59</v>
      </c>
      <c r="C81" s="113" t="s">
        <v>189</v>
      </c>
      <c r="D81" s="114" t="s">
        <v>167</v>
      </c>
      <c r="E81" s="114">
        <v>50</v>
      </c>
      <c r="F81" s="115"/>
      <c r="G81" s="115"/>
      <c r="H81" s="115"/>
      <c r="I81" s="115"/>
      <c r="J81" s="115"/>
      <c r="K81" s="115"/>
      <c r="L81" s="115"/>
      <c r="M81" s="115"/>
      <c r="N81" s="115"/>
      <c r="O81" s="118"/>
      <c r="P81" s="118"/>
      <c r="Q81" s="118"/>
      <c r="R81" s="115">
        <v>20588.235294117647</v>
      </c>
      <c r="S81" s="115">
        <f>+R81*19%</f>
        <v>3911.7647058823532</v>
      </c>
      <c r="T81" s="115">
        <f>+R81+S81</f>
        <v>24500</v>
      </c>
      <c r="U81" s="118"/>
      <c r="V81" s="118"/>
      <c r="W81" s="118"/>
      <c r="X81" s="118"/>
      <c r="Y81" s="118"/>
      <c r="Z81" s="118"/>
      <c r="AA81" s="118"/>
      <c r="AB81" s="115"/>
      <c r="AC81" s="115"/>
      <c r="AD81" s="115"/>
      <c r="AE81" s="115">
        <f>18823.5294117647</f>
        <v>18823.529411764699</v>
      </c>
      <c r="AF81" s="115">
        <f>+AE81*19%</f>
        <v>3576.4705882352928</v>
      </c>
      <c r="AG81" s="115">
        <f>+AE81+AF81</f>
        <v>22399.999999999993</v>
      </c>
      <c r="AH81" s="115">
        <f>+AG81*15%</f>
        <v>3359.9999999999986</v>
      </c>
      <c r="AI81" s="115">
        <f>+AG81+AH81</f>
        <v>25759.999999999993</v>
      </c>
      <c r="AJ81" s="115"/>
      <c r="AK81" s="115"/>
      <c r="AL81" s="115"/>
      <c r="AM81" s="115"/>
      <c r="AN81" s="115"/>
      <c r="AO81" s="115"/>
      <c r="AP81" s="115"/>
      <c r="AQ81" s="118"/>
      <c r="AR81" s="118"/>
      <c r="AS81" s="118"/>
      <c r="AT81" s="118"/>
      <c r="AU81" s="118"/>
      <c r="AV81" s="118"/>
      <c r="AW81" s="118"/>
      <c r="AX81" s="118"/>
      <c r="AY81" s="118"/>
      <c r="AZ81" s="118"/>
      <c r="BA81" s="118"/>
      <c r="BB81" s="118"/>
      <c r="BC81" s="118"/>
      <c r="BD81" s="118"/>
      <c r="BE81" s="118"/>
      <c r="BF81" s="118"/>
      <c r="BG81" s="118"/>
      <c r="BH81" s="118"/>
      <c r="BI81" s="118"/>
      <c r="BJ81" s="118"/>
      <c r="BK81" s="118"/>
      <c r="BL81" s="118"/>
      <c r="BM81" s="118"/>
      <c r="BN81" s="118"/>
      <c r="BO81" s="118"/>
      <c r="BP81" s="118"/>
      <c r="BQ81" s="118"/>
      <c r="BR81" s="118"/>
      <c r="BS81" s="118"/>
      <c r="BT81" s="118"/>
      <c r="BU81" s="118"/>
      <c r="BV81" s="118"/>
      <c r="BW81" s="118"/>
      <c r="BX81" s="115"/>
      <c r="BY81" s="115"/>
      <c r="BZ81" s="115"/>
      <c r="CA81" s="115"/>
      <c r="CB81" s="115"/>
      <c r="CC81" s="115"/>
      <c r="CD81" s="115"/>
      <c r="CE81" s="115"/>
      <c r="CF81" s="115"/>
      <c r="CG81" s="115"/>
      <c r="CH81" s="115"/>
      <c r="CI81" s="115"/>
      <c r="CJ81" s="115"/>
      <c r="CK81" s="115"/>
      <c r="CL81" s="115"/>
      <c r="CM81" s="115"/>
      <c r="CN81" s="115"/>
      <c r="CO81" s="115"/>
      <c r="CP81" s="115"/>
      <c r="CQ81" s="115"/>
      <c r="CR81" s="115"/>
      <c r="CS81" s="115"/>
      <c r="CT81" s="115"/>
      <c r="CU81" s="115"/>
      <c r="CV81" s="115"/>
      <c r="CW81" s="115"/>
      <c r="CX81" s="115"/>
      <c r="CY81" s="115"/>
      <c r="CZ81" s="115"/>
      <c r="DA81" s="115">
        <f>+MEDIAN(T81,AI81)</f>
        <v>25129.999999999996</v>
      </c>
      <c r="DB81" s="115">
        <f>+AVERAGE(T81,AI81)</f>
        <v>25129.999999999996</v>
      </c>
      <c r="DC81" s="115">
        <f>+STDEV(T81,AI81)</f>
        <v>890.95454429504468</v>
      </c>
      <c r="DD81" s="116">
        <f t="shared" si="22"/>
        <v>3.5453821897932544E-2</v>
      </c>
      <c r="DE81" s="115">
        <v>21117.647058823532</v>
      </c>
      <c r="DF81" s="115">
        <f t="shared" si="25"/>
        <v>4012.3529411764712</v>
      </c>
      <c r="DG81" s="175">
        <f>+ROUNDUP(IF(DD81&lt;15%,DB81,DA81),0)</f>
        <v>25130</v>
      </c>
      <c r="DH81" s="175">
        <f t="shared" si="23"/>
        <v>1256500</v>
      </c>
      <c r="DI81" s="117" t="s">
        <v>228</v>
      </c>
    </row>
    <row r="82" spans="1:113" s="28" customFormat="1" ht="30" x14ac:dyDescent="0.25">
      <c r="A82" s="36">
        <v>74</v>
      </c>
      <c r="B82" s="112" t="s">
        <v>60</v>
      </c>
      <c r="C82" s="113" t="s">
        <v>136</v>
      </c>
      <c r="D82" s="114" t="s">
        <v>167</v>
      </c>
      <c r="E82" s="114">
        <v>300</v>
      </c>
      <c r="F82" s="115"/>
      <c r="G82" s="115"/>
      <c r="H82" s="115"/>
      <c r="I82" s="115"/>
      <c r="J82" s="115"/>
      <c r="K82" s="115"/>
      <c r="L82" s="115"/>
      <c r="M82" s="115"/>
      <c r="N82" s="115"/>
      <c r="O82" s="118"/>
      <c r="P82" s="118"/>
      <c r="Q82" s="118"/>
      <c r="R82" s="115"/>
      <c r="S82" s="115"/>
      <c r="T82" s="115"/>
      <c r="U82" s="118">
        <v>124.36974789915966</v>
      </c>
      <c r="V82" s="118">
        <f>+U82*0.19</f>
        <v>23.630252100840337</v>
      </c>
      <c r="W82" s="118">
        <f>+U82+V82</f>
        <v>148</v>
      </c>
      <c r="X82" s="118"/>
      <c r="Y82" s="118">
        <v>151.26050420168067</v>
      </c>
      <c r="Z82" s="118">
        <f>+Y82*0.19</f>
        <v>28.739495798319329</v>
      </c>
      <c r="AA82" s="118">
        <f>+Y82+Z82</f>
        <v>180</v>
      </c>
      <c r="AB82" s="118"/>
      <c r="AC82" s="118"/>
      <c r="AD82" s="118"/>
      <c r="AE82" s="118"/>
      <c r="AF82" s="118"/>
      <c r="AG82" s="118"/>
      <c r="AH82" s="118"/>
      <c r="AI82" s="118"/>
      <c r="AJ82" s="118"/>
      <c r="AK82" s="118"/>
      <c r="AL82" s="118"/>
      <c r="AM82" s="118"/>
      <c r="AN82" s="118"/>
      <c r="AO82" s="118"/>
      <c r="AP82" s="118"/>
      <c r="AQ82" s="118"/>
      <c r="AR82" s="118"/>
      <c r="AS82" s="118"/>
      <c r="AT82" s="118"/>
      <c r="AU82" s="118"/>
      <c r="AV82" s="118"/>
      <c r="AW82" s="118"/>
      <c r="AX82" s="118"/>
      <c r="AY82" s="118"/>
      <c r="AZ82" s="118"/>
      <c r="BA82" s="118"/>
      <c r="BB82" s="118"/>
      <c r="BC82" s="118"/>
      <c r="BD82" s="118"/>
      <c r="BE82" s="118"/>
      <c r="BF82" s="118"/>
      <c r="BG82" s="118"/>
      <c r="BH82" s="118"/>
      <c r="BI82" s="118"/>
      <c r="BJ82" s="118"/>
      <c r="BK82" s="118"/>
      <c r="BL82" s="118"/>
      <c r="BM82" s="118"/>
      <c r="BN82" s="118"/>
      <c r="BO82" s="118"/>
      <c r="BP82" s="118"/>
      <c r="BQ82" s="118"/>
      <c r="BR82" s="118"/>
      <c r="BS82" s="118"/>
      <c r="BT82" s="118"/>
      <c r="BU82" s="118"/>
      <c r="BV82" s="118"/>
      <c r="BW82" s="118"/>
      <c r="BX82" s="115"/>
      <c r="BY82" s="115"/>
      <c r="BZ82" s="115"/>
      <c r="CA82" s="115"/>
      <c r="CB82" s="115"/>
      <c r="CC82" s="115"/>
      <c r="CD82" s="115"/>
      <c r="CE82" s="115"/>
      <c r="CF82" s="115"/>
      <c r="CG82" s="115"/>
      <c r="CH82" s="115"/>
      <c r="CI82" s="115"/>
      <c r="CJ82" s="115"/>
      <c r="CK82" s="115"/>
      <c r="CL82" s="115"/>
      <c r="CM82" s="115"/>
      <c r="CN82" s="115"/>
      <c r="CO82" s="115"/>
      <c r="CP82" s="115"/>
      <c r="CQ82" s="115"/>
      <c r="CR82" s="115"/>
      <c r="CS82" s="115"/>
      <c r="CT82" s="115"/>
      <c r="CU82" s="115"/>
      <c r="CV82" s="115"/>
      <c r="CW82" s="115"/>
      <c r="CX82" s="115"/>
      <c r="CY82" s="115"/>
      <c r="CZ82" s="115"/>
      <c r="DA82" s="115">
        <f>+MEDIAN(W82,AA82)</f>
        <v>164</v>
      </c>
      <c r="DB82" s="115">
        <f>+AVERAGE(W82,AA82)</f>
        <v>164</v>
      </c>
      <c r="DC82" s="115">
        <f>+STDEV(W82,AA82)</f>
        <v>22.627416997969522</v>
      </c>
      <c r="DD82" s="116">
        <f t="shared" si="22"/>
        <v>0.13797205486566783</v>
      </c>
      <c r="DE82" s="115">
        <v>137.81512605042016</v>
      </c>
      <c r="DF82" s="115">
        <f t="shared" si="25"/>
        <v>26.184873949579831</v>
      </c>
      <c r="DG82" s="175">
        <f t="shared" ref="DG82:DG115" si="26">+ROUNDUP(IF(DD82&lt;15%,DB82,DA82),0)</f>
        <v>164</v>
      </c>
      <c r="DH82" s="175">
        <f t="shared" si="23"/>
        <v>49200</v>
      </c>
      <c r="DI82" s="117" t="s">
        <v>228</v>
      </c>
    </row>
    <row r="83" spans="1:113" s="28" customFormat="1" ht="55.5" customHeight="1" x14ac:dyDescent="0.25">
      <c r="A83" s="36">
        <v>75</v>
      </c>
      <c r="B83" s="112" t="s">
        <v>61</v>
      </c>
      <c r="C83" s="113" t="s">
        <v>137</v>
      </c>
      <c r="D83" s="114" t="s">
        <v>168</v>
      </c>
      <c r="E83" s="114">
        <v>15</v>
      </c>
      <c r="F83" s="115"/>
      <c r="G83" s="115"/>
      <c r="H83" s="115"/>
      <c r="I83" s="115"/>
      <c r="J83" s="115"/>
      <c r="K83" s="115"/>
      <c r="L83" s="115"/>
      <c r="M83" s="115"/>
      <c r="N83" s="115"/>
      <c r="O83" s="118"/>
      <c r="P83" s="118"/>
      <c r="Q83" s="118"/>
      <c r="R83" s="115">
        <v>21008.403361344539</v>
      </c>
      <c r="S83" s="115">
        <f>+R83*19%</f>
        <v>3991.5966386554624</v>
      </c>
      <c r="T83" s="115">
        <f>+R83+S83</f>
        <v>25000</v>
      </c>
      <c r="U83" s="118"/>
      <c r="V83" s="118"/>
      <c r="W83" s="11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18"/>
      <c r="AW83" s="118"/>
      <c r="AX83" s="118"/>
      <c r="AY83" s="118"/>
      <c r="AZ83" s="118"/>
      <c r="BA83" s="118"/>
      <c r="BB83" s="118"/>
      <c r="BC83" s="118"/>
      <c r="BD83" s="118">
        <v>21428.571428571431</v>
      </c>
      <c r="BE83" s="118">
        <f>+BD83*0.19</f>
        <v>4071.428571428572</v>
      </c>
      <c r="BF83" s="118">
        <f>+BD83+BE83</f>
        <v>25500.000000000004</v>
      </c>
      <c r="BG83" s="118">
        <f>+BF83*15%</f>
        <v>3825.0000000000005</v>
      </c>
      <c r="BH83" s="118">
        <f>+BF83+BG83</f>
        <v>29325.000000000004</v>
      </c>
      <c r="BI83" s="118"/>
      <c r="BJ83" s="118"/>
      <c r="BK83" s="118"/>
      <c r="BL83" s="118"/>
      <c r="BM83" s="118"/>
      <c r="BN83" s="118"/>
      <c r="BO83" s="118"/>
      <c r="BP83" s="118"/>
      <c r="BQ83" s="118"/>
      <c r="BR83" s="118"/>
      <c r="BS83" s="118"/>
      <c r="BT83" s="118"/>
      <c r="BU83" s="118"/>
      <c r="BV83" s="118"/>
      <c r="BW83" s="118"/>
      <c r="BX83" s="115"/>
      <c r="BY83" s="115"/>
      <c r="BZ83" s="115"/>
      <c r="CA83" s="115"/>
      <c r="CB83" s="115"/>
      <c r="CC83" s="115"/>
      <c r="CD83" s="115"/>
      <c r="CE83" s="115"/>
      <c r="CF83" s="115"/>
      <c r="CG83" s="115"/>
      <c r="CH83" s="115"/>
      <c r="CI83" s="115"/>
      <c r="CJ83" s="115"/>
      <c r="CK83" s="115"/>
      <c r="CL83" s="115"/>
      <c r="CM83" s="115"/>
      <c r="CN83" s="115"/>
      <c r="CO83" s="115"/>
      <c r="CP83" s="115"/>
      <c r="CQ83" s="115"/>
      <c r="CR83" s="115"/>
      <c r="CS83" s="115"/>
      <c r="CT83" s="115"/>
      <c r="CU83" s="115"/>
      <c r="CV83" s="115"/>
      <c r="CW83" s="115"/>
      <c r="CX83" s="115"/>
      <c r="CY83" s="115"/>
      <c r="CZ83" s="115"/>
      <c r="DA83" s="115">
        <f>+MEDIAN(T83,BH83)</f>
        <v>27162.5</v>
      </c>
      <c r="DB83" s="115">
        <f>+AVERAGE(T83,BH83)</f>
        <v>27162.5</v>
      </c>
      <c r="DC83" s="115">
        <f>+STDEV(T83,BH83)</f>
        <v>3058.2368286318206</v>
      </c>
      <c r="DD83" s="116">
        <f t="shared" si="22"/>
        <v>0.11259040326302147</v>
      </c>
      <c r="DE83" s="115">
        <v>22826.050420168067</v>
      </c>
      <c r="DF83" s="115">
        <f t="shared" si="25"/>
        <v>4336.9495798319331</v>
      </c>
      <c r="DG83" s="175">
        <f t="shared" si="26"/>
        <v>27163</v>
      </c>
      <c r="DH83" s="175">
        <f t="shared" si="23"/>
        <v>407445</v>
      </c>
      <c r="DI83" s="117" t="s">
        <v>228</v>
      </c>
    </row>
    <row r="84" spans="1:113" s="28" customFormat="1" ht="48.75" customHeight="1" x14ac:dyDescent="0.25">
      <c r="A84" s="36">
        <v>76</v>
      </c>
      <c r="B84" s="112" t="s">
        <v>226</v>
      </c>
      <c r="C84" s="113" t="s">
        <v>202</v>
      </c>
      <c r="D84" s="114" t="s">
        <v>167</v>
      </c>
      <c r="E84" s="114">
        <v>15</v>
      </c>
      <c r="F84" s="115"/>
      <c r="G84" s="115"/>
      <c r="H84" s="115"/>
      <c r="I84" s="115"/>
      <c r="J84" s="115"/>
      <c r="K84" s="115"/>
      <c r="L84" s="115"/>
      <c r="M84" s="115"/>
      <c r="N84" s="115"/>
      <c r="O84" s="118"/>
      <c r="P84" s="118"/>
      <c r="Q84" s="118"/>
      <c r="R84" s="115"/>
      <c r="S84" s="115"/>
      <c r="T84" s="115"/>
      <c r="U84" s="118">
        <v>159663.8655462185</v>
      </c>
      <c r="V84" s="118">
        <f>+U84*0.19</f>
        <v>30336.134453781517</v>
      </c>
      <c r="W84" s="118">
        <f>+U84+V84</f>
        <v>190000</v>
      </c>
      <c r="X84" s="118"/>
      <c r="Y84" s="118">
        <v>196008.40336134454</v>
      </c>
      <c r="Z84" s="118">
        <f>+Y84*0.19</f>
        <v>37241.596638655465</v>
      </c>
      <c r="AA84" s="118">
        <f>+Y84+Z84</f>
        <v>233250</v>
      </c>
      <c r="AB84" s="118"/>
      <c r="AC84" s="118"/>
      <c r="AD84" s="118"/>
      <c r="AE84" s="118"/>
      <c r="AF84" s="118"/>
      <c r="AG84" s="118"/>
      <c r="AH84" s="118"/>
      <c r="AI84" s="118"/>
      <c r="AJ84" s="115"/>
      <c r="AK84" s="115"/>
      <c r="AL84" s="115"/>
      <c r="AM84" s="115"/>
      <c r="AN84" s="115"/>
      <c r="AO84" s="115">
        <v>218487.3949579832</v>
      </c>
      <c r="AP84" s="115">
        <f>+AO84*0.19</f>
        <v>41512.60504201681</v>
      </c>
      <c r="AQ84" s="115">
        <f>+AO84+AP84</f>
        <v>260000</v>
      </c>
      <c r="AR84" s="115">
        <f>+AQ84*15%</f>
        <v>39000</v>
      </c>
      <c r="AS84" s="115">
        <f>+AQ84+AR84</f>
        <v>299000</v>
      </c>
      <c r="AT84" s="115"/>
      <c r="AU84" s="115"/>
      <c r="AV84" s="115"/>
      <c r="AW84" s="115"/>
      <c r="AX84" s="115"/>
      <c r="AY84" s="115"/>
      <c r="AZ84" s="115"/>
      <c r="BA84" s="115"/>
      <c r="BB84" s="115"/>
      <c r="BC84" s="115"/>
      <c r="BD84" s="118"/>
      <c r="BE84" s="118"/>
      <c r="BF84" s="118"/>
      <c r="BG84" s="118"/>
      <c r="BH84" s="118"/>
      <c r="BI84" s="118"/>
      <c r="BJ84" s="118"/>
      <c r="BK84" s="118"/>
      <c r="BL84" s="118"/>
      <c r="BM84" s="118"/>
      <c r="BN84" s="118"/>
      <c r="BO84" s="118"/>
      <c r="BP84" s="118"/>
      <c r="BQ84" s="118"/>
      <c r="BR84" s="118"/>
      <c r="BS84" s="118"/>
      <c r="BT84" s="118"/>
      <c r="BU84" s="118"/>
      <c r="BV84" s="118"/>
      <c r="BW84" s="118"/>
      <c r="BX84" s="115"/>
      <c r="BY84" s="115"/>
      <c r="BZ84" s="115"/>
      <c r="CA84" s="115"/>
      <c r="CB84" s="115"/>
      <c r="CC84" s="115"/>
      <c r="CD84" s="115"/>
      <c r="CE84" s="115"/>
      <c r="CF84" s="115"/>
      <c r="CG84" s="115"/>
      <c r="CH84" s="115"/>
      <c r="CI84" s="115"/>
      <c r="CJ84" s="115"/>
      <c r="CK84" s="115"/>
      <c r="CL84" s="115"/>
      <c r="CM84" s="115"/>
      <c r="CN84" s="115"/>
      <c r="CO84" s="115"/>
      <c r="CP84" s="115"/>
      <c r="CQ84" s="115"/>
      <c r="CR84" s="115"/>
      <c r="CS84" s="115"/>
      <c r="CT84" s="115"/>
      <c r="CU84" s="115"/>
      <c r="CV84" s="115"/>
      <c r="CW84" s="115"/>
      <c r="CX84" s="115"/>
      <c r="CY84" s="115"/>
      <c r="CZ84" s="115"/>
      <c r="DA84" s="115">
        <f>+MEDIAN(W84,AA84,AS84)</f>
        <v>233250</v>
      </c>
      <c r="DB84" s="115">
        <f>+AVERAGE(W84,AA84,AS84)</f>
        <v>240750</v>
      </c>
      <c r="DC84" s="115">
        <f>+STDEV(W84,AA84,AS84)</f>
        <v>54885.67663789889</v>
      </c>
      <c r="DD84" s="116">
        <f t="shared" si="22"/>
        <v>0.22797788842325603</v>
      </c>
      <c r="DE84" s="115">
        <v>196008.40336134454</v>
      </c>
      <c r="DF84" s="115">
        <f>+DE84*19%</f>
        <v>37241.596638655465</v>
      </c>
      <c r="DG84" s="175">
        <f t="shared" si="26"/>
        <v>233250</v>
      </c>
      <c r="DH84" s="175">
        <f t="shared" si="23"/>
        <v>3498750</v>
      </c>
      <c r="DI84" s="117" t="s">
        <v>227</v>
      </c>
    </row>
    <row r="85" spans="1:113" s="28" customFormat="1" ht="30" x14ac:dyDescent="0.25">
      <c r="A85" s="36">
        <v>77</v>
      </c>
      <c r="B85" s="112" t="s">
        <v>62</v>
      </c>
      <c r="C85" s="113" t="s">
        <v>138</v>
      </c>
      <c r="D85" s="114" t="s">
        <v>167</v>
      </c>
      <c r="E85" s="114">
        <v>330</v>
      </c>
      <c r="F85" s="115">
        <v>4370</v>
      </c>
      <c r="G85" s="115">
        <f>+F85*19%</f>
        <v>830.3</v>
      </c>
      <c r="H85" s="115">
        <f>+F85+G85</f>
        <v>5200.3</v>
      </c>
      <c r="I85" s="115">
        <v>2185</v>
      </c>
      <c r="J85" s="115">
        <f>+I85*0.19</f>
        <v>415.15</v>
      </c>
      <c r="K85" s="115">
        <f>+I85+J85</f>
        <v>2600.15</v>
      </c>
      <c r="L85" s="115">
        <v>1872</v>
      </c>
      <c r="M85" s="115">
        <f>+L85*0.19</f>
        <v>355.68</v>
      </c>
      <c r="N85" s="115">
        <f>+L85+M85</f>
        <v>2227.6799999999998</v>
      </c>
      <c r="O85" s="118"/>
      <c r="P85" s="118"/>
      <c r="Q85" s="118"/>
      <c r="R85" s="118"/>
      <c r="S85" s="118"/>
      <c r="T85" s="118"/>
      <c r="U85" s="118"/>
      <c r="V85" s="118"/>
      <c r="W85" s="11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18"/>
      <c r="AW85" s="118"/>
      <c r="AX85" s="118"/>
      <c r="AY85" s="118"/>
      <c r="AZ85" s="118"/>
      <c r="BA85" s="118"/>
      <c r="BB85" s="118"/>
      <c r="BC85" s="118"/>
      <c r="BD85" s="118"/>
      <c r="BE85" s="118"/>
      <c r="BF85" s="118"/>
      <c r="BG85" s="118"/>
      <c r="BH85" s="118"/>
      <c r="BI85" s="118"/>
      <c r="BJ85" s="118"/>
      <c r="BK85" s="118"/>
      <c r="BL85" s="118"/>
      <c r="BM85" s="118"/>
      <c r="BN85" s="118"/>
      <c r="BO85" s="118"/>
      <c r="BP85" s="118"/>
      <c r="BQ85" s="118"/>
      <c r="BR85" s="118"/>
      <c r="BS85" s="118"/>
      <c r="BT85" s="118"/>
      <c r="BU85" s="118"/>
      <c r="BV85" s="118"/>
      <c r="BW85" s="118"/>
      <c r="BX85" s="115"/>
      <c r="BY85" s="115"/>
      <c r="BZ85" s="115"/>
      <c r="CA85" s="115"/>
      <c r="CB85" s="115"/>
      <c r="CC85" s="115"/>
      <c r="CD85" s="115"/>
      <c r="CE85" s="115"/>
      <c r="CF85" s="115"/>
      <c r="CG85" s="115"/>
      <c r="CH85" s="115"/>
      <c r="CI85" s="115"/>
      <c r="CJ85" s="115"/>
      <c r="CK85" s="115"/>
      <c r="CL85" s="115"/>
      <c r="CM85" s="115"/>
      <c r="CN85" s="115"/>
      <c r="CO85" s="115"/>
      <c r="CP85" s="115"/>
      <c r="CQ85" s="115"/>
      <c r="CR85" s="115"/>
      <c r="CS85" s="115"/>
      <c r="CT85" s="115"/>
      <c r="CU85" s="115"/>
      <c r="CV85" s="115"/>
      <c r="CW85" s="115"/>
      <c r="CX85" s="115"/>
      <c r="CY85" s="115"/>
      <c r="CZ85" s="115"/>
      <c r="DA85" s="115">
        <f>+MEDIAN(K85,N85)</f>
        <v>2413.915</v>
      </c>
      <c r="DB85" s="115">
        <f>+AVERAGE(K85,N85)</f>
        <v>2413.915</v>
      </c>
      <c r="DC85" s="115">
        <f>+STDEV(K85,N85)</f>
        <v>263.37606278855355</v>
      </c>
      <c r="DD85" s="116">
        <f t="shared" si="22"/>
        <v>0.10910743037288122</v>
      </c>
      <c r="DE85" s="115">
        <v>2028.5714285714287</v>
      </c>
      <c r="DF85" s="115">
        <f t="shared" si="25"/>
        <v>385.42857142857144</v>
      </c>
      <c r="DG85" s="175">
        <f t="shared" si="26"/>
        <v>2414</v>
      </c>
      <c r="DH85" s="175">
        <f t="shared" si="23"/>
        <v>796620</v>
      </c>
      <c r="DI85" s="117" t="s">
        <v>228</v>
      </c>
    </row>
    <row r="86" spans="1:113" s="28" customFormat="1" ht="30" x14ac:dyDescent="0.25">
      <c r="A86" s="36">
        <v>78</v>
      </c>
      <c r="B86" s="112" t="s">
        <v>62</v>
      </c>
      <c r="C86" s="113" t="s">
        <v>139</v>
      </c>
      <c r="D86" s="114" t="s">
        <v>167</v>
      </c>
      <c r="E86" s="114">
        <v>229</v>
      </c>
      <c r="F86" s="115"/>
      <c r="G86" s="115"/>
      <c r="H86" s="115"/>
      <c r="I86" s="115">
        <v>6639</v>
      </c>
      <c r="J86" s="115">
        <f>+I86*0.19</f>
        <v>1261.4100000000001</v>
      </c>
      <c r="K86" s="115">
        <f>+I86+J86</f>
        <v>7900.41</v>
      </c>
      <c r="L86" s="115">
        <v>6797</v>
      </c>
      <c r="M86" s="115">
        <f>+L86*0.19</f>
        <v>1291.43</v>
      </c>
      <c r="N86" s="115">
        <f>+L86+M86</f>
        <v>8088.43</v>
      </c>
      <c r="O86" s="118"/>
      <c r="P86" s="118"/>
      <c r="Q86" s="118"/>
      <c r="R86" s="115"/>
      <c r="S86" s="115"/>
      <c r="T86" s="121"/>
      <c r="U86" s="118"/>
      <c r="V86" s="118"/>
      <c r="W86" s="11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18"/>
      <c r="AW86" s="118"/>
      <c r="AX86" s="118"/>
      <c r="AY86" s="118"/>
      <c r="AZ86" s="118"/>
      <c r="BA86" s="118"/>
      <c r="BB86" s="118"/>
      <c r="BC86" s="118"/>
      <c r="BD86" s="118"/>
      <c r="BE86" s="118"/>
      <c r="BF86" s="118"/>
      <c r="BG86" s="118"/>
      <c r="BH86" s="118"/>
      <c r="BI86" s="118"/>
      <c r="BJ86" s="118"/>
      <c r="BK86" s="118"/>
      <c r="BL86" s="118"/>
      <c r="BM86" s="118"/>
      <c r="BN86" s="118"/>
      <c r="BO86" s="118"/>
      <c r="BP86" s="118"/>
      <c r="BQ86" s="118"/>
      <c r="BR86" s="118"/>
      <c r="BS86" s="118"/>
      <c r="BT86" s="118"/>
      <c r="BU86" s="118"/>
      <c r="BV86" s="118"/>
      <c r="BW86" s="118"/>
      <c r="BX86" s="115"/>
      <c r="BY86" s="115"/>
      <c r="BZ86" s="115"/>
      <c r="CA86" s="115"/>
      <c r="CB86" s="115"/>
      <c r="CC86" s="115"/>
      <c r="CD86" s="115"/>
      <c r="CE86" s="115"/>
      <c r="CF86" s="115"/>
      <c r="CG86" s="115"/>
      <c r="CH86" s="115"/>
      <c r="CI86" s="115"/>
      <c r="CJ86" s="115"/>
      <c r="CK86" s="115"/>
      <c r="CL86" s="115"/>
      <c r="CM86" s="115"/>
      <c r="CN86" s="115"/>
      <c r="CO86" s="115"/>
      <c r="CP86" s="115"/>
      <c r="CQ86" s="115"/>
      <c r="CR86" s="115"/>
      <c r="CS86" s="115"/>
      <c r="CT86" s="115"/>
      <c r="CU86" s="115"/>
      <c r="CV86" s="115"/>
      <c r="CW86" s="115"/>
      <c r="CX86" s="115"/>
      <c r="CY86" s="115"/>
      <c r="CZ86" s="115"/>
      <c r="DA86" s="115">
        <f>+MEDIAN(K86,N86)</f>
        <v>7994.42</v>
      </c>
      <c r="DB86" s="115">
        <f>+AVERAGE(K86,N86)</f>
        <v>7994.42</v>
      </c>
      <c r="DC86" s="115">
        <f>+STDEV(K86,N86)</f>
        <v>132.95021699869497</v>
      </c>
      <c r="DD86" s="116">
        <f t="shared" si="22"/>
        <v>1.6630376812663702E-2</v>
      </c>
      <c r="DE86" s="115">
        <v>6718.4873949579833</v>
      </c>
      <c r="DF86" s="115">
        <f t="shared" si="25"/>
        <v>1276.5126050420167</v>
      </c>
      <c r="DG86" s="175">
        <f t="shared" si="26"/>
        <v>7995</v>
      </c>
      <c r="DH86" s="175">
        <f t="shared" si="23"/>
        <v>1830855</v>
      </c>
      <c r="DI86" s="119" t="s">
        <v>228</v>
      </c>
    </row>
    <row r="87" spans="1:113" s="28" customFormat="1" ht="61.5" customHeight="1" x14ac:dyDescent="0.25">
      <c r="A87" s="36">
        <v>79</v>
      </c>
      <c r="B87" s="112" t="s">
        <v>63</v>
      </c>
      <c r="C87" s="113" t="s">
        <v>140</v>
      </c>
      <c r="D87" s="114" t="s">
        <v>167</v>
      </c>
      <c r="E87" s="114">
        <v>114</v>
      </c>
      <c r="F87" s="115">
        <v>268908</v>
      </c>
      <c r="G87" s="115">
        <f>+F87*19%</f>
        <v>51092.520000000004</v>
      </c>
      <c r="H87" s="115">
        <f>+F87+G87</f>
        <v>320000.52</v>
      </c>
      <c r="I87" s="115"/>
      <c r="J87" s="115"/>
      <c r="K87" s="115"/>
      <c r="L87" s="115">
        <v>333331</v>
      </c>
      <c r="M87" s="115">
        <f>+L87*0.19</f>
        <v>63332.89</v>
      </c>
      <c r="N87" s="115">
        <f>+L87+M87</f>
        <v>396663.89</v>
      </c>
      <c r="O87" s="118"/>
      <c r="P87" s="118"/>
      <c r="Q87" s="118"/>
      <c r="R87" s="118"/>
      <c r="S87" s="118"/>
      <c r="T87" s="118"/>
      <c r="U87" s="118"/>
      <c r="V87" s="118"/>
      <c r="W87" s="11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18"/>
      <c r="AW87" s="118"/>
      <c r="AX87" s="118"/>
      <c r="AY87" s="118"/>
      <c r="AZ87" s="118"/>
      <c r="BA87" s="118"/>
      <c r="BB87" s="118"/>
      <c r="BC87" s="118"/>
      <c r="BD87" s="118"/>
      <c r="BE87" s="118"/>
      <c r="BF87" s="118"/>
      <c r="BG87" s="118"/>
      <c r="BH87" s="118"/>
      <c r="BI87" s="118"/>
      <c r="BJ87" s="118"/>
      <c r="BK87" s="118"/>
      <c r="BL87" s="118"/>
      <c r="BM87" s="118"/>
      <c r="BN87" s="118"/>
      <c r="BO87" s="118"/>
      <c r="BP87" s="118"/>
      <c r="BQ87" s="118"/>
      <c r="BR87" s="118"/>
      <c r="BS87" s="118"/>
      <c r="BT87" s="118"/>
      <c r="BU87" s="118"/>
      <c r="BV87" s="118"/>
      <c r="BW87" s="118"/>
      <c r="BX87" s="115"/>
      <c r="BY87" s="115"/>
      <c r="BZ87" s="115"/>
      <c r="CA87" s="115"/>
      <c r="CB87" s="115"/>
      <c r="CC87" s="115"/>
      <c r="CD87" s="115"/>
      <c r="CE87" s="115"/>
      <c r="CF87" s="115"/>
      <c r="CG87" s="115"/>
      <c r="CH87" s="115"/>
      <c r="CI87" s="115"/>
      <c r="CJ87" s="115"/>
      <c r="CK87" s="115"/>
      <c r="CL87" s="115"/>
      <c r="CM87" s="115"/>
      <c r="CN87" s="115"/>
      <c r="CO87" s="115"/>
      <c r="CP87" s="115"/>
      <c r="CQ87" s="115"/>
      <c r="CR87" s="115"/>
      <c r="CS87" s="115"/>
      <c r="CT87" s="115"/>
      <c r="CU87" s="115"/>
      <c r="CV87" s="115"/>
      <c r="CW87" s="115"/>
      <c r="CX87" s="115"/>
      <c r="CY87" s="115"/>
      <c r="CZ87" s="115"/>
      <c r="DA87" s="115">
        <f>+MEDIAN(H87,N87)</f>
        <v>358332.20500000002</v>
      </c>
      <c r="DB87" s="115">
        <f>+AVERAGE(H87,N87)</f>
        <v>358332.20500000002</v>
      </c>
      <c r="DC87" s="115">
        <f>+STDEV(H87,N87)</f>
        <v>54209.188795613321</v>
      </c>
      <c r="DD87" s="116">
        <f>DC87/DB87</f>
        <v>0.15128193346621835</v>
      </c>
      <c r="DE87" s="115">
        <v>301120.16806722688</v>
      </c>
      <c r="DF87" s="115">
        <f t="shared" si="25"/>
        <v>57212.831932773108</v>
      </c>
      <c r="DG87" s="175">
        <f t="shared" si="26"/>
        <v>358333</v>
      </c>
      <c r="DH87" s="175">
        <f t="shared" si="23"/>
        <v>40849962</v>
      </c>
      <c r="DI87" s="117" t="s">
        <v>227</v>
      </c>
    </row>
    <row r="88" spans="1:113" s="28" customFormat="1" ht="61.5" customHeight="1" x14ac:dyDescent="0.25">
      <c r="A88" s="36">
        <v>80</v>
      </c>
      <c r="B88" s="112" t="s">
        <v>63</v>
      </c>
      <c r="C88" s="113" t="s">
        <v>141</v>
      </c>
      <c r="D88" s="114" t="s">
        <v>167</v>
      </c>
      <c r="E88" s="114">
        <v>2</v>
      </c>
      <c r="F88" s="115"/>
      <c r="G88" s="115"/>
      <c r="H88" s="115"/>
      <c r="I88" s="115"/>
      <c r="J88" s="115"/>
      <c r="K88" s="115"/>
      <c r="L88" s="115"/>
      <c r="M88" s="115"/>
      <c r="N88" s="115"/>
      <c r="O88" s="118"/>
      <c r="P88" s="118"/>
      <c r="Q88" s="118"/>
      <c r="R88" s="115"/>
      <c r="S88" s="115"/>
      <c r="T88" s="115"/>
      <c r="U88" s="118"/>
      <c r="V88" s="118"/>
      <c r="W88" s="118"/>
      <c r="X88" s="118"/>
      <c r="Y88" s="118"/>
      <c r="Z88" s="118"/>
      <c r="AA88" s="118"/>
      <c r="AB88" s="118"/>
      <c r="AC88" s="118"/>
      <c r="AD88" s="118"/>
      <c r="AE88" s="118">
        <f>142000/1.19</f>
        <v>119327.73109243698</v>
      </c>
      <c r="AF88" s="118">
        <f>+AE88*19%</f>
        <v>22672.268907563026</v>
      </c>
      <c r="AG88" s="118">
        <f>+AE88+AF88</f>
        <v>142000</v>
      </c>
      <c r="AH88" s="115">
        <f>+AG88*15%</f>
        <v>21300</v>
      </c>
      <c r="AI88" s="115">
        <f>+AG88+AH88</f>
        <v>163300</v>
      </c>
      <c r="AJ88" s="118"/>
      <c r="AK88" s="118"/>
      <c r="AL88" s="118"/>
      <c r="AM88" s="118"/>
      <c r="AN88" s="118"/>
      <c r="AO88" s="118"/>
      <c r="AP88" s="118"/>
      <c r="AQ88" s="118"/>
      <c r="AR88" s="118"/>
      <c r="AS88" s="118"/>
      <c r="AT88" s="118"/>
      <c r="AU88" s="118"/>
      <c r="AV88" s="118"/>
      <c r="AW88" s="118"/>
      <c r="AX88" s="118"/>
      <c r="AY88" s="118"/>
      <c r="AZ88" s="118"/>
      <c r="BA88" s="118"/>
      <c r="BB88" s="118"/>
      <c r="BC88" s="118"/>
      <c r="BD88" s="118"/>
      <c r="BE88" s="118"/>
      <c r="BF88" s="118"/>
      <c r="BG88" s="118"/>
      <c r="BH88" s="118"/>
      <c r="BI88" s="118">
        <f>116500/1.19</f>
        <v>97899.159663865546</v>
      </c>
      <c r="BJ88" s="118">
        <f>+BI88*0.19</f>
        <v>18600.840336134454</v>
      </c>
      <c r="BK88" s="118">
        <f>+BI88+BJ88</f>
        <v>116500</v>
      </c>
      <c r="BL88" s="122">
        <f>+BK88*15%</f>
        <v>17475</v>
      </c>
      <c r="BM88" s="122">
        <f>+BK88+BL88</f>
        <v>133975</v>
      </c>
      <c r="BN88" s="118"/>
      <c r="BO88" s="118"/>
      <c r="BP88" s="118"/>
      <c r="BQ88" s="118"/>
      <c r="BR88" s="118"/>
      <c r="BS88" s="118"/>
      <c r="BT88" s="118"/>
      <c r="BU88" s="118"/>
      <c r="BV88" s="118"/>
      <c r="BW88" s="118"/>
      <c r="BX88" s="115"/>
      <c r="BY88" s="115"/>
      <c r="BZ88" s="115"/>
      <c r="CA88" s="115"/>
      <c r="CB88" s="115"/>
      <c r="CC88" s="115"/>
      <c r="CD88" s="115"/>
      <c r="CE88" s="115"/>
      <c r="CF88" s="115"/>
      <c r="CG88" s="115"/>
      <c r="CH88" s="115"/>
      <c r="CI88" s="115"/>
      <c r="CJ88" s="115"/>
      <c r="CK88" s="115"/>
      <c r="CL88" s="115"/>
      <c r="CM88" s="115"/>
      <c r="CN88" s="115"/>
      <c r="CO88" s="115"/>
      <c r="CP88" s="115"/>
      <c r="CQ88" s="115"/>
      <c r="CR88" s="115"/>
      <c r="CS88" s="115"/>
      <c r="CT88" s="115"/>
      <c r="CU88" s="115"/>
      <c r="CV88" s="115"/>
      <c r="CW88" s="115"/>
      <c r="CX88" s="115"/>
      <c r="CY88" s="115"/>
      <c r="CZ88" s="115"/>
      <c r="DA88" s="115">
        <f>+MEDIAN(AI88,BM88)</f>
        <v>148637.5</v>
      </c>
      <c r="DB88" s="115">
        <f>+AVERAGE(AI88,BM88)</f>
        <v>148637.5</v>
      </c>
      <c r="DC88" s="115">
        <f>+STDEV(AI88,BM88)</f>
        <v>20735.906358295506</v>
      </c>
      <c r="DD88" s="116">
        <f t="shared" si="22"/>
        <v>0.13950656031146585</v>
      </c>
      <c r="DE88" s="115">
        <v>124905.88235294119</v>
      </c>
      <c r="DF88" s="115">
        <f t="shared" si="25"/>
        <v>23732.117647058825</v>
      </c>
      <c r="DG88" s="175">
        <f t="shared" si="26"/>
        <v>148638</v>
      </c>
      <c r="DH88" s="175">
        <f t="shared" si="23"/>
        <v>297276</v>
      </c>
      <c r="DI88" s="117" t="s">
        <v>228</v>
      </c>
    </row>
    <row r="89" spans="1:113" s="28" customFormat="1" ht="30" x14ac:dyDescent="0.25">
      <c r="A89" s="36">
        <v>81</v>
      </c>
      <c r="B89" s="112" t="s">
        <v>64</v>
      </c>
      <c r="C89" s="113" t="s">
        <v>142</v>
      </c>
      <c r="D89" s="114" t="s">
        <v>166</v>
      </c>
      <c r="E89" s="114">
        <f>10+5</f>
        <v>15</v>
      </c>
      <c r="F89" s="115"/>
      <c r="G89" s="115"/>
      <c r="H89" s="115"/>
      <c r="I89" s="115"/>
      <c r="J89" s="115"/>
      <c r="K89" s="115"/>
      <c r="L89" s="115"/>
      <c r="M89" s="115"/>
      <c r="N89" s="115"/>
      <c r="O89" s="118"/>
      <c r="P89" s="118"/>
      <c r="Q89" s="118"/>
      <c r="R89" s="115"/>
      <c r="S89" s="115"/>
      <c r="T89" s="115"/>
      <c r="U89" s="118">
        <v>4840.3361344537816</v>
      </c>
      <c r="V89" s="118">
        <f>+U89*0.19</f>
        <v>919.66386554621852</v>
      </c>
      <c r="W89" s="118">
        <f>+U89+V89</f>
        <v>5760</v>
      </c>
      <c r="X89" s="118"/>
      <c r="Y89" s="118">
        <v>4537.8151260504201</v>
      </c>
      <c r="Z89" s="118">
        <f>+Y89*0.19</f>
        <v>862.18487394957981</v>
      </c>
      <c r="AA89" s="118">
        <f>+Y89+Z89</f>
        <v>5400</v>
      </c>
      <c r="AB89" s="118"/>
      <c r="AC89" s="118"/>
      <c r="AD89" s="118"/>
      <c r="AE89" s="118"/>
      <c r="AF89" s="118"/>
      <c r="AG89" s="118"/>
      <c r="AH89" s="118"/>
      <c r="AI89" s="118"/>
      <c r="AJ89" s="115"/>
      <c r="AK89" s="115"/>
      <c r="AL89" s="115"/>
      <c r="AM89" s="115"/>
      <c r="AN89" s="115"/>
      <c r="AO89" s="115"/>
      <c r="AP89" s="115"/>
      <c r="AQ89" s="118"/>
      <c r="AR89" s="118"/>
      <c r="AS89" s="118"/>
      <c r="AT89" s="118"/>
      <c r="AU89" s="118"/>
      <c r="AV89" s="118"/>
      <c r="AW89" s="118"/>
      <c r="AX89" s="118"/>
      <c r="AY89" s="118"/>
      <c r="AZ89" s="118"/>
      <c r="BA89" s="118"/>
      <c r="BB89" s="118"/>
      <c r="BC89" s="118"/>
      <c r="BD89" s="115"/>
      <c r="BE89" s="115"/>
      <c r="BF89" s="115"/>
      <c r="BG89" s="115"/>
      <c r="BH89" s="115"/>
      <c r="BI89" s="115"/>
      <c r="BJ89" s="115"/>
      <c r="BK89" s="115"/>
      <c r="BL89" s="115"/>
      <c r="BM89" s="115"/>
      <c r="BN89" s="115"/>
      <c r="BO89" s="115"/>
      <c r="BP89" s="115"/>
      <c r="BQ89" s="115"/>
      <c r="BR89" s="115"/>
      <c r="BS89" s="115"/>
      <c r="BT89" s="115"/>
      <c r="BU89" s="115"/>
      <c r="BV89" s="115"/>
      <c r="BW89" s="115"/>
      <c r="BX89" s="115"/>
      <c r="BY89" s="115"/>
      <c r="BZ89" s="115"/>
      <c r="CA89" s="115"/>
      <c r="CB89" s="115"/>
      <c r="CC89" s="115"/>
      <c r="CD89" s="115"/>
      <c r="CE89" s="115"/>
      <c r="CF89" s="115"/>
      <c r="CG89" s="115"/>
      <c r="CH89" s="115"/>
      <c r="CI89" s="115"/>
      <c r="CJ89" s="115"/>
      <c r="CK89" s="115"/>
      <c r="CL89" s="115"/>
      <c r="CM89" s="115"/>
      <c r="CN89" s="115"/>
      <c r="CO89" s="115"/>
      <c r="CP89" s="115"/>
      <c r="CQ89" s="115"/>
      <c r="CR89" s="115"/>
      <c r="CS89" s="115"/>
      <c r="CT89" s="115"/>
      <c r="CU89" s="115"/>
      <c r="CV89" s="115"/>
      <c r="CW89" s="115"/>
      <c r="CX89" s="115"/>
      <c r="CY89" s="115"/>
      <c r="CZ89" s="115"/>
      <c r="DA89" s="115">
        <f>+MEDIAN(W89,AA89)</f>
        <v>5580</v>
      </c>
      <c r="DB89" s="115">
        <f>+AVERAGE(W89,AA89)</f>
        <v>5580</v>
      </c>
      <c r="DC89" s="115">
        <f>+STDEV(W89,AA89)</f>
        <v>254.55844122715712</v>
      </c>
      <c r="DD89" s="116">
        <f t="shared" si="22"/>
        <v>4.5619792334615973E-2</v>
      </c>
      <c r="DE89" s="115">
        <v>4689.0756302521013</v>
      </c>
      <c r="DF89" s="115">
        <f t="shared" si="25"/>
        <v>890.92436974789928</v>
      </c>
      <c r="DG89" s="175">
        <f t="shared" si="26"/>
        <v>5580</v>
      </c>
      <c r="DH89" s="175">
        <f t="shared" si="23"/>
        <v>83700</v>
      </c>
      <c r="DI89" s="117" t="s">
        <v>228</v>
      </c>
    </row>
    <row r="90" spans="1:113" s="28" customFormat="1" ht="30" x14ac:dyDescent="0.25">
      <c r="A90" s="36">
        <v>82</v>
      </c>
      <c r="B90" s="112" t="s">
        <v>65</v>
      </c>
      <c r="C90" s="113" t="s">
        <v>143</v>
      </c>
      <c r="D90" s="114" t="s">
        <v>166</v>
      </c>
      <c r="E90" s="114">
        <v>170</v>
      </c>
      <c r="F90" s="115"/>
      <c r="G90" s="115"/>
      <c r="H90" s="115"/>
      <c r="I90" s="115"/>
      <c r="J90" s="115"/>
      <c r="K90" s="115"/>
      <c r="L90" s="115"/>
      <c r="M90" s="115"/>
      <c r="N90" s="115"/>
      <c r="O90" s="118"/>
      <c r="P90" s="118"/>
      <c r="Q90" s="118"/>
      <c r="R90" s="115"/>
      <c r="S90" s="115"/>
      <c r="T90" s="115"/>
      <c r="U90" s="118">
        <v>4840.3361344537816</v>
      </c>
      <c r="V90" s="118">
        <f>+U90*0.19</f>
        <v>919.66386554621852</v>
      </c>
      <c r="W90" s="118">
        <f>+U90+V90</f>
        <v>5760</v>
      </c>
      <c r="X90" s="118"/>
      <c r="Y90" s="118">
        <v>4537.8151260504201</v>
      </c>
      <c r="Z90" s="118">
        <f>+Y90*0.19</f>
        <v>862.18487394957981</v>
      </c>
      <c r="AA90" s="118">
        <f>+Y90+Z90</f>
        <v>5400</v>
      </c>
      <c r="AB90" s="118"/>
      <c r="AC90" s="118"/>
      <c r="AD90" s="118"/>
      <c r="AE90" s="118"/>
      <c r="AF90" s="118"/>
      <c r="AG90" s="118"/>
      <c r="AH90" s="118"/>
      <c r="AI90" s="118"/>
      <c r="AJ90" s="115"/>
      <c r="AK90" s="115"/>
      <c r="AL90" s="115"/>
      <c r="AM90" s="115"/>
      <c r="AN90" s="115"/>
      <c r="AO90" s="115"/>
      <c r="AP90" s="115"/>
      <c r="AQ90" s="118"/>
      <c r="AR90" s="118"/>
      <c r="AS90" s="118"/>
      <c r="AT90" s="118"/>
      <c r="AU90" s="118"/>
      <c r="AV90" s="118"/>
      <c r="AW90" s="118"/>
      <c r="AX90" s="118"/>
      <c r="AY90" s="118"/>
      <c r="AZ90" s="118"/>
      <c r="BA90" s="118"/>
      <c r="BB90" s="118"/>
      <c r="BC90" s="118"/>
      <c r="BD90" s="115"/>
      <c r="BE90" s="115"/>
      <c r="BF90" s="115"/>
      <c r="BG90" s="115"/>
      <c r="BH90" s="115"/>
      <c r="BI90" s="115"/>
      <c r="BJ90" s="115"/>
      <c r="BK90" s="115"/>
      <c r="BL90" s="115"/>
      <c r="BM90" s="115"/>
      <c r="BN90" s="115"/>
      <c r="BO90" s="115"/>
      <c r="BP90" s="115"/>
      <c r="BQ90" s="115"/>
      <c r="BR90" s="115"/>
      <c r="BS90" s="115"/>
      <c r="BT90" s="115"/>
      <c r="BU90" s="115"/>
      <c r="BV90" s="115"/>
      <c r="BW90" s="115"/>
      <c r="BX90" s="115"/>
      <c r="BY90" s="115"/>
      <c r="BZ90" s="115"/>
      <c r="CA90" s="115"/>
      <c r="CB90" s="115"/>
      <c r="CC90" s="115"/>
      <c r="CD90" s="115"/>
      <c r="CE90" s="115"/>
      <c r="CF90" s="115"/>
      <c r="CG90" s="115"/>
      <c r="CH90" s="115"/>
      <c r="CI90" s="115"/>
      <c r="CJ90" s="115"/>
      <c r="CK90" s="115"/>
      <c r="CL90" s="115"/>
      <c r="CM90" s="115"/>
      <c r="CN90" s="115"/>
      <c r="CO90" s="115"/>
      <c r="CP90" s="115"/>
      <c r="CQ90" s="115"/>
      <c r="CR90" s="115"/>
      <c r="CS90" s="115"/>
      <c r="CT90" s="115"/>
      <c r="CU90" s="115"/>
      <c r="CV90" s="115"/>
      <c r="CW90" s="115"/>
      <c r="CX90" s="115"/>
      <c r="CY90" s="115"/>
      <c r="CZ90" s="115"/>
      <c r="DA90" s="115">
        <f>+MEDIAN(W90,AA90)</f>
        <v>5580</v>
      </c>
      <c r="DB90" s="115">
        <f>+AVERAGE(W90,AA90)</f>
        <v>5580</v>
      </c>
      <c r="DC90" s="115">
        <f>+STDEV(W90,AA90)</f>
        <v>254.55844122715712</v>
      </c>
      <c r="DD90" s="116">
        <f t="shared" si="22"/>
        <v>4.5619792334615973E-2</v>
      </c>
      <c r="DE90" s="115">
        <v>4689.0756302521013</v>
      </c>
      <c r="DF90" s="115">
        <f t="shared" si="25"/>
        <v>890.92436974789928</v>
      </c>
      <c r="DG90" s="175">
        <f t="shared" si="26"/>
        <v>5580</v>
      </c>
      <c r="DH90" s="175">
        <f t="shared" si="23"/>
        <v>948600</v>
      </c>
      <c r="DI90" s="117" t="s">
        <v>228</v>
      </c>
    </row>
    <row r="91" spans="1:113" s="28" customFormat="1" ht="171" customHeight="1" x14ac:dyDescent="0.25">
      <c r="A91" s="36">
        <v>83</v>
      </c>
      <c r="B91" s="112" t="s">
        <v>65</v>
      </c>
      <c r="C91" s="113" t="s">
        <v>203</v>
      </c>
      <c r="D91" s="114" t="s">
        <v>166</v>
      </c>
      <c r="E91" s="114">
        <v>50</v>
      </c>
      <c r="F91" s="115"/>
      <c r="G91" s="115"/>
      <c r="H91" s="115"/>
      <c r="I91" s="115"/>
      <c r="J91" s="115"/>
      <c r="K91" s="115"/>
      <c r="L91" s="115"/>
      <c r="M91" s="115"/>
      <c r="N91" s="115"/>
      <c r="O91" s="115"/>
      <c r="P91" s="115"/>
      <c r="Q91" s="115"/>
      <c r="R91" s="115"/>
      <c r="S91" s="115"/>
      <c r="T91" s="115"/>
      <c r="U91" s="115"/>
      <c r="V91" s="115"/>
      <c r="W91" s="115"/>
      <c r="X91" s="118"/>
      <c r="Y91" s="118">
        <v>7563.0252100840344</v>
      </c>
      <c r="Z91" s="118">
        <f>+Y91*0.19</f>
        <v>1436.9747899159665</v>
      </c>
      <c r="AA91" s="118">
        <f>+Y91+Z91</f>
        <v>9000</v>
      </c>
      <c r="AB91" s="118"/>
      <c r="AC91" s="118"/>
      <c r="AD91" s="118"/>
      <c r="AE91" s="118"/>
      <c r="AF91" s="118"/>
      <c r="AG91" s="118"/>
      <c r="AH91" s="118"/>
      <c r="AI91" s="118"/>
      <c r="AJ91" s="115"/>
      <c r="AK91" s="115"/>
      <c r="AL91" s="115"/>
      <c r="AM91" s="115"/>
      <c r="AN91" s="115"/>
      <c r="AO91" s="115"/>
      <c r="AP91" s="115"/>
      <c r="AQ91" s="118"/>
      <c r="AR91" s="118"/>
      <c r="AS91" s="118"/>
      <c r="AT91" s="118"/>
      <c r="AU91" s="118"/>
      <c r="AV91" s="118"/>
      <c r="AW91" s="118"/>
      <c r="AX91" s="118"/>
      <c r="AY91" s="118"/>
      <c r="AZ91" s="118"/>
      <c r="BA91" s="118"/>
      <c r="BB91" s="118"/>
      <c r="BC91" s="118"/>
      <c r="BD91" s="115"/>
      <c r="BE91" s="115"/>
      <c r="BF91" s="115"/>
      <c r="BG91" s="115"/>
      <c r="BH91" s="115"/>
      <c r="BI91" s="115"/>
      <c r="BJ91" s="115"/>
      <c r="BK91" s="115"/>
      <c r="BL91" s="115"/>
      <c r="BM91" s="115"/>
      <c r="BN91" s="115">
        <v>8742.8571428571431</v>
      </c>
      <c r="BO91" s="115">
        <f>+BN91*0.19</f>
        <v>1661.1428571428571</v>
      </c>
      <c r="BP91" s="115">
        <f>+BN91+BO91</f>
        <v>10404</v>
      </c>
      <c r="BQ91" s="115">
        <f>+BP91*15%</f>
        <v>1560.6</v>
      </c>
      <c r="BR91" s="115">
        <f>+BP91+BQ91</f>
        <v>11964.6</v>
      </c>
      <c r="BS91" s="118"/>
      <c r="BT91" s="118"/>
      <c r="BU91" s="118"/>
      <c r="BV91" s="118"/>
      <c r="BW91" s="118"/>
      <c r="BX91" s="115"/>
      <c r="BY91" s="115"/>
      <c r="BZ91" s="115"/>
      <c r="CA91" s="115"/>
      <c r="CB91" s="115"/>
      <c r="CC91" s="115"/>
      <c r="CD91" s="115"/>
      <c r="CE91" s="115"/>
      <c r="CF91" s="115"/>
      <c r="CG91" s="115"/>
      <c r="CH91" s="115"/>
      <c r="CI91" s="115"/>
      <c r="CJ91" s="115"/>
      <c r="CK91" s="115"/>
      <c r="CL91" s="115"/>
      <c r="CM91" s="115"/>
      <c r="CN91" s="115"/>
      <c r="CO91" s="115"/>
      <c r="CP91" s="115"/>
      <c r="CQ91" s="115"/>
      <c r="CR91" s="115"/>
      <c r="CS91" s="115"/>
      <c r="CT91" s="115"/>
      <c r="CU91" s="115"/>
      <c r="CV91" s="115"/>
      <c r="CW91" s="115"/>
      <c r="CX91" s="115"/>
      <c r="CY91" s="115"/>
      <c r="CZ91" s="115"/>
      <c r="DA91" s="115">
        <f>+MEDIAN(AA91,BR91)</f>
        <v>10482.299999999999</v>
      </c>
      <c r="DB91" s="115">
        <f>+AVERAGE(AA91,BR91)</f>
        <v>10482.299999999999</v>
      </c>
      <c r="DC91" s="115">
        <f>+STDEV(AA91,BR91)</f>
        <v>2096.2887635056418</v>
      </c>
      <c r="DD91" s="116">
        <f>DC91/DB91</f>
        <v>0.19998366422499278</v>
      </c>
      <c r="DE91" s="115">
        <v>8809.2436974789925</v>
      </c>
      <c r="DF91" s="115">
        <f t="shared" si="25"/>
        <v>1673.7563025210086</v>
      </c>
      <c r="DG91" s="175">
        <f t="shared" si="26"/>
        <v>10483</v>
      </c>
      <c r="DH91" s="175">
        <f t="shared" si="23"/>
        <v>524150</v>
      </c>
      <c r="DI91" s="117" t="s">
        <v>227</v>
      </c>
    </row>
    <row r="92" spans="1:113" s="28" customFormat="1" ht="111" customHeight="1" x14ac:dyDescent="0.25">
      <c r="A92" s="36">
        <v>84</v>
      </c>
      <c r="B92" s="112" t="s">
        <v>66</v>
      </c>
      <c r="C92" s="113" t="s">
        <v>144</v>
      </c>
      <c r="D92" s="114" t="s">
        <v>167</v>
      </c>
      <c r="E92" s="114">
        <v>156</v>
      </c>
      <c r="F92" s="115">
        <v>19328</v>
      </c>
      <c r="G92" s="115">
        <f>+F92*19%</f>
        <v>3672.32</v>
      </c>
      <c r="H92" s="115">
        <f>+F92+G92</f>
        <v>23000.32</v>
      </c>
      <c r="I92" s="115"/>
      <c r="J92" s="115"/>
      <c r="K92" s="115"/>
      <c r="L92" s="115">
        <v>29868</v>
      </c>
      <c r="M92" s="115">
        <f t="shared" ref="M92:M112" si="27">+L92*0.19</f>
        <v>5674.92</v>
      </c>
      <c r="N92" s="115">
        <f>+L92+M92</f>
        <v>35542.92</v>
      </c>
      <c r="O92" s="118"/>
      <c r="P92" s="118"/>
      <c r="Q92" s="118"/>
      <c r="R92" s="115">
        <v>28011.20448179272</v>
      </c>
      <c r="S92" s="115">
        <f>+R92*19%</f>
        <v>5322.1288515406168</v>
      </c>
      <c r="T92" s="115">
        <f>+R92+S92</f>
        <v>33333.333333333336</v>
      </c>
      <c r="U92" s="118"/>
      <c r="V92" s="118"/>
      <c r="W92" s="118"/>
      <c r="X92" s="118"/>
      <c r="Y92" s="118"/>
      <c r="Z92" s="118"/>
      <c r="AA92" s="118"/>
      <c r="AB92" s="118"/>
      <c r="AC92" s="118"/>
      <c r="AD92" s="118"/>
      <c r="AE92" s="118"/>
      <c r="AF92" s="118"/>
      <c r="AG92" s="118"/>
      <c r="AH92" s="118"/>
      <c r="AI92" s="118"/>
      <c r="AJ92" s="118"/>
      <c r="AK92" s="118"/>
      <c r="AL92" s="118"/>
      <c r="AM92" s="118"/>
      <c r="AN92" s="118"/>
      <c r="AO92" s="118"/>
      <c r="AP92" s="118"/>
      <c r="AQ92" s="118"/>
      <c r="AR92" s="118"/>
      <c r="AS92" s="118"/>
      <c r="AT92" s="118"/>
      <c r="AU92" s="118"/>
      <c r="AV92" s="118"/>
      <c r="AW92" s="118"/>
      <c r="AX92" s="118"/>
      <c r="AY92" s="118"/>
      <c r="AZ92" s="118"/>
      <c r="BA92" s="118"/>
      <c r="BB92" s="118"/>
      <c r="BC92" s="118"/>
      <c r="BD92" s="118"/>
      <c r="BE92" s="118"/>
      <c r="BF92" s="118"/>
      <c r="BG92" s="118"/>
      <c r="BH92" s="118"/>
      <c r="BI92" s="118"/>
      <c r="BJ92" s="118"/>
      <c r="BK92" s="118"/>
      <c r="BL92" s="118"/>
      <c r="BM92" s="118"/>
      <c r="BN92" s="118"/>
      <c r="BO92" s="118"/>
      <c r="BP92" s="115"/>
      <c r="BQ92" s="115"/>
      <c r="BR92" s="115"/>
      <c r="BS92" s="115"/>
      <c r="BT92" s="115"/>
      <c r="BU92" s="115"/>
      <c r="BV92" s="115"/>
      <c r="BW92" s="115"/>
      <c r="BX92" s="115"/>
      <c r="BY92" s="115"/>
      <c r="BZ92" s="115"/>
      <c r="CA92" s="115"/>
      <c r="CB92" s="115"/>
      <c r="CC92" s="115"/>
      <c r="CD92" s="115"/>
      <c r="CE92" s="115"/>
      <c r="CF92" s="115"/>
      <c r="CG92" s="115"/>
      <c r="CH92" s="115"/>
      <c r="CI92" s="115"/>
      <c r="CJ92" s="115"/>
      <c r="CK92" s="115"/>
      <c r="CL92" s="115"/>
      <c r="CM92" s="115"/>
      <c r="CN92" s="115"/>
      <c r="CO92" s="115"/>
      <c r="CP92" s="115"/>
      <c r="CQ92" s="115"/>
      <c r="CR92" s="115"/>
      <c r="CS92" s="115"/>
      <c r="CT92" s="115"/>
      <c r="CU92" s="115"/>
      <c r="CV92" s="115"/>
      <c r="CW92" s="115"/>
      <c r="CX92" s="115"/>
      <c r="CY92" s="115"/>
      <c r="CZ92" s="115"/>
      <c r="DA92" s="115">
        <f>+MEDIAN(H92,N92,T92)</f>
        <v>33333.333333333336</v>
      </c>
      <c r="DB92" s="115">
        <f>+AVERAGE(H92,N92,T92)</f>
        <v>30625.524444444443</v>
      </c>
      <c r="DC92" s="115">
        <f>+STDEV(H92,N92,T92)</f>
        <v>6695.3995716506261</v>
      </c>
      <c r="DD92" s="116">
        <f t="shared" si="22"/>
        <v>0.21862154830348351</v>
      </c>
      <c r="DE92" s="115">
        <v>28011.764705882353</v>
      </c>
      <c r="DF92" s="115">
        <f t="shared" si="25"/>
        <v>5322.2352941176468</v>
      </c>
      <c r="DG92" s="175">
        <f t="shared" si="26"/>
        <v>33334</v>
      </c>
      <c r="DH92" s="175">
        <f t="shared" si="23"/>
        <v>5200104</v>
      </c>
      <c r="DI92" s="117" t="s">
        <v>227</v>
      </c>
    </row>
    <row r="93" spans="1:113" s="28" customFormat="1" ht="70.5" customHeight="1" x14ac:dyDescent="0.25">
      <c r="A93" s="36">
        <v>85</v>
      </c>
      <c r="B93" s="112" t="s">
        <v>67</v>
      </c>
      <c r="C93" s="113" t="s">
        <v>145</v>
      </c>
      <c r="D93" s="114" t="s">
        <v>166</v>
      </c>
      <c r="E93" s="114">
        <v>100</v>
      </c>
      <c r="F93" s="115">
        <v>7143</v>
      </c>
      <c r="G93" s="115">
        <f>+F93*19%</f>
        <v>1357.17</v>
      </c>
      <c r="H93" s="115">
        <f>+F93+G93</f>
        <v>8500.17</v>
      </c>
      <c r="I93" s="115">
        <v>5840.3361344537816</v>
      </c>
      <c r="J93" s="115">
        <f t="shared" ref="J93:J113" si="28">+I93*0.19</f>
        <v>1109.6638655462184</v>
      </c>
      <c r="K93" s="115">
        <f>+I93+J93</f>
        <v>6950</v>
      </c>
      <c r="L93" s="115"/>
      <c r="M93" s="115"/>
      <c r="N93" s="115"/>
      <c r="O93" s="118"/>
      <c r="P93" s="118"/>
      <c r="Q93" s="118"/>
      <c r="R93" s="118"/>
      <c r="S93" s="118"/>
      <c r="T93" s="118"/>
      <c r="U93" s="118"/>
      <c r="V93" s="118"/>
      <c r="W93" s="118"/>
      <c r="X93" s="118"/>
      <c r="Y93" s="118"/>
      <c r="Z93" s="118"/>
      <c r="AA93" s="118"/>
      <c r="AB93" s="118"/>
      <c r="AC93" s="118"/>
      <c r="AD93" s="118"/>
      <c r="AE93" s="118"/>
      <c r="AF93" s="118"/>
      <c r="AG93" s="118"/>
      <c r="AH93" s="118"/>
      <c r="AI93" s="118"/>
      <c r="AJ93" s="118"/>
      <c r="AK93" s="118"/>
      <c r="AL93" s="118"/>
      <c r="AM93" s="118"/>
      <c r="AN93" s="118"/>
      <c r="AO93" s="118"/>
      <c r="AP93" s="118"/>
      <c r="AQ93" s="118"/>
      <c r="AR93" s="118"/>
      <c r="AS93" s="118"/>
      <c r="AT93" s="118"/>
      <c r="AU93" s="118"/>
      <c r="AV93" s="118"/>
      <c r="AW93" s="118"/>
      <c r="AX93" s="118"/>
      <c r="AY93" s="118"/>
      <c r="AZ93" s="118"/>
      <c r="BA93" s="118"/>
      <c r="BB93" s="118"/>
      <c r="BC93" s="118"/>
      <c r="BD93" s="118"/>
      <c r="BE93" s="118"/>
      <c r="BF93" s="118"/>
      <c r="BG93" s="118"/>
      <c r="BH93" s="118"/>
      <c r="BI93" s="118"/>
      <c r="BJ93" s="118"/>
      <c r="BK93" s="118"/>
      <c r="BL93" s="118"/>
      <c r="BM93" s="118"/>
      <c r="BN93" s="118"/>
      <c r="BO93" s="118"/>
      <c r="BP93" s="115"/>
      <c r="BQ93" s="115"/>
      <c r="BR93" s="115"/>
      <c r="BS93" s="115"/>
      <c r="BT93" s="115"/>
      <c r="BU93" s="115"/>
      <c r="BV93" s="115"/>
      <c r="BW93" s="115"/>
      <c r="BX93" s="115"/>
      <c r="BY93" s="115"/>
      <c r="BZ93" s="115"/>
      <c r="CA93" s="115"/>
      <c r="CB93" s="115"/>
      <c r="CC93" s="115"/>
      <c r="CD93" s="115"/>
      <c r="CE93" s="115"/>
      <c r="CF93" s="115"/>
      <c r="CG93" s="115"/>
      <c r="CH93" s="115"/>
      <c r="CI93" s="115"/>
      <c r="CJ93" s="115"/>
      <c r="CK93" s="115"/>
      <c r="CL93" s="115"/>
      <c r="CM93" s="115"/>
      <c r="CN93" s="115"/>
      <c r="CO93" s="115"/>
      <c r="CP93" s="115"/>
      <c r="CQ93" s="115"/>
      <c r="CR93" s="115"/>
      <c r="CS93" s="115"/>
      <c r="CT93" s="115"/>
      <c r="CU93" s="115"/>
      <c r="CV93" s="115"/>
      <c r="CW93" s="115"/>
      <c r="CX93" s="115"/>
      <c r="CY93" s="115"/>
      <c r="CZ93" s="115"/>
      <c r="DA93" s="115">
        <f>+MEDIAN(H93,K93)</f>
        <v>7725.085</v>
      </c>
      <c r="DB93" s="115">
        <f>+AVERAGE(H93,K93)</f>
        <v>7725.085</v>
      </c>
      <c r="DC93" s="115">
        <f>+STDEV(H93,K93)</f>
        <v>1096.1357189919504</v>
      </c>
      <c r="DD93" s="116">
        <f t="shared" si="22"/>
        <v>0.14189303017273602</v>
      </c>
      <c r="DE93" s="115">
        <v>6492.4369747899163</v>
      </c>
      <c r="DF93" s="115">
        <f t="shared" si="25"/>
        <v>1233.5630252100841</v>
      </c>
      <c r="DG93" s="175">
        <f t="shared" si="26"/>
        <v>7726</v>
      </c>
      <c r="DH93" s="175">
        <f t="shared" si="23"/>
        <v>772600</v>
      </c>
      <c r="DI93" s="119" t="s">
        <v>228</v>
      </c>
    </row>
    <row r="94" spans="1:113" s="28" customFormat="1" ht="30" x14ac:dyDescent="0.25">
      <c r="A94" s="36">
        <v>86</v>
      </c>
      <c r="B94" s="112" t="s">
        <v>68</v>
      </c>
      <c r="C94" s="113" t="s">
        <v>146</v>
      </c>
      <c r="D94" s="114" t="s">
        <v>167</v>
      </c>
      <c r="E94" s="114">
        <v>10</v>
      </c>
      <c r="F94" s="115"/>
      <c r="G94" s="115"/>
      <c r="H94" s="115"/>
      <c r="I94" s="115"/>
      <c r="J94" s="115"/>
      <c r="K94" s="115"/>
      <c r="L94" s="115"/>
      <c r="M94" s="115"/>
      <c r="N94" s="115"/>
      <c r="O94" s="118"/>
      <c r="P94" s="118"/>
      <c r="Q94" s="118"/>
      <c r="R94" s="115"/>
      <c r="S94" s="115"/>
      <c r="T94" s="115"/>
      <c r="U94" s="118">
        <v>1260.5042016806724</v>
      </c>
      <c r="V94" s="118">
        <f>+U94*0.19</f>
        <v>239.49579831932775</v>
      </c>
      <c r="W94" s="118">
        <f>+U94+V94</f>
        <v>1500.0000000000002</v>
      </c>
      <c r="X94" s="118"/>
      <c r="Y94" s="118">
        <v>840.3361344537816</v>
      </c>
      <c r="Z94" s="118">
        <f>+Y94*0.19</f>
        <v>159.66386554621852</v>
      </c>
      <c r="AA94" s="118">
        <f>+Y94+Z94</f>
        <v>1000.0000000000001</v>
      </c>
      <c r="AB94" s="118"/>
      <c r="AC94" s="118"/>
      <c r="AD94" s="118"/>
      <c r="AE94" s="118"/>
      <c r="AF94" s="118"/>
      <c r="AG94" s="118"/>
      <c r="AH94" s="118"/>
      <c r="AI94" s="118"/>
      <c r="AJ94" s="115"/>
      <c r="AK94" s="115"/>
      <c r="AL94" s="115"/>
      <c r="AM94" s="115"/>
      <c r="AN94" s="115"/>
      <c r="AO94" s="115"/>
      <c r="AP94" s="115"/>
      <c r="AQ94" s="118"/>
      <c r="AR94" s="118"/>
      <c r="AS94" s="118"/>
      <c r="AT94" s="118"/>
      <c r="AU94" s="118"/>
      <c r="AV94" s="118"/>
      <c r="AW94" s="118"/>
      <c r="AX94" s="118"/>
      <c r="AY94" s="118"/>
      <c r="AZ94" s="118"/>
      <c r="BA94" s="118"/>
      <c r="BB94" s="118"/>
      <c r="BC94" s="118"/>
      <c r="BD94" s="118"/>
      <c r="BE94" s="118"/>
      <c r="BF94" s="118"/>
      <c r="BG94" s="118"/>
      <c r="BH94" s="118"/>
      <c r="BI94" s="118"/>
      <c r="BJ94" s="118"/>
      <c r="BK94" s="118"/>
      <c r="BL94" s="118"/>
      <c r="BM94" s="118"/>
      <c r="BN94" s="118"/>
      <c r="BO94" s="118"/>
      <c r="BP94" s="115"/>
      <c r="BQ94" s="115"/>
      <c r="BR94" s="115"/>
      <c r="BS94" s="115"/>
      <c r="BT94" s="115"/>
      <c r="BU94" s="115"/>
      <c r="BV94" s="115"/>
      <c r="BW94" s="115"/>
      <c r="BX94" s="115"/>
      <c r="BY94" s="115"/>
      <c r="BZ94" s="115"/>
      <c r="CA94" s="115"/>
      <c r="CB94" s="115"/>
      <c r="CC94" s="115"/>
      <c r="CD94" s="115"/>
      <c r="CE94" s="115"/>
      <c r="CF94" s="115"/>
      <c r="CG94" s="115"/>
      <c r="CH94" s="115"/>
      <c r="CI94" s="115"/>
      <c r="CJ94" s="115"/>
      <c r="CK94" s="115"/>
      <c r="CL94" s="115"/>
      <c r="CM94" s="115"/>
      <c r="CN94" s="115"/>
      <c r="CO94" s="115"/>
      <c r="CP94" s="115"/>
      <c r="CQ94" s="115"/>
      <c r="CR94" s="115"/>
      <c r="CS94" s="115"/>
      <c r="CT94" s="115"/>
      <c r="CU94" s="115"/>
      <c r="CV94" s="115"/>
      <c r="CW94" s="115"/>
      <c r="CX94" s="115"/>
      <c r="CY94" s="115"/>
      <c r="CZ94" s="115"/>
      <c r="DA94" s="115">
        <f>+MEDIAN(W94,AA94)</f>
        <v>1250.0000000000002</v>
      </c>
      <c r="DB94" s="115">
        <f>+AVERAGE(W94,AA94)</f>
        <v>1250.0000000000002</v>
      </c>
      <c r="DC94" s="115">
        <f>+STDEV(W94,AA94)</f>
        <v>353.55339059327378</v>
      </c>
      <c r="DD94" s="116">
        <f t="shared" si="22"/>
        <v>0.28284271247461895</v>
      </c>
      <c r="DE94" s="115">
        <v>1050.420168067227</v>
      </c>
      <c r="DF94" s="115">
        <f t="shared" si="25"/>
        <v>199.57983193277312</v>
      </c>
      <c r="DG94" s="175">
        <f t="shared" si="26"/>
        <v>1250</v>
      </c>
      <c r="DH94" s="175">
        <f t="shared" si="23"/>
        <v>12500</v>
      </c>
      <c r="DI94" s="117" t="s">
        <v>227</v>
      </c>
    </row>
    <row r="95" spans="1:113" s="28" customFormat="1" ht="30" x14ac:dyDescent="0.25">
      <c r="A95" s="36">
        <v>87</v>
      </c>
      <c r="B95" s="112" t="s">
        <v>68</v>
      </c>
      <c r="C95" s="113" t="s">
        <v>147</v>
      </c>
      <c r="D95" s="114" t="s">
        <v>167</v>
      </c>
      <c r="E95" s="114">
        <v>56</v>
      </c>
      <c r="F95" s="120"/>
      <c r="G95" s="120"/>
      <c r="H95" s="120"/>
      <c r="I95" s="115">
        <v>3571.4285714285716</v>
      </c>
      <c r="J95" s="115">
        <f t="shared" si="28"/>
        <v>678.57142857142856</v>
      </c>
      <c r="K95" s="115">
        <f>+I95+J95</f>
        <v>4250</v>
      </c>
      <c r="L95" s="115">
        <v>4043</v>
      </c>
      <c r="M95" s="115">
        <f t="shared" si="27"/>
        <v>768.17</v>
      </c>
      <c r="N95" s="115">
        <f>+L95+M95</f>
        <v>4811.17</v>
      </c>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18"/>
      <c r="AW95" s="118"/>
      <c r="AX95" s="118"/>
      <c r="AY95" s="118"/>
      <c r="AZ95" s="118"/>
      <c r="BA95" s="118"/>
      <c r="BB95" s="118"/>
      <c r="BC95" s="118"/>
      <c r="BD95" s="118"/>
      <c r="BE95" s="118"/>
      <c r="BF95" s="118"/>
      <c r="BG95" s="118"/>
      <c r="BH95" s="118"/>
      <c r="BI95" s="118"/>
      <c r="BJ95" s="118"/>
      <c r="BK95" s="118"/>
      <c r="BL95" s="118"/>
      <c r="BM95" s="118"/>
      <c r="BN95" s="118"/>
      <c r="BO95" s="118"/>
      <c r="BP95" s="115"/>
      <c r="BQ95" s="115"/>
      <c r="BR95" s="115"/>
      <c r="BS95" s="115"/>
      <c r="BT95" s="115"/>
      <c r="BU95" s="115"/>
      <c r="BV95" s="115"/>
      <c r="BW95" s="115"/>
      <c r="BX95" s="115"/>
      <c r="BY95" s="115"/>
      <c r="BZ95" s="115"/>
      <c r="CA95" s="115"/>
      <c r="CB95" s="115"/>
      <c r="CC95" s="115"/>
      <c r="CD95" s="115"/>
      <c r="CE95" s="115"/>
      <c r="CF95" s="115"/>
      <c r="CG95" s="115"/>
      <c r="CH95" s="115"/>
      <c r="CI95" s="115"/>
      <c r="CJ95" s="115"/>
      <c r="CK95" s="115"/>
      <c r="CL95" s="115"/>
      <c r="CM95" s="115"/>
      <c r="CN95" s="115"/>
      <c r="CO95" s="115"/>
      <c r="CP95" s="115"/>
      <c r="CQ95" s="115"/>
      <c r="CR95" s="115"/>
      <c r="CS95" s="115"/>
      <c r="CT95" s="115"/>
      <c r="CU95" s="115"/>
      <c r="CV95" s="115"/>
      <c r="CW95" s="115"/>
      <c r="CX95" s="115"/>
      <c r="CY95" s="115"/>
      <c r="CZ95" s="115"/>
      <c r="DA95" s="115">
        <f>+MEDIAN(K95,N95)</f>
        <v>4530.585</v>
      </c>
      <c r="DB95" s="115">
        <f>+AVERAGE(K95,N95)</f>
        <v>4530.585</v>
      </c>
      <c r="DC95" s="115">
        <f>+STDEV(K95,N95)</f>
        <v>396.80711239845493</v>
      </c>
      <c r="DD95" s="116">
        <f t="shared" ref="DD95:DD103" si="29">DC95/DB95</f>
        <v>8.7584078523734774E-2</v>
      </c>
      <c r="DE95" s="115">
        <v>3807.5630252100841</v>
      </c>
      <c r="DF95" s="115">
        <f t="shared" si="25"/>
        <v>723.43697478991601</v>
      </c>
      <c r="DG95" s="175">
        <f t="shared" si="26"/>
        <v>4531</v>
      </c>
      <c r="DH95" s="175">
        <f t="shared" si="23"/>
        <v>253736</v>
      </c>
      <c r="DI95" s="119" t="s">
        <v>228</v>
      </c>
    </row>
    <row r="96" spans="1:113" s="28" customFormat="1" ht="51" customHeight="1" x14ac:dyDescent="0.25">
      <c r="A96" s="36">
        <v>88</v>
      </c>
      <c r="B96" s="112" t="s">
        <v>69</v>
      </c>
      <c r="C96" s="113" t="s">
        <v>148</v>
      </c>
      <c r="D96" s="114" t="s">
        <v>166</v>
      </c>
      <c r="E96" s="114">
        <v>84</v>
      </c>
      <c r="F96" s="118"/>
      <c r="G96" s="118"/>
      <c r="H96" s="118"/>
      <c r="I96" s="115">
        <v>9244</v>
      </c>
      <c r="J96" s="115">
        <f t="shared" si="28"/>
        <v>1756.3600000000001</v>
      </c>
      <c r="K96" s="115">
        <f>+I96+J96</f>
        <v>11000.36</v>
      </c>
      <c r="L96" s="115">
        <v>9910</v>
      </c>
      <c r="M96" s="115">
        <f t="shared" si="27"/>
        <v>1882.9</v>
      </c>
      <c r="N96" s="115">
        <f>+L96+M96</f>
        <v>11792.9</v>
      </c>
      <c r="O96" s="118"/>
      <c r="P96" s="118"/>
      <c r="Q96" s="118"/>
      <c r="R96" s="118"/>
      <c r="S96" s="118"/>
      <c r="T96" s="118"/>
      <c r="U96" s="118"/>
      <c r="V96" s="118"/>
      <c r="W96" s="118"/>
      <c r="X96" s="118"/>
      <c r="Y96" s="118"/>
      <c r="Z96" s="118"/>
      <c r="AA96" s="118"/>
      <c r="AB96" s="118"/>
      <c r="AC96" s="118"/>
      <c r="AD96" s="118"/>
      <c r="AE96" s="118"/>
      <c r="AF96" s="118"/>
      <c r="AG96" s="118"/>
      <c r="AH96" s="118"/>
      <c r="AI96" s="118"/>
      <c r="AJ96" s="118"/>
      <c r="AK96" s="118"/>
      <c r="AL96" s="118"/>
      <c r="AM96" s="118"/>
      <c r="AN96" s="118"/>
      <c r="AO96" s="118"/>
      <c r="AP96" s="118"/>
      <c r="AQ96" s="118"/>
      <c r="AR96" s="118"/>
      <c r="AS96" s="118"/>
      <c r="AT96" s="118"/>
      <c r="AU96" s="118"/>
      <c r="AV96" s="118"/>
      <c r="AW96" s="118"/>
      <c r="AX96" s="118"/>
      <c r="AY96" s="118"/>
      <c r="AZ96" s="118"/>
      <c r="BA96" s="118"/>
      <c r="BB96" s="118"/>
      <c r="BC96" s="118"/>
      <c r="BD96" s="118"/>
      <c r="BE96" s="118"/>
      <c r="BF96" s="118"/>
      <c r="BG96" s="118"/>
      <c r="BH96" s="118"/>
      <c r="BI96" s="118"/>
      <c r="BJ96" s="118"/>
      <c r="BK96" s="118"/>
      <c r="BL96" s="118"/>
      <c r="BM96" s="118"/>
      <c r="BN96" s="118"/>
      <c r="BO96" s="118"/>
      <c r="BP96" s="115"/>
      <c r="BQ96" s="115"/>
      <c r="BR96" s="115"/>
      <c r="BS96" s="115"/>
      <c r="BT96" s="115"/>
      <c r="BU96" s="115"/>
      <c r="BV96" s="115"/>
      <c r="BW96" s="115"/>
      <c r="BX96" s="115"/>
      <c r="BY96" s="115"/>
      <c r="BZ96" s="115"/>
      <c r="CA96" s="115"/>
      <c r="CB96" s="115"/>
      <c r="CC96" s="115"/>
      <c r="CD96" s="115"/>
      <c r="CE96" s="115"/>
      <c r="CF96" s="115"/>
      <c r="CG96" s="115"/>
      <c r="CH96" s="115"/>
      <c r="CI96" s="115"/>
      <c r="CJ96" s="115"/>
      <c r="CK96" s="115"/>
      <c r="CL96" s="115"/>
      <c r="CM96" s="115"/>
      <c r="CN96" s="115"/>
      <c r="CO96" s="115"/>
      <c r="CP96" s="115"/>
      <c r="CQ96" s="115"/>
      <c r="CR96" s="115"/>
      <c r="CS96" s="115"/>
      <c r="CT96" s="115"/>
      <c r="CU96" s="115"/>
      <c r="CV96" s="115"/>
      <c r="CW96" s="115"/>
      <c r="CX96" s="115"/>
      <c r="CY96" s="115"/>
      <c r="CZ96" s="115"/>
      <c r="DA96" s="115">
        <f>+MEDIAN(K96,N96)</f>
        <v>11396.630000000001</v>
      </c>
      <c r="DB96" s="115">
        <f>+AVERAGE(K96,N96)</f>
        <v>11396.630000000001</v>
      </c>
      <c r="DC96" s="115">
        <f>+STDEV(K96,N96)</f>
        <v>560.41040836158572</v>
      </c>
      <c r="DD96" s="116">
        <f t="shared" si="29"/>
        <v>4.9173344081679032E-2</v>
      </c>
      <c r="DE96" s="115">
        <v>9577.310924369749</v>
      </c>
      <c r="DF96" s="115">
        <f t="shared" si="25"/>
        <v>1819.6890756302523</v>
      </c>
      <c r="DG96" s="175">
        <f t="shared" si="26"/>
        <v>11397</v>
      </c>
      <c r="DH96" s="175">
        <f t="shared" si="23"/>
        <v>957348</v>
      </c>
      <c r="DI96" s="119" t="s">
        <v>228</v>
      </c>
    </row>
    <row r="97" spans="1:113" s="28" customFormat="1" ht="132" customHeight="1" x14ac:dyDescent="0.25">
      <c r="A97" s="36">
        <v>89</v>
      </c>
      <c r="B97" s="112" t="s">
        <v>69</v>
      </c>
      <c r="C97" s="113" t="s">
        <v>149</v>
      </c>
      <c r="D97" s="114" t="s">
        <v>166</v>
      </c>
      <c r="E97" s="114">
        <v>100</v>
      </c>
      <c r="F97" s="115"/>
      <c r="G97" s="115"/>
      <c r="H97" s="115"/>
      <c r="I97" s="115"/>
      <c r="J97" s="115"/>
      <c r="K97" s="115"/>
      <c r="L97" s="115"/>
      <c r="M97" s="115"/>
      <c r="N97" s="115"/>
      <c r="O97" s="118"/>
      <c r="P97" s="118"/>
      <c r="Q97" s="118"/>
      <c r="R97" s="115">
        <v>7941.176470588236</v>
      </c>
      <c r="S97" s="115">
        <f>+R97*19%</f>
        <v>1508.8235294117649</v>
      </c>
      <c r="T97" s="115">
        <f>+R97+S97</f>
        <v>9450</v>
      </c>
      <c r="U97" s="118">
        <v>6554.6218487394963</v>
      </c>
      <c r="V97" s="118">
        <f>+U97*0.19</f>
        <v>1245.3781512605044</v>
      </c>
      <c r="W97" s="118">
        <f>+U97+V97</f>
        <v>7800.0000000000009</v>
      </c>
      <c r="X97" s="118"/>
      <c r="Y97" s="118">
        <v>7563.0252100840344</v>
      </c>
      <c r="Z97" s="118">
        <f>+Y97*0.19</f>
        <v>1436.9747899159665</v>
      </c>
      <c r="AA97" s="118">
        <f>+Y97+Z97</f>
        <v>9000</v>
      </c>
      <c r="AB97" s="118"/>
      <c r="AC97" s="118"/>
      <c r="AD97" s="118"/>
      <c r="AE97" s="118"/>
      <c r="AF97" s="118"/>
      <c r="AG97" s="118"/>
      <c r="AH97" s="118"/>
      <c r="AI97" s="118"/>
      <c r="AJ97" s="115"/>
      <c r="AK97" s="115"/>
      <c r="AL97" s="115"/>
      <c r="AM97" s="115"/>
      <c r="AN97" s="115"/>
      <c r="AO97" s="115"/>
      <c r="AP97" s="115"/>
      <c r="AQ97" s="118"/>
      <c r="AR97" s="118"/>
      <c r="AS97" s="118"/>
      <c r="AT97" s="118"/>
      <c r="AU97" s="118"/>
      <c r="AV97" s="118"/>
      <c r="AW97" s="118"/>
      <c r="AX97" s="118"/>
      <c r="AY97" s="118"/>
      <c r="AZ97" s="118"/>
      <c r="BA97" s="118"/>
      <c r="BB97" s="118"/>
      <c r="BC97" s="118"/>
      <c r="BD97" s="118"/>
      <c r="BE97" s="118"/>
      <c r="BF97" s="118"/>
      <c r="BG97" s="118"/>
      <c r="BH97" s="118"/>
      <c r="BI97" s="118"/>
      <c r="BJ97" s="118"/>
      <c r="BK97" s="118"/>
      <c r="BL97" s="118"/>
      <c r="BM97" s="118"/>
      <c r="BN97" s="118"/>
      <c r="BO97" s="118"/>
      <c r="BP97" s="115"/>
      <c r="BQ97" s="115"/>
      <c r="BR97" s="115"/>
      <c r="BS97" s="115"/>
      <c r="BT97" s="115"/>
      <c r="BU97" s="115"/>
      <c r="BV97" s="115"/>
      <c r="BW97" s="115"/>
      <c r="BX97" s="115"/>
      <c r="BY97" s="115"/>
      <c r="BZ97" s="115"/>
      <c r="CA97" s="115"/>
      <c r="CB97" s="115"/>
      <c r="CC97" s="115"/>
      <c r="CD97" s="115"/>
      <c r="CE97" s="115"/>
      <c r="CF97" s="115"/>
      <c r="CG97" s="115"/>
      <c r="CH97" s="115"/>
      <c r="CI97" s="115"/>
      <c r="CJ97" s="115"/>
      <c r="CK97" s="115"/>
      <c r="CL97" s="115"/>
      <c r="CM97" s="115"/>
      <c r="CN97" s="115"/>
      <c r="CO97" s="115"/>
      <c r="CP97" s="115"/>
      <c r="CQ97" s="115"/>
      <c r="CR97" s="115"/>
      <c r="CS97" s="115"/>
      <c r="CT97" s="115"/>
      <c r="CU97" s="115"/>
      <c r="CV97" s="115"/>
      <c r="CW97" s="115"/>
      <c r="CX97" s="115"/>
      <c r="CY97" s="115"/>
      <c r="CZ97" s="115"/>
      <c r="DA97" s="115">
        <f>+MEDIAN(T97,W97,AA97)</f>
        <v>9000</v>
      </c>
      <c r="DB97" s="115">
        <f>+AVERAGE(T97,W97,AA97)</f>
        <v>8750</v>
      </c>
      <c r="DC97" s="115">
        <f>+STDEV(T97,W97,AA97)</f>
        <v>852.93610546159846</v>
      </c>
      <c r="DD97" s="116">
        <f>DC97/DB97</f>
        <v>9.7478412052754107E-2</v>
      </c>
      <c r="DE97" s="115">
        <v>7352.9411764705883</v>
      </c>
      <c r="DF97" s="115">
        <f t="shared" si="25"/>
        <v>1397.0588235294117</v>
      </c>
      <c r="DG97" s="175">
        <f t="shared" si="26"/>
        <v>8750</v>
      </c>
      <c r="DH97" s="175">
        <f t="shared" si="23"/>
        <v>875000</v>
      </c>
      <c r="DI97" s="117" t="s">
        <v>228</v>
      </c>
    </row>
    <row r="98" spans="1:113" s="28" customFormat="1" ht="30" x14ac:dyDescent="0.25">
      <c r="A98" s="36">
        <v>90</v>
      </c>
      <c r="B98" s="112" t="s">
        <v>70</v>
      </c>
      <c r="C98" s="113" t="s">
        <v>150</v>
      </c>
      <c r="D98" s="114" t="s">
        <v>167</v>
      </c>
      <c r="E98" s="114">
        <v>89</v>
      </c>
      <c r="F98" s="115">
        <v>2521</v>
      </c>
      <c r="G98" s="115">
        <f>+F98*19%</f>
        <v>478.99</v>
      </c>
      <c r="H98" s="115">
        <f>+F98+G98</f>
        <v>2999.99</v>
      </c>
      <c r="I98" s="118"/>
      <c r="J98" s="118"/>
      <c r="K98" s="118"/>
      <c r="L98" s="118"/>
      <c r="M98" s="118"/>
      <c r="N98" s="118"/>
      <c r="O98" s="118"/>
      <c r="P98" s="118"/>
      <c r="Q98" s="118"/>
      <c r="R98" s="115">
        <v>2941.1764705882356</v>
      </c>
      <c r="S98" s="115">
        <f>+R98*19%</f>
        <v>558.82352941176475</v>
      </c>
      <c r="T98" s="115">
        <f>+R98+S98</f>
        <v>3500.0000000000005</v>
      </c>
      <c r="U98" s="118"/>
      <c r="V98" s="118"/>
      <c r="W98" s="118"/>
      <c r="X98" s="118"/>
      <c r="Y98" s="118"/>
      <c r="Z98" s="118"/>
      <c r="AA98" s="118"/>
      <c r="AB98" s="118"/>
      <c r="AC98" s="118"/>
      <c r="AD98" s="118"/>
      <c r="AE98" s="118"/>
      <c r="AF98" s="118"/>
      <c r="AG98" s="118"/>
      <c r="AH98" s="118"/>
      <c r="AI98" s="118"/>
      <c r="AJ98" s="118"/>
      <c r="AK98" s="118"/>
      <c r="AL98" s="118"/>
      <c r="AM98" s="118"/>
      <c r="AN98" s="118"/>
      <c r="AO98" s="118"/>
      <c r="AP98" s="118"/>
      <c r="AQ98" s="118"/>
      <c r="AR98" s="118"/>
      <c r="AS98" s="118"/>
      <c r="AT98" s="118"/>
      <c r="AU98" s="118"/>
      <c r="AV98" s="118"/>
      <c r="AW98" s="118"/>
      <c r="AX98" s="118"/>
      <c r="AY98" s="118"/>
      <c r="AZ98" s="118"/>
      <c r="BA98" s="118"/>
      <c r="BB98" s="118"/>
      <c r="BC98" s="118"/>
      <c r="BD98" s="118"/>
      <c r="BE98" s="118"/>
      <c r="BF98" s="118"/>
      <c r="BG98" s="118"/>
      <c r="BH98" s="118"/>
      <c r="BI98" s="118"/>
      <c r="BJ98" s="118"/>
      <c r="BK98" s="118"/>
      <c r="BL98" s="118"/>
      <c r="BM98" s="118"/>
      <c r="BN98" s="118"/>
      <c r="BO98" s="118"/>
      <c r="BP98" s="115"/>
      <c r="BQ98" s="115"/>
      <c r="BR98" s="115"/>
      <c r="BS98" s="115"/>
      <c r="BT98" s="115"/>
      <c r="BU98" s="115"/>
      <c r="BV98" s="115"/>
      <c r="BW98" s="115"/>
      <c r="BX98" s="115"/>
      <c r="BY98" s="115"/>
      <c r="BZ98" s="115"/>
      <c r="CA98" s="115"/>
      <c r="CB98" s="115"/>
      <c r="CC98" s="115"/>
      <c r="CD98" s="115"/>
      <c r="CE98" s="115"/>
      <c r="CF98" s="115"/>
      <c r="CG98" s="115"/>
      <c r="CH98" s="115"/>
      <c r="CI98" s="115"/>
      <c r="CJ98" s="115"/>
      <c r="CK98" s="115"/>
      <c r="CL98" s="115"/>
      <c r="CM98" s="115"/>
      <c r="CN98" s="115"/>
      <c r="CO98" s="115"/>
      <c r="CP98" s="115"/>
      <c r="CQ98" s="115"/>
      <c r="CR98" s="115"/>
      <c r="CS98" s="115"/>
      <c r="CT98" s="115"/>
      <c r="CU98" s="115"/>
      <c r="CV98" s="115"/>
      <c r="CW98" s="115"/>
      <c r="CX98" s="115"/>
      <c r="CY98" s="115"/>
      <c r="CZ98" s="115"/>
      <c r="DA98" s="115">
        <f>+MEDIAN(H98,T98)</f>
        <v>3249.9949999999999</v>
      </c>
      <c r="DB98" s="115">
        <f>+AVERAGE(H98,T98)</f>
        <v>3249.9949999999999</v>
      </c>
      <c r="DC98" s="115">
        <f>+STDEV(H98,T98)</f>
        <v>353.56046166108609</v>
      </c>
      <c r="DD98" s="116">
        <f t="shared" si="29"/>
        <v>0.10878800172341375</v>
      </c>
      <c r="DE98" s="115">
        <v>2731.09243697479</v>
      </c>
      <c r="DF98" s="115">
        <f t="shared" si="25"/>
        <v>518.90756302521015</v>
      </c>
      <c r="DG98" s="175">
        <f t="shared" si="26"/>
        <v>3250</v>
      </c>
      <c r="DH98" s="175">
        <f t="shared" si="23"/>
        <v>289250</v>
      </c>
      <c r="DI98" s="117" t="s">
        <v>228</v>
      </c>
    </row>
    <row r="99" spans="1:113" s="28" customFormat="1" ht="30" x14ac:dyDescent="0.25">
      <c r="A99" s="36">
        <v>91</v>
      </c>
      <c r="B99" s="112" t="s">
        <v>71</v>
      </c>
      <c r="C99" s="113" t="s">
        <v>151</v>
      </c>
      <c r="D99" s="114" t="s">
        <v>172</v>
      </c>
      <c r="E99" s="114">
        <v>10</v>
      </c>
      <c r="F99" s="115">
        <v>21429</v>
      </c>
      <c r="G99" s="115">
        <f>+F99*19%</f>
        <v>4071.51</v>
      </c>
      <c r="H99" s="115">
        <f>+F99+G99</f>
        <v>25500.510000000002</v>
      </c>
      <c r="I99" s="115">
        <v>18967.226890756305</v>
      </c>
      <c r="J99" s="115">
        <f t="shared" si="28"/>
        <v>3603.7731092436979</v>
      </c>
      <c r="K99" s="115">
        <f>+I99+J99</f>
        <v>22571.000000000004</v>
      </c>
      <c r="L99" s="115">
        <v>18725</v>
      </c>
      <c r="M99" s="115">
        <f t="shared" si="27"/>
        <v>3557.75</v>
      </c>
      <c r="N99" s="115">
        <f>+L99+M99</f>
        <v>22282.75</v>
      </c>
      <c r="O99" s="115"/>
      <c r="P99" s="115"/>
      <c r="Q99" s="115"/>
      <c r="R99" s="115"/>
      <c r="S99" s="115"/>
      <c r="T99" s="115"/>
      <c r="U99" s="115"/>
      <c r="V99" s="115"/>
      <c r="W99" s="115"/>
      <c r="X99" s="115"/>
      <c r="Y99" s="118"/>
      <c r="Z99" s="118"/>
      <c r="AA99" s="118"/>
      <c r="AB99" s="118"/>
      <c r="AC99" s="118"/>
      <c r="AD99" s="118"/>
      <c r="AE99" s="118"/>
      <c r="AF99" s="115"/>
      <c r="AG99" s="115"/>
      <c r="AH99" s="115"/>
      <c r="AI99" s="115"/>
      <c r="AJ99" s="115"/>
      <c r="AK99" s="115"/>
      <c r="AL99" s="115"/>
      <c r="AM99" s="115"/>
      <c r="AN99" s="115"/>
      <c r="AO99" s="115"/>
      <c r="AP99" s="115"/>
      <c r="AQ99" s="118"/>
      <c r="AR99" s="118"/>
      <c r="AS99" s="118"/>
      <c r="AT99" s="118"/>
      <c r="AU99" s="118"/>
      <c r="AV99" s="118"/>
      <c r="AW99" s="118"/>
      <c r="AX99" s="118"/>
      <c r="AY99" s="118"/>
      <c r="AZ99" s="118"/>
      <c r="BA99" s="118"/>
      <c r="BB99" s="118"/>
      <c r="BC99" s="118"/>
      <c r="BD99" s="118"/>
      <c r="BE99" s="118"/>
      <c r="BF99" s="118"/>
      <c r="BG99" s="118"/>
      <c r="BH99" s="118"/>
      <c r="BI99" s="118"/>
      <c r="BJ99" s="118"/>
      <c r="BK99" s="118"/>
      <c r="BL99" s="118"/>
      <c r="BM99" s="118"/>
      <c r="BN99" s="118"/>
      <c r="BO99" s="118"/>
      <c r="BP99" s="115"/>
      <c r="BQ99" s="115"/>
      <c r="BR99" s="115"/>
      <c r="BS99" s="115"/>
      <c r="BT99" s="115"/>
      <c r="BU99" s="115"/>
      <c r="BV99" s="115"/>
      <c r="BW99" s="115"/>
      <c r="BX99" s="115"/>
      <c r="BY99" s="115"/>
      <c r="BZ99" s="115"/>
      <c r="CA99" s="115"/>
      <c r="CB99" s="115"/>
      <c r="CC99" s="115"/>
      <c r="CD99" s="115"/>
      <c r="CE99" s="115"/>
      <c r="CF99" s="115"/>
      <c r="CG99" s="115"/>
      <c r="CH99" s="115"/>
      <c r="CI99" s="115"/>
      <c r="CJ99" s="115"/>
      <c r="CK99" s="115"/>
      <c r="CL99" s="115"/>
      <c r="CM99" s="115"/>
      <c r="CN99" s="115"/>
      <c r="CO99" s="115"/>
      <c r="CP99" s="115"/>
      <c r="CQ99" s="115"/>
      <c r="CR99" s="115"/>
      <c r="CS99" s="115"/>
      <c r="CT99" s="115"/>
      <c r="CU99" s="115"/>
      <c r="CV99" s="115"/>
      <c r="CW99" s="115"/>
      <c r="CX99" s="115"/>
      <c r="CY99" s="115"/>
      <c r="CZ99" s="115"/>
      <c r="DA99" s="115">
        <f>+MEDIAN(H99,K99,N99)</f>
        <v>22571.000000000004</v>
      </c>
      <c r="DB99" s="115">
        <f>+AVERAGE(H99,K99,N99)</f>
        <v>23451.420000000002</v>
      </c>
      <c r="DC99" s="115">
        <f>+STDEV(H99,K99,N99)</f>
        <v>1780.4070845455544</v>
      </c>
      <c r="DD99" s="116">
        <f t="shared" si="29"/>
        <v>7.5918945826971423E-2</v>
      </c>
      <c r="DE99" s="115">
        <v>19707.563025210085</v>
      </c>
      <c r="DF99" s="115">
        <f t="shared" si="25"/>
        <v>3744.4369747899163</v>
      </c>
      <c r="DG99" s="175">
        <f t="shared" si="26"/>
        <v>23452</v>
      </c>
      <c r="DH99" s="175">
        <f t="shared" si="23"/>
        <v>234520</v>
      </c>
      <c r="DI99" s="119" t="s">
        <v>228</v>
      </c>
    </row>
    <row r="100" spans="1:113" s="28" customFormat="1" ht="56.25" customHeight="1" x14ac:dyDescent="0.25">
      <c r="A100" s="36">
        <v>92</v>
      </c>
      <c r="B100" s="112" t="s">
        <v>71</v>
      </c>
      <c r="C100" s="113" t="s">
        <v>152</v>
      </c>
      <c r="D100" s="114" t="s">
        <v>167</v>
      </c>
      <c r="E100" s="114">
        <v>10</v>
      </c>
      <c r="F100" s="115">
        <v>10084</v>
      </c>
      <c r="G100" s="115">
        <f>+F100*19%</f>
        <v>1915.96</v>
      </c>
      <c r="H100" s="115">
        <f>+F100+G100</f>
        <v>11999.96</v>
      </c>
      <c r="I100" s="115">
        <v>5462.1848739495799</v>
      </c>
      <c r="J100" s="115">
        <f t="shared" si="28"/>
        <v>1037.8151260504203</v>
      </c>
      <c r="K100" s="115">
        <f>+I100+J100</f>
        <v>6500</v>
      </c>
      <c r="L100" s="115"/>
      <c r="M100" s="115"/>
      <c r="N100" s="115"/>
      <c r="O100" s="118"/>
      <c r="P100" s="118"/>
      <c r="Q100" s="118"/>
      <c r="R100" s="115"/>
      <c r="S100" s="115"/>
      <c r="T100" s="115"/>
      <c r="U100" s="115"/>
      <c r="V100" s="115"/>
      <c r="W100" s="115"/>
      <c r="X100" s="115"/>
      <c r="Y100" s="115"/>
      <c r="Z100" s="115"/>
      <c r="AA100" s="115"/>
      <c r="AB100" s="115"/>
      <c r="AC100" s="115"/>
      <c r="AD100" s="115"/>
      <c r="AE100" s="118"/>
      <c r="AF100" s="115"/>
      <c r="AG100" s="115"/>
      <c r="AH100" s="115"/>
      <c r="AI100" s="115"/>
      <c r="AJ100" s="115"/>
      <c r="AK100" s="115"/>
      <c r="AL100" s="115"/>
      <c r="AM100" s="115"/>
      <c r="AN100" s="115"/>
      <c r="AO100" s="115"/>
      <c r="AP100" s="115"/>
      <c r="AQ100" s="115"/>
      <c r="AR100" s="115"/>
      <c r="AS100" s="115"/>
      <c r="AT100" s="115"/>
      <c r="AU100" s="115"/>
      <c r="AV100" s="115"/>
      <c r="AW100" s="115"/>
      <c r="AX100" s="115"/>
      <c r="AY100" s="115"/>
      <c r="AZ100" s="115"/>
      <c r="BA100" s="115"/>
      <c r="BB100" s="115"/>
      <c r="BC100" s="115"/>
      <c r="BD100" s="115"/>
      <c r="BE100" s="115"/>
      <c r="BF100" s="115"/>
      <c r="BG100" s="115"/>
      <c r="BH100" s="115"/>
      <c r="BI100" s="115"/>
      <c r="BJ100" s="115"/>
      <c r="BK100" s="115"/>
      <c r="BL100" s="115"/>
      <c r="BM100" s="115"/>
      <c r="BN100" s="115"/>
      <c r="BO100" s="115"/>
      <c r="BP100" s="115"/>
      <c r="BQ100" s="115"/>
      <c r="BR100" s="115"/>
      <c r="BS100" s="115"/>
      <c r="BT100" s="115"/>
      <c r="BU100" s="115"/>
      <c r="BV100" s="115"/>
      <c r="BW100" s="115"/>
      <c r="BX100" s="115"/>
      <c r="BY100" s="115"/>
      <c r="BZ100" s="115"/>
      <c r="CA100" s="115"/>
      <c r="CB100" s="115"/>
      <c r="CC100" s="115"/>
      <c r="CD100" s="115"/>
      <c r="CE100" s="115"/>
      <c r="CF100" s="115"/>
      <c r="CG100" s="115"/>
      <c r="CH100" s="115"/>
      <c r="CI100" s="115"/>
      <c r="CJ100" s="115"/>
      <c r="CK100" s="115"/>
      <c r="CL100" s="115"/>
      <c r="CM100" s="115"/>
      <c r="CN100" s="115"/>
      <c r="CO100" s="115"/>
      <c r="CP100" s="115"/>
      <c r="CQ100" s="115"/>
      <c r="CR100" s="115"/>
      <c r="CS100" s="115"/>
      <c r="CT100" s="115"/>
      <c r="CU100" s="115"/>
      <c r="CV100" s="115"/>
      <c r="CW100" s="115"/>
      <c r="CX100" s="115">
        <f>10600/1.19</f>
        <v>8907.5630252100837</v>
      </c>
      <c r="CY100" s="115">
        <f>+CX100*0.19</f>
        <v>1692.4369747899159</v>
      </c>
      <c r="CZ100" s="115">
        <f>+CX100+CY100</f>
        <v>10600</v>
      </c>
      <c r="DA100" s="115">
        <f>+MEDIAN(H100,K100,CZ100)</f>
        <v>10600</v>
      </c>
      <c r="DB100" s="115">
        <f>+AVERAGE(H100,K100,CZ100)</f>
        <v>9699.9866666666658</v>
      </c>
      <c r="DC100" s="115">
        <f>+STDEV(H100,K100,CZ100)</f>
        <v>2858.3050922764251</v>
      </c>
      <c r="DD100" s="116">
        <f t="shared" si="29"/>
        <v>0.29467103311582821</v>
      </c>
      <c r="DE100" s="115">
        <v>8907.5630252100837</v>
      </c>
      <c r="DF100" s="115">
        <f>+DE100*19%</f>
        <v>1692.4369747899159</v>
      </c>
      <c r="DG100" s="175">
        <f>+ROUNDUP(IF(DD100&lt;15%,DB100,DA100),0)</f>
        <v>10600</v>
      </c>
      <c r="DH100" s="175">
        <f t="shared" si="23"/>
        <v>106000</v>
      </c>
      <c r="DI100" s="119" t="s">
        <v>227</v>
      </c>
    </row>
    <row r="101" spans="1:113" s="28" customFormat="1" ht="30" x14ac:dyDescent="0.25">
      <c r="A101" s="36">
        <v>93</v>
      </c>
      <c r="B101" s="112" t="s">
        <v>72</v>
      </c>
      <c r="C101" s="113" t="s">
        <v>153</v>
      </c>
      <c r="D101" s="114" t="s">
        <v>166</v>
      </c>
      <c r="E101" s="114">
        <v>23</v>
      </c>
      <c r="F101" s="118"/>
      <c r="G101" s="118"/>
      <c r="H101" s="118"/>
      <c r="I101" s="115">
        <v>6386.5546218487398</v>
      </c>
      <c r="J101" s="115">
        <f t="shared" si="28"/>
        <v>1213.4453781512607</v>
      </c>
      <c r="K101" s="115">
        <f>+I101+J101</f>
        <v>7600</v>
      </c>
      <c r="L101" s="115">
        <v>6400</v>
      </c>
      <c r="M101" s="115">
        <f t="shared" si="27"/>
        <v>1216</v>
      </c>
      <c r="N101" s="115">
        <f>+L101+M101</f>
        <v>7616</v>
      </c>
      <c r="O101" s="118"/>
      <c r="P101" s="118"/>
      <c r="Q101" s="118"/>
      <c r="R101" s="118"/>
      <c r="S101" s="118"/>
      <c r="T101" s="118"/>
      <c r="U101" s="118"/>
      <c r="V101" s="118"/>
      <c r="W101" s="11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118"/>
      <c r="AW101" s="118"/>
      <c r="AX101" s="118"/>
      <c r="AY101" s="118"/>
      <c r="AZ101" s="118"/>
      <c r="BA101" s="118"/>
      <c r="BB101" s="118"/>
      <c r="BC101" s="118"/>
      <c r="BD101" s="118"/>
      <c r="BE101" s="118"/>
      <c r="BF101" s="118"/>
      <c r="BG101" s="118"/>
      <c r="BH101" s="118"/>
      <c r="BI101" s="118"/>
      <c r="BJ101" s="118"/>
      <c r="BK101" s="118"/>
      <c r="BL101" s="118"/>
      <c r="BM101" s="118"/>
      <c r="BN101" s="118"/>
      <c r="BO101" s="118"/>
      <c r="BP101" s="118"/>
      <c r="BQ101" s="118"/>
      <c r="BR101" s="118"/>
      <c r="BS101" s="118"/>
      <c r="BT101" s="118"/>
      <c r="BU101" s="118"/>
      <c r="BV101" s="118"/>
      <c r="BW101" s="118"/>
      <c r="BX101" s="115"/>
      <c r="BY101" s="115"/>
      <c r="BZ101" s="115"/>
      <c r="CA101" s="115"/>
      <c r="CB101" s="115"/>
      <c r="CC101" s="115"/>
      <c r="CD101" s="115"/>
      <c r="CE101" s="115"/>
      <c r="CF101" s="115"/>
      <c r="CG101" s="115"/>
      <c r="CH101" s="115"/>
      <c r="CI101" s="115"/>
      <c r="CJ101" s="115"/>
      <c r="CK101" s="115"/>
      <c r="CL101" s="115"/>
      <c r="CM101" s="115"/>
      <c r="CN101" s="115"/>
      <c r="CO101" s="115"/>
      <c r="CP101" s="115"/>
      <c r="CQ101" s="115"/>
      <c r="CR101" s="115"/>
      <c r="CS101" s="115"/>
      <c r="CT101" s="115"/>
      <c r="CU101" s="115"/>
      <c r="CV101" s="115"/>
      <c r="CW101" s="115"/>
      <c r="CX101" s="115"/>
      <c r="CY101" s="115"/>
      <c r="CZ101" s="115"/>
      <c r="DA101" s="115">
        <f>+MEDIAN(K101,N101)</f>
        <v>7608</v>
      </c>
      <c r="DB101" s="115">
        <f>+AVERAGE(K101,N101)</f>
        <v>7608</v>
      </c>
      <c r="DC101" s="115">
        <f>+STDEV(K101,N101)</f>
        <v>11.313708498984761</v>
      </c>
      <c r="DD101" s="116">
        <f t="shared" si="29"/>
        <v>1.4870805072272294E-3</v>
      </c>
      <c r="DE101" s="115">
        <v>6393.2773109243699</v>
      </c>
      <c r="DF101" s="115">
        <f t="shared" si="25"/>
        <v>1214.7226890756303</v>
      </c>
      <c r="DG101" s="175">
        <f t="shared" si="26"/>
        <v>7608</v>
      </c>
      <c r="DH101" s="175">
        <f t="shared" si="23"/>
        <v>174984</v>
      </c>
      <c r="DI101" s="119" t="s">
        <v>228</v>
      </c>
    </row>
    <row r="102" spans="1:113" s="28" customFormat="1" ht="30" x14ac:dyDescent="0.25">
      <c r="A102" s="36">
        <v>94</v>
      </c>
      <c r="B102" s="112" t="s">
        <v>73</v>
      </c>
      <c r="C102" s="113" t="s">
        <v>154</v>
      </c>
      <c r="D102" s="114" t="s">
        <v>168</v>
      </c>
      <c r="E102" s="114">
        <v>562</v>
      </c>
      <c r="F102" s="115">
        <v>9244</v>
      </c>
      <c r="G102" s="115">
        <f>+F102*19%</f>
        <v>1756.3600000000001</v>
      </c>
      <c r="H102" s="115">
        <f>+F102+G102</f>
        <v>11000.36</v>
      </c>
      <c r="I102" s="118"/>
      <c r="J102" s="118"/>
      <c r="K102" s="118"/>
      <c r="L102" s="115">
        <v>12800</v>
      </c>
      <c r="M102" s="115">
        <f t="shared" si="27"/>
        <v>2432</v>
      </c>
      <c r="N102" s="115">
        <f>+L102+M102</f>
        <v>15232</v>
      </c>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c r="BU102" s="118"/>
      <c r="BV102" s="118"/>
      <c r="BW102" s="118"/>
      <c r="BX102" s="115"/>
      <c r="BY102" s="115"/>
      <c r="BZ102" s="115"/>
      <c r="CA102" s="115"/>
      <c r="CB102" s="115"/>
      <c r="CC102" s="115"/>
      <c r="CD102" s="115"/>
      <c r="CE102" s="115"/>
      <c r="CF102" s="115"/>
      <c r="CG102" s="115"/>
      <c r="CH102" s="115"/>
      <c r="CI102" s="115"/>
      <c r="CJ102" s="115"/>
      <c r="CK102" s="115"/>
      <c r="CL102" s="115"/>
      <c r="CM102" s="115"/>
      <c r="CN102" s="115"/>
      <c r="CO102" s="115"/>
      <c r="CP102" s="115"/>
      <c r="CQ102" s="115"/>
      <c r="CR102" s="115"/>
      <c r="CS102" s="115"/>
      <c r="CT102" s="115"/>
      <c r="CU102" s="115"/>
      <c r="CV102" s="115"/>
      <c r="CW102" s="115"/>
      <c r="CX102" s="115"/>
      <c r="CY102" s="115"/>
      <c r="CZ102" s="115"/>
      <c r="DA102" s="115">
        <f>+MEDIAN(H102,N102)</f>
        <v>13116.18</v>
      </c>
      <c r="DB102" s="115">
        <f>+AVERAGE(H102,N102)</f>
        <v>13116.18</v>
      </c>
      <c r="DC102" s="115">
        <f>+STDEV(H102,N102)</f>
        <v>2992.2213395402491</v>
      </c>
      <c r="DD102" s="116">
        <f t="shared" si="29"/>
        <v>0.22813207348025485</v>
      </c>
      <c r="DE102" s="115">
        <v>11022.689075630253</v>
      </c>
      <c r="DF102" s="115">
        <f t="shared" si="25"/>
        <v>2094.3109243697481</v>
      </c>
      <c r="DG102" s="175">
        <f t="shared" si="26"/>
        <v>13117</v>
      </c>
      <c r="DH102" s="175">
        <f t="shared" si="23"/>
        <v>7371754</v>
      </c>
      <c r="DI102" s="119" t="s">
        <v>227</v>
      </c>
    </row>
    <row r="103" spans="1:113" s="28" customFormat="1" ht="45" x14ac:dyDescent="0.25">
      <c r="A103" s="36">
        <v>95</v>
      </c>
      <c r="B103" s="112" t="s">
        <v>75</v>
      </c>
      <c r="C103" s="113" t="s">
        <v>156</v>
      </c>
      <c r="D103" s="114" t="s">
        <v>167</v>
      </c>
      <c r="E103" s="114">
        <f>216+123</f>
        <v>339</v>
      </c>
      <c r="F103" s="115"/>
      <c r="G103" s="115"/>
      <c r="H103" s="115"/>
      <c r="I103" s="115">
        <v>3781.5126050420172</v>
      </c>
      <c r="J103" s="115">
        <f t="shared" si="28"/>
        <v>718.48739495798327</v>
      </c>
      <c r="K103" s="115">
        <f>+I103+J103</f>
        <v>4500</v>
      </c>
      <c r="L103" s="115">
        <v>4104</v>
      </c>
      <c r="M103" s="115">
        <f t="shared" si="27"/>
        <v>779.76</v>
      </c>
      <c r="N103" s="115">
        <f>+L103+M103</f>
        <v>4883.76</v>
      </c>
      <c r="O103" s="118"/>
      <c r="P103" s="118"/>
      <c r="Q103" s="118"/>
      <c r="R103" s="115"/>
      <c r="S103" s="115"/>
      <c r="T103" s="121"/>
      <c r="U103" s="118"/>
      <c r="V103" s="118"/>
      <c r="W103" s="118"/>
      <c r="X103" s="118"/>
      <c r="Y103" s="118"/>
      <c r="Z103" s="118"/>
      <c r="AA103" s="118"/>
      <c r="AB103" s="118"/>
      <c r="AC103" s="118"/>
      <c r="AD103" s="118"/>
      <c r="AE103" s="118"/>
      <c r="AF103" s="118"/>
      <c r="AG103" s="118"/>
      <c r="AH103" s="118"/>
      <c r="AI103" s="118"/>
      <c r="AJ103" s="118"/>
      <c r="AK103" s="118"/>
      <c r="AL103" s="118"/>
      <c r="AM103" s="118"/>
      <c r="AN103" s="118"/>
      <c r="AO103" s="118"/>
      <c r="AP103" s="118"/>
      <c r="AQ103" s="118"/>
      <c r="AR103" s="118"/>
      <c r="AS103" s="118"/>
      <c r="AT103" s="118"/>
      <c r="AU103" s="118"/>
      <c r="AV103" s="118"/>
      <c r="AW103" s="118"/>
      <c r="AX103" s="118"/>
      <c r="AY103" s="118"/>
      <c r="AZ103" s="118"/>
      <c r="BA103" s="118"/>
      <c r="BB103" s="118"/>
      <c r="BC103" s="118"/>
      <c r="BD103" s="118"/>
      <c r="BE103" s="118"/>
      <c r="BF103" s="118"/>
      <c r="BG103" s="118"/>
      <c r="BH103" s="118"/>
      <c r="BI103" s="118"/>
      <c r="BJ103" s="118"/>
      <c r="BK103" s="118"/>
      <c r="BL103" s="118"/>
      <c r="BM103" s="118"/>
      <c r="BN103" s="118"/>
      <c r="BO103" s="118"/>
      <c r="BP103" s="118"/>
      <c r="BQ103" s="118"/>
      <c r="BR103" s="118"/>
      <c r="BS103" s="118"/>
      <c r="BT103" s="118"/>
      <c r="BU103" s="118"/>
      <c r="BV103" s="118"/>
      <c r="BW103" s="118"/>
      <c r="BX103" s="115"/>
      <c r="BY103" s="115"/>
      <c r="BZ103" s="115"/>
      <c r="CA103" s="115"/>
      <c r="CB103" s="115"/>
      <c r="CC103" s="115"/>
      <c r="CD103" s="115"/>
      <c r="CE103" s="115"/>
      <c r="CF103" s="115"/>
      <c r="CG103" s="115"/>
      <c r="CH103" s="115"/>
      <c r="CI103" s="115"/>
      <c r="CJ103" s="115"/>
      <c r="CK103" s="115"/>
      <c r="CL103" s="115"/>
      <c r="CM103" s="115"/>
      <c r="CN103" s="115"/>
      <c r="CO103" s="115"/>
      <c r="CP103" s="115"/>
      <c r="CQ103" s="115"/>
      <c r="CR103" s="115"/>
      <c r="CS103" s="115"/>
      <c r="CT103" s="115"/>
      <c r="CU103" s="115"/>
      <c r="CV103" s="115"/>
      <c r="CW103" s="115"/>
      <c r="CX103" s="115"/>
      <c r="CY103" s="115"/>
      <c r="CZ103" s="115"/>
      <c r="DA103" s="115">
        <f>+MEDIAN(K103,N103)</f>
        <v>4691.88</v>
      </c>
      <c r="DB103" s="115">
        <f>+AVERAGE(K103,N103)</f>
        <v>4691.88</v>
      </c>
      <c r="DC103" s="115">
        <f>+STDEV(K103,N103)</f>
        <v>271.35929834814965</v>
      </c>
      <c r="DD103" s="116">
        <f t="shared" si="29"/>
        <v>5.7835941743639999E-2</v>
      </c>
      <c r="DE103" s="115">
        <v>3942.8571428571431</v>
      </c>
      <c r="DF103" s="115">
        <f t="shared" si="25"/>
        <v>749.14285714285722</v>
      </c>
      <c r="DG103" s="175">
        <f t="shared" si="26"/>
        <v>4692</v>
      </c>
      <c r="DH103" s="175">
        <f t="shared" si="23"/>
        <v>1590588</v>
      </c>
      <c r="DI103" s="119" t="s">
        <v>228</v>
      </c>
    </row>
    <row r="104" spans="1:113" s="28" customFormat="1" ht="126" customHeight="1" x14ac:dyDescent="0.25">
      <c r="A104" s="36">
        <v>96</v>
      </c>
      <c r="B104" s="112" t="s">
        <v>76</v>
      </c>
      <c r="C104" s="113" t="s">
        <v>157</v>
      </c>
      <c r="D104" s="114" t="s">
        <v>167</v>
      </c>
      <c r="E104" s="114">
        <v>6</v>
      </c>
      <c r="F104" s="115"/>
      <c r="G104" s="115"/>
      <c r="H104" s="115"/>
      <c r="I104" s="115"/>
      <c r="J104" s="115"/>
      <c r="K104" s="115"/>
      <c r="L104" s="115"/>
      <c r="M104" s="115"/>
      <c r="N104" s="115"/>
      <c r="O104" s="118"/>
      <c r="P104" s="118"/>
      <c r="Q104" s="118"/>
      <c r="R104" s="115"/>
      <c r="S104" s="115"/>
      <c r="T104" s="115"/>
      <c r="U104" s="118"/>
      <c r="V104" s="118"/>
      <c r="W104" s="118"/>
      <c r="X104" s="118"/>
      <c r="Y104" s="118"/>
      <c r="Z104" s="118"/>
      <c r="AA104" s="118"/>
      <c r="AB104" s="118"/>
      <c r="AC104" s="118"/>
      <c r="AD104" s="118"/>
      <c r="AE104" s="118"/>
      <c r="AF104" s="118"/>
      <c r="AG104" s="118"/>
      <c r="AH104" s="118"/>
      <c r="AI104" s="118"/>
      <c r="AJ104" s="118"/>
      <c r="AK104" s="118"/>
      <c r="AL104" s="118"/>
      <c r="AM104" s="118"/>
      <c r="AN104" s="118"/>
      <c r="AO104" s="118">
        <f>56000/1.19</f>
        <v>47058.823529411769</v>
      </c>
      <c r="AP104" s="118">
        <f>+AO104*0.19</f>
        <v>8941.176470588236</v>
      </c>
      <c r="AQ104" s="118">
        <f>+AO104+AP104</f>
        <v>56000.000000000007</v>
      </c>
      <c r="AR104" s="115">
        <f>+AQ104*15%</f>
        <v>8400</v>
      </c>
      <c r="AS104" s="115">
        <f>+AQ104+AR104</f>
        <v>64400.000000000007</v>
      </c>
      <c r="AT104" s="115"/>
      <c r="AU104" s="115"/>
      <c r="AV104" s="115"/>
      <c r="AW104" s="115"/>
      <c r="AX104" s="115"/>
      <c r="AY104" s="115"/>
      <c r="AZ104" s="115"/>
      <c r="BA104" s="115"/>
      <c r="BB104" s="115"/>
      <c r="BC104" s="115"/>
      <c r="BD104" s="118"/>
      <c r="BE104" s="118"/>
      <c r="BF104" s="118"/>
      <c r="BG104" s="118"/>
      <c r="BH104" s="118"/>
      <c r="BI104" s="118"/>
      <c r="BJ104" s="118"/>
      <c r="BK104" s="118"/>
      <c r="BL104" s="118"/>
      <c r="BM104" s="118"/>
      <c r="BN104" s="118"/>
      <c r="BO104" s="118"/>
      <c r="BP104" s="118"/>
      <c r="BQ104" s="118"/>
      <c r="BR104" s="118"/>
      <c r="BS104" s="118"/>
      <c r="BT104" s="118"/>
      <c r="BU104" s="118"/>
      <c r="BV104" s="118"/>
      <c r="BW104" s="118"/>
      <c r="BX104" s="115"/>
      <c r="BY104" s="115"/>
      <c r="BZ104" s="115"/>
      <c r="CA104" s="115"/>
      <c r="CB104" s="115"/>
      <c r="CC104" s="115"/>
      <c r="CD104" s="115"/>
      <c r="CE104" s="115"/>
      <c r="CF104" s="115"/>
      <c r="CG104" s="115"/>
      <c r="CH104" s="115"/>
      <c r="CI104" s="115"/>
      <c r="CJ104" s="115"/>
      <c r="CK104" s="115"/>
      <c r="CL104" s="115"/>
      <c r="CM104" s="115"/>
      <c r="CN104" s="115"/>
      <c r="CO104" s="115"/>
      <c r="CP104" s="115"/>
      <c r="CQ104" s="115"/>
      <c r="CR104" s="115"/>
      <c r="CS104" s="115">
        <f>49900/1.19</f>
        <v>41932.773109243702</v>
      </c>
      <c r="CT104" s="115">
        <f>+CS104*19%</f>
        <v>7967.2268907563039</v>
      </c>
      <c r="CU104" s="115">
        <f>+CS104+CT104</f>
        <v>49900.000000000007</v>
      </c>
      <c r="CV104" s="115">
        <f>+CU104*15%</f>
        <v>7485.0000000000009</v>
      </c>
      <c r="CW104" s="115">
        <f>+CU104+CV104</f>
        <v>57385.000000000007</v>
      </c>
      <c r="CX104" s="115"/>
      <c r="CY104" s="115"/>
      <c r="CZ104" s="115"/>
      <c r="DA104" s="115">
        <f>+MEDIAN(AS104,CW104)</f>
        <v>60892.500000000007</v>
      </c>
      <c r="DB104" s="115">
        <f>+AVERAGE(AS104,CW104)</f>
        <v>60892.500000000007</v>
      </c>
      <c r="DC104" s="115">
        <f>+STDEV(AS104,CW104)</f>
        <v>4960.3540700236308</v>
      </c>
      <c r="DD104" s="116">
        <f>+DC104/DB104</f>
        <v>8.1460837870404895E-2</v>
      </c>
      <c r="DE104" s="115">
        <v>51170.588235294119</v>
      </c>
      <c r="DF104" s="115">
        <f>+DE104*19%</f>
        <v>9722.4117647058829</v>
      </c>
      <c r="DG104" s="175">
        <f>+ROUNDUP(IF(DD104&lt;15%,DB104,DA104),0)</f>
        <v>60893</v>
      </c>
      <c r="DH104" s="175">
        <f t="shared" si="23"/>
        <v>365358</v>
      </c>
      <c r="DI104" s="119" t="s">
        <v>228</v>
      </c>
    </row>
    <row r="105" spans="1:113" s="28" customFormat="1" ht="30" x14ac:dyDescent="0.25">
      <c r="A105" s="36">
        <v>97</v>
      </c>
      <c r="B105" s="112" t="s">
        <v>77</v>
      </c>
      <c r="C105" s="113" t="s">
        <v>158</v>
      </c>
      <c r="D105" s="114" t="s">
        <v>167</v>
      </c>
      <c r="E105" s="114">
        <v>13</v>
      </c>
      <c r="F105" s="115"/>
      <c r="G105" s="115"/>
      <c r="H105" s="115"/>
      <c r="I105" s="115"/>
      <c r="J105" s="115"/>
      <c r="K105" s="115"/>
      <c r="L105" s="115"/>
      <c r="M105" s="115"/>
      <c r="N105" s="115"/>
      <c r="O105" s="118"/>
      <c r="P105" s="118"/>
      <c r="Q105" s="118"/>
      <c r="R105" s="115">
        <v>126050.42016806723</v>
      </c>
      <c r="S105" s="115">
        <f>+R105*19%</f>
        <v>23949.579831932773</v>
      </c>
      <c r="T105" s="115">
        <f>+R105+S105</f>
        <v>150000</v>
      </c>
      <c r="U105" s="118">
        <v>180672.26890756303</v>
      </c>
      <c r="V105" s="118">
        <f>+U105*0.19</f>
        <v>34327.731092436974</v>
      </c>
      <c r="W105" s="118">
        <f>+U105+V105</f>
        <v>215000</v>
      </c>
      <c r="X105" s="118"/>
      <c r="Y105" s="118">
        <v>110924.36974789917</v>
      </c>
      <c r="Z105" s="118">
        <f>+Y105*0.19</f>
        <v>21075.630252100844</v>
      </c>
      <c r="AA105" s="118">
        <f t="shared" ref="AA105:AA111" si="30">+Y105+Z105</f>
        <v>132000</v>
      </c>
      <c r="AB105" s="118"/>
      <c r="AC105" s="118"/>
      <c r="AD105" s="118"/>
      <c r="AE105" s="118"/>
      <c r="AF105" s="118"/>
      <c r="AG105" s="118"/>
      <c r="AH105" s="118"/>
      <c r="AI105" s="118"/>
      <c r="AJ105" s="118"/>
      <c r="AK105" s="118"/>
      <c r="AL105" s="118"/>
      <c r="AM105" s="118"/>
      <c r="AN105" s="118"/>
      <c r="AO105" s="118"/>
      <c r="AP105" s="118"/>
      <c r="AQ105" s="118"/>
      <c r="AR105" s="118"/>
      <c r="AS105" s="118"/>
      <c r="AT105" s="118"/>
      <c r="AU105" s="118"/>
      <c r="AV105" s="118"/>
      <c r="AW105" s="118"/>
      <c r="AX105" s="118"/>
      <c r="AY105" s="118"/>
      <c r="AZ105" s="118"/>
      <c r="BA105" s="118"/>
      <c r="BB105" s="118"/>
      <c r="BC105" s="118"/>
      <c r="BD105" s="118"/>
      <c r="BE105" s="118"/>
      <c r="BF105" s="118"/>
      <c r="BG105" s="118"/>
      <c r="BH105" s="118"/>
      <c r="BI105" s="118"/>
      <c r="BJ105" s="118"/>
      <c r="BK105" s="118"/>
      <c r="BL105" s="118"/>
      <c r="BM105" s="118"/>
      <c r="BN105" s="118"/>
      <c r="BO105" s="118"/>
      <c r="BP105" s="118"/>
      <c r="BQ105" s="118"/>
      <c r="BR105" s="118"/>
      <c r="BS105" s="118"/>
      <c r="BT105" s="118"/>
      <c r="BU105" s="118"/>
      <c r="BV105" s="118"/>
      <c r="BW105" s="118"/>
      <c r="BX105" s="115"/>
      <c r="BY105" s="115"/>
      <c r="BZ105" s="115"/>
      <c r="CA105" s="115"/>
      <c r="CB105" s="115"/>
      <c r="CC105" s="115"/>
      <c r="CD105" s="115"/>
      <c r="CE105" s="115"/>
      <c r="CF105" s="115"/>
      <c r="CG105" s="115"/>
      <c r="CH105" s="115"/>
      <c r="CI105" s="115"/>
      <c r="CJ105" s="115"/>
      <c r="CK105" s="115"/>
      <c r="CL105" s="115"/>
      <c r="CM105" s="115"/>
      <c r="CN105" s="115"/>
      <c r="CO105" s="115"/>
      <c r="CP105" s="115"/>
      <c r="CQ105" s="115"/>
      <c r="CR105" s="115"/>
      <c r="CS105" s="115"/>
      <c r="CT105" s="115"/>
      <c r="CU105" s="115"/>
      <c r="CV105" s="115"/>
      <c r="CW105" s="115"/>
      <c r="CX105" s="115"/>
      <c r="CY105" s="115"/>
      <c r="CZ105" s="115"/>
      <c r="DA105" s="115">
        <f>+MEDIAN(T105,W105,AA105)</f>
        <v>150000</v>
      </c>
      <c r="DB105" s="115">
        <f>+AVERAGE(T105,W105,AA105)</f>
        <v>165666.66666666666</v>
      </c>
      <c r="DC105" s="115">
        <f>+STDEV(T105,W105,AA105)</f>
        <v>43661.577311560053</v>
      </c>
      <c r="DD105" s="116">
        <f t="shared" ref="DD105:DD113" si="31">DC105/DB105</f>
        <v>0.26355076848024178</v>
      </c>
      <c r="DE105" s="115">
        <v>126050.42016806723</v>
      </c>
      <c r="DF105" s="115">
        <f t="shared" si="25"/>
        <v>23949.579831932773</v>
      </c>
      <c r="DG105" s="175">
        <f t="shared" si="26"/>
        <v>150000</v>
      </c>
      <c r="DH105" s="175">
        <f t="shared" ref="DH105:DH115" si="32">+DG105*E105</f>
        <v>1950000</v>
      </c>
      <c r="DI105" s="117" t="s">
        <v>227</v>
      </c>
    </row>
    <row r="106" spans="1:113" s="28" customFormat="1" ht="103.5" customHeight="1" x14ac:dyDescent="0.25">
      <c r="A106" s="36">
        <v>98</v>
      </c>
      <c r="B106" s="112" t="s">
        <v>78</v>
      </c>
      <c r="C106" s="113" t="s">
        <v>159</v>
      </c>
      <c r="D106" s="114" t="s">
        <v>167</v>
      </c>
      <c r="E106" s="114">
        <v>21</v>
      </c>
      <c r="F106" s="115">
        <v>142857</v>
      </c>
      <c r="G106" s="115">
        <f>+F106*19%</f>
        <v>27142.83</v>
      </c>
      <c r="H106" s="115">
        <f>+F106+G106</f>
        <v>169999.83000000002</v>
      </c>
      <c r="I106" s="115"/>
      <c r="J106" s="115"/>
      <c r="K106" s="115"/>
      <c r="L106" s="115">
        <v>139079</v>
      </c>
      <c r="M106" s="115">
        <f t="shared" si="27"/>
        <v>26425.010000000002</v>
      </c>
      <c r="N106" s="115">
        <f t="shared" ref="N106:N112" si="33">+L106+M106</f>
        <v>165504.01</v>
      </c>
      <c r="O106" s="118"/>
      <c r="P106" s="118"/>
      <c r="Q106" s="118"/>
      <c r="R106" s="118"/>
      <c r="S106" s="118"/>
      <c r="T106" s="118"/>
      <c r="U106" s="118"/>
      <c r="V106" s="118"/>
      <c r="W106" s="118"/>
      <c r="X106" s="118"/>
      <c r="Y106" s="118"/>
      <c r="Z106" s="118"/>
      <c r="AA106" s="118"/>
      <c r="AB106" s="118"/>
      <c r="AC106" s="118"/>
      <c r="AD106" s="118"/>
      <c r="AE106" s="118"/>
      <c r="AF106" s="118"/>
      <c r="AG106" s="118"/>
      <c r="AH106" s="118"/>
      <c r="AI106" s="118"/>
      <c r="AJ106" s="118"/>
      <c r="AK106" s="118"/>
      <c r="AL106" s="118"/>
      <c r="AM106" s="118"/>
      <c r="AN106" s="118"/>
      <c r="AO106" s="118"/>
      <c r="AP106" s="118"/>
      <c r="AQ106" s="118"/>
      <c r="AR106" s="118"/>
      <c r="AS106" s="118"/>
      <c r="AT106" s="118"/>
      <c r="AU106" s="118"/>
      <c r="AV106" s="118"/>
      <c r="AW106" s="118"/>
      <c r="AX106" s="118"/>
      <c r="AY106" s="118"/>
      <c r="AZ106" s="118"/>
      <c r="BA106" s="118"/>
      <c r="BB106" s="118"/>
      <c r="BC106" s="118"/>
      <c r="BD106" s="118"/>
      <c r="BE106" s="118"/>
      <c r="BF106" s="118"/>
      <c r="BG106" s="118"/>
      <c r="BH106" s="118"/>
      <c r="BI106" s="118"/>
      <c r="BJ106" s="118"/>
      <c r="BK106" s="118"/>
      <c r="BL106" s="118"/>
      <c r="BM106" s="118"/>
      <c r="BN106" s="118"/>
      <c r="BO106" s="118"/>
      <c r="BP106" s="118"/>
      <c r="BQ106" s="118"/>
      <c r="BR106" s="118"/>
      <c r="BS106" s="118"/>
      <c r="BT106" s="118"/>
      <c r="BU106" s="118"/>
      <c r="BV106" s="118"/>
      <c r="BW106" s="118"/>
      <c r="BX106" s="115"/>
      <c r="BY106" s="115"/>
      <c r="BZ106" s="115"/>
      <c r="CA106" s="115"/>
      <c r="CB106" s="115"/>
      <c r="CC106" s="115"/>
      <c r="CD106" s="115"/>
      <c r="CE106" s="115"/>
      <c r="CF106" s="115"/>
      <c r="CG106" s="115"/>
      <c r="CH106" s="115"/>
      <c r="CI106" s="115"/>
      <c r="CJ106" s="115"/>
      <c r="CK106" s="115"/>
      <c r="CL106" s="115"/>
      <c r="CM106" s="115"/>
      <c r="CN106" s="115"/>
      <c r="CO106" s="115"/>
      <c r="CP106" s="115"/>
      <c r="CQ106" s="115"/>
      <c r="CR106" s="115"/>
      <c r="CS106" s="115"/>
      <c r="CT106" s="115"/>
      <c r="CU106" s="115"/>
      <c r="CV106" s="115"/>
      <c r="CW106" s="115"/>
      <c r="CX106" s="115"/>
      <c r="CY106" s="115"/>
      <c r="CZ106" s="115"/>
      <c r="DA106" s="115">
        <f>+MEDIAN(H106,N106)</f>
        <v>167751.92000000001</v>
      </c>
      <c r="DB106" s="115">
        <f>+AVERAGE(H106,N106)</f>
        <v>167751.92000000001</v>
      </c>
      <c r="DC106" s="115">
        <f>+STDEV(H106,N106)</f>
        <v>3179.0248089941088</v>
      </c>
      <c r="DD106" s="116">
        <f t="shared" si="31"/>
        <v>1.8950750662013936E-2</v>
      </c>
      <c r="DE106" s="115">
        <v>140968.06722689077</v>
      </c>
      <c r="DF106" s="115">
        <f t="shared" si="25"/>
        <v>26783.932773109245</v>
      </c>
      <c r="DG106" s="175">
        <f t="shared" si="26"/>
        <v>167752</v>
      </c>
      <c r="DH106" s="175">
        <f t="shared" si="32"/>
        <v>3522792</v>
      </c>
      <c r="DI106" s="119" t="s">
        <v>228</v>
      </c>
    </row>
    <row r="107" spans="1:113" s="28" customFormat="1" ht="56.25" customHeight="1" x14ac:dyDescent="0.25">
      <c r="A107" s="36">
        <v>99</v>
      </c>
      <c r="B107" s="112" t="s">
        <v>78</v>
      </c>
      <c r="C107" s="113" t="s">
        <v>160</v>
      </c>
      <c r="D107" s="114" t="s">
        <v>167</v>
      </c>
      <c r="E107" s="114">
        <v>6</v>
      </c>
      <c r="F107" s="115"/>
      <c r="G107" s="115"/>
      <c r="H107" s="115"/>
      <c r="I107" s="115"/>
      <c r="J107" s="115"/>
      <c r="K107" s="115"/>
      <c r="L107" s="115">
        <v>96704</v>
      </c>
      <c r="M107" s="115">
        <f t="shared" si="27"/>
        <v>18373.759999999998</v>
      </c>
      <c r="N107" s="115">
        <f t="shared" si="33"/>
        <v>115077.75999999999</v>
      </c>
      <c r="O107" s="118"/>
      <c r="P107" s="118"/>
      <c r="Q107" s="118"/>
      <c r="R107" s="118"/>
      <c r="S107" s="118"/>
      <c r="T107" s="118"/>
      <c r="U107" s="118"/>
      <c r="V107" s="118"/>
      <c r="W107" s="118"/>
      <c r="X107" s="118"/>
      <c r="Y107" s="118">
        <f>132000/1.19</f>
        <v>110924.36974789917</v>
      </c>
      <c r="Z107" s="118">
        <f>+Y107*0.19</f>
        <v>21075.630252100844</v>
      </c>
      <c r="AA107" s="118">
        <f t="shared" si="30"/>
        <v>132000</v>
      </c>
      <c r="AB107" s="118"/>
      <c r="AC107" s="118"/>
      <c r="AD107" s="118"/>
      <c r="AE107" s="118"/>
      <c r="AF107" s="118"/>
      <c r="AG107" s="118"/>
      <c r="AH107" s="118"/>
      <c r="AI107" s="118"/>
      <c r="AJ107" s="118"/>
      <c r="AK107" s="118"/>
      <c r="AL107" s="118"/>
      <c r="AM107" s="118"/>
      <c r="AN107" s="118"/>
      <c r="AO107" s="118"/>
      <c r="AP107" s="118"/>
      <c r="AQ107" s="118"/>
      <c r="AR107" s="118"/>
      <c r="AS107" s="118"/>
      <c r="AT107" s="118"/>
      <c r="AU107" s="118"/>
      <c r="AV107" s="118"/>
      <c r="AW107" s="118"/>
      <c r="AX107" s="118"/>
      <c r="AY107" s="118"/>
      <c r="AZ107" s="118"/>
      <c r="BA107" s="118"/>
      <c r="BB107" s="118"/>
      <c r="BC107" s="118"/>
      <c r="BD107" s="118"/>
      <c r="BE107" s="118"/>
      <c r="BF107" s="118"/>
      <c r="BG107" s="118"/>
      <c r="BH107" s="118"/>
      <c r="BI107" s="118"/>
      <c r="BJ107" s="118"/>
      <c r="BK107" s="118"/>
      <c r="BL107" s="118"/>
      <c r="BM107" s="118"/>
      <c r="BN107" s="118"/>
      <c r="BO107" s="118"/>
      <c r="BP107" s="118"/>
      <c r="BQ107" s="118"/>
      <c r="BR107" s="118"/>
      <c r="BS107" s="118"/>
      <c r="BT107" s="118"/>
      <c r="BU107" s="118"/>
      <c r="BV107" s="118"/>
      <c r="BW107" s="118"/>
      <c r="BX107" s="115"/>
      <c r="BY107" s="115"/>
      <c r="BZ107" s="115"/>
      <c r="CA107" s="115"/>
      <c r="CB107" s="115"/>
      <c r="CC107" s="115"/>
      <c r="CD107" s="115"/>
      <c r="CE107" s="115"/>
      <c r="CF107" s="115"/>
      <c r="CG107" s="115"/>
      <c r="CH107" s="115"/>
      <c r="CI107" s="115"/>
      <c r="CJ107" s="115"/>
      <c r="CK107" s="115"/>
      <c r="CL107" s="115"/>
      <c r="CM107" s="115"/>
      <c r="CN107" s="115"/>
      <c r="CO107" s="115"/>
      <c r="CP107" s="115"/>
      <c r="CQ107" s="115"/>
      <c r="CR107" s="115"/>
      <c r="CS107" s="115"/>
      <c r="CT107" s="115"/>
      <c r="CU107" s="115"/>
      <c r="CV107" s="115"/>
      <c r="CW107" s="115"/>
      <c r="CX107" s="115"/>
      <c r="CY107" s="115"/>
      <c r="CZ107" s="115"/>
      <c r="DA107" s="115">
        <f>+MEDIAN(N107,AA107)</f>
        <v>123538.88</v>
      </c>
      <c r="DB107" s="115">
        <f>+AVERAGE(N107,AA107)</f>
        <v>123538.88</v>
      </c>
      <c r="DC107" s="115">
        <f>+STDEV(N107,AA107)</f>
        <v>11965.830656866246</v>
      </c>
      <c r="DD107" s="116">
        <f t="shared" si="31"/>
        <v>9.6858824176374647E-2</v>
      </c>
      <c r="DE107" s="115">
        <v>103814.28571428572</v>
      </c>
      <c r="DF107" s="115">
        <f t="shared" si="25"/>
        <v>19724.714285714286</v>
      </c>
      <c r="DG107" s="175">
        <f t="shared" si="26"/>
        <v>123539</v>
      </c>
      <c r="DH107" s="175">
        <f t="shared" si="32"/>
        <v>741234</v>
      </c>
      <c r="DI107" s="119" t="s">
        <v>228</v>
      </c>
    </row>
    <row r="108" spans="1:113" s="28" customFormat="1" ht="30" x14ac:dyDescent="0.25">
      <c r="A108" s="36">
        <v>100</v>
      </c>
      <c r="B108" s="112" t="s">
        <v>79</v>
      </c>
      <c r="C108" s="113" t="s">
        <v>161</v>
      </c>
      <c r="D108" s="114" t="s">
        <v>167</v>
      </c>
      <c r="E108" s="114">
        <v>527</v>
      </c>
      <c r="F108" s="115"/>
      <c r="G108" s="115"/>
      <c r="H108" s="115"/>
      <c r="I108" s="115">
        <v>201.33333333333334</v>
      </c>
      <c r="J108" s="115">
        <f t="shared" si="28"/>
        <v>38.253333333333337</v>
      </c>
      <c r="K108" s="115">
        <f t="shared" ref="K108:K113" si="34">+I108+J108</f>
        <v>239.58666666666667</v>
      </c>
      <c r="L108" s="115">
        <v>270</v>
      </c>
      <c r="M108" s="115">
        <f t="shared" si="27"/>
        <v>51.3</v>
      </c>
      <c r="N108" s="115">
        <f t="shared" si="33"/>
        <v>321.3</v>
      </c>
      <c r="O108" s="118"/>
      <c r="P108" s="118"/>
      <c r="Q108" s="118"/>
      <c r="R108" s="115"/>
      <c r="S108" s="115"/>
      <c r="T108" s="115"/>
      <c r="U108" s="118"/>
      <c r="V108" s="118"/>
      <c r="W108" s="118"/>
      <c r="X108" s="118"/>
      <c r="Y108" s="118"/>
      <c r="Z108" s="118"/>
      <c r="AA108" s="118"/>
      <c r="AB108" s="118"/>
      <c r="AC108" s="118"/>
      <c r="AD108" s="118"/>
      <c r="AE108" s="118"/>
      <c r="AF108" s="118"/>
      <c r="AG108" s="118"/>
      <c r="AH108" s="118"/>
      <c r="AI108" s="118"/>
      <c r="AJ108" s="118"/>
      <c r="AK108" s="118"/>
      <c r="AL108" s="118"/>
      <c r="AM108" s="118"/>
      <c r="AN108" s="118"/>
      <c r="AO108" s="118"/>
      <c r="AP108" s="118"/>
      <c r="AQ108" s="118"/>
      <c r="AR108" s="118"/>
      <c r="AS108" s="118"/>
      <c r="AT108" s="118"/>
      <c r="AU108" s="118"/>
      <c r="AV108" s="118"/>
      <c r="AW108" s="118"/>
      <c r="AX108" s="118"/>
      <c r="AY108" s="118"/>
      <c r="AZ108" s="118"/>
      <c r="BA108" s="118"/>
      <c r="BB108" s="118"/>
      <c r="BC108" s="118"/>
      <c r="BD108" s="118"/>
      <c r="BE108" s="118"/>
      <c r="BF108" s="118"/>
      <c r="BG108" s="118"/>
      <c r="BH108" s="118"/>
      <c r="BI108" s="118"/>
      <c r="BJ108" s="118"/>
      <c r="BK108" s="118"/>
      <c r="BL108" s="118"/>
      <c r="BM108" s="118"/>
      <c r="BN108" s="118"/>
      <c r="BO108" s="118"/>
      <c r="BP108" s="118"/>
      <c r="BQ108" s="118"/>
      <c r="BR108" s="118"/>
      <c r="BS108" s="118"/>
      <c r="BT108" s="118"/>
      <c r="BU108" s="118"/>
      <c r="BV108" s="118"/>
      <c r="BW108" s="118"/>
      <c r="BX108" s="115"/>
      <c r="BY108" s="115"/>
      <c r="BZ108" s="115"/>
      <c r="CA108" s="115"/>
      <c r="CB108" s="115"/>
      <c r="CC108" s="115"/>
      <c r="CD108" s="115"/>
      <c r="CE108" s="115"/>
      <c r="CF108" s="115"/>
      <c r="CG108" s="115"/>
      <c r="CH108" s="115"/>
      <c r="CI108" s="115"/>
      <c r="CJ108" s="115"/>
      <c r="CK108" s="115"/>
      <c r="CL108" s="115"/>
      <c r="CM108" s="115"/>
      <c r="CN108" s="115"/>
      <c r="CO108" s="115"/>
      <c r="CP108" s="115"/>
      <c r="CQ108" s="115"/>
      <c r="CR108" s="115"/>
      <c r="CS108" s="115"/>
      <c r="CT108" s="115"/>
      <c r="CU108" s="115"/>
      <c r="CV108" s="115"/>
      <c r="CW108" s="115"/>
      <c r="CX108" s="115"/>
      <c r="CY108" s="115"/>
      <c r="CZ108" s="115"/>
      <c r="DA108" s="115">
        <f>+MEDIAN(K108,N108)</f>
        <v>280.44333333333333</v>
      </c>
      <c r="DB108" s="115">
        <f>+AVERAGE(K108,N108)</f>
        <v>280.44333333333333</v>
      </c>
      <c r="DC108" s="115">
        <f>+STDEV(K108,N108)</f>
        <v>57.780052113356852</v>
      </c>
      <c r="DD108" s="116">
        <f t="shared" si="31"/>
        <v>0.20603111304728294</v>
      </c>
      <c r="DE108" s="115">
        <v>236.1344537815126</v>
      </c>
      <c r="DF108" s="115">
        <f>+DE108*0.19</f>
        <v>44.865546218487395</v>
      </c>
      <c r="DG108" s="175">
        <f t="shared" si="26"/>
        <v>281</v>
      </c>
      <c r="DH108" s="175">
        <f t="shared" si="32"/>
        <v>148087</v>
      </c>
      <c r="DI108" s="117" t="s">
        <v>227</v>
      </c>
    </row>
    <row r="109" spans="1:113" s="28" customFormat="1" ht="43.5" customHeight="1" x14ac:dyDescent="0.25">
      <c r="A109" s="36">
        <v>101</v>
      </c>
      <c r="B109" s="112" t="s">
        <v>81</v>
      </c>
      <c r="C109" s="113" t="s">
        <v>163</v>
      </c>
      <c r="D109" s="114" t="s">
        <v>166</v>
      </c>
      <c r="E109" s="114">
        <v>142</v>
      </c>
      <c r="F109" s="115"/>
      <c r="G109" s="115"/>
      <c r="H109" s="115"/>
      <c r="I109" s="115"/>
      <c r="J109" s="115"/>
      <c r="K109" s="115"/>
      <c r="L109" s="115"/>
      <c r="M109" s="115"/>
      <c r="N109" s="115"/>
      <c r="O109" s="118"/>
      <c r="P109" s="118"/>
      <c r="Q109" s="118"/>
      <c r="R109" s="115"/>
      <c r="S109" s="115"/>
      <c r="T109" s="115"/>
      <c r="U109" s="118"/>
      <c r="V109" s="118"/>
      <c r="W109" s="118"/>
      <c r="X109" s="118"/>
      <c r="Y109" s="118"/>
      <c r="Z109" s="118"/>
      <c r="AA109" s="118"/>
      <c r="AB109" s="118"/>
      <c r="AC109" s="118"/>
      <c r="AD109" s="118"/>
      <c r="AE109" s="118"/>
      <c r="AF109" s="118"/>
      <c r="AG109" s="118"/>
      <c r="AH109" s="118"/>
      <c r="AI109" s="118"/>
      <c r="AJ109" s="118"/>
      <c r="AK109" s="118"/>
      <c r="AL109" s="118"/>
      <c r="AM109" s="118"/>
      <c r="AN109" s="118"/>
      <c r="AO109" s="118"/>
      <c r="AP109" s="118"/>
      <c r="AQ109" s="118"/>
      <c r="AR109" s="118"/>
      <c r="AS109" s="118"/>
      <c r="AT109" s="118">
        <v>27058.823529411766</v>
      </c>
      <c r="AU109" s="118">
        <f>+AT109*0.19</f>
        <v>5141.1764705882351</v>
      </c>
      <c r="AV109" s="118">
        <f>+AT109+AU109</f>
        <v>32200</v>
      </c>
      <c r="AW109" s="118">
        <f>+AV109*15%</f>
        <v>4830</v>
      </c>
      <c r="AX109" s="118">
        <f>+AV109+AW109</f>
        <v>37030</v>
      </c>
      <c r="AY109" s="118">
        <v>28487.394957983193</v>
      </c>
      <c r="AZ109" s="118">
        <f>+AY109*19%</f>
        <v>5412.6050420168067</v>
      </c>
      <c r="BA109" s="118">
        <f>+AY109+AZ109</f>
        <v>33900</v>
      </c>
      <c r="BB109" s="118">
        <f>+BA109*15%</f>
        <v>5085</v>
      </c>
      <c r="BC109" s="118">
        <f>+BA109+BB109</f>
        <v>38985</v>
      </c>
      <c r="BD109" s="118"/>
      <c r="BE109" s="118"/>
      <c r="BF109" s="118"/>
      <c r="BG109" s="118"/>
      <c r="BH109" s="118"/>
      <c r="BI109" s="118"/>
      <c r="BJ109" s="118"/>
      <c r="BK109" s="118"/>
      <c r="BL109" s="118"/>
      <c r="BM109" s="118"/>
      <c r="BN109" s="118"/>
      <c r="BO109" s="118"/>
      <c r="BP109" s="118"/>
      <c r="BQ109" s="118"/>
      <c r="BR109" s="118"/>
      <c r="BS109" s="118"/>
      <c r="BT109" s="118"/>
      <c r="BU109" s="118"/>
      <c r="BV109" s="118"/>
      <c r="BW109" s="118"/>
      <c r="BX109" s="115"/>
      <c r="BY109" s="115"/>
      <c r="BZ109" s="115"/>
      <c r="CA109" s="115"/>
      <c r="CB109" s="115"/>
      <c r="CC109" s="115"/>
      <c r="CD109" s="115"/>
      <c r="CE109" s="115"/>
      <c r="CF109" s="115"/>
      <c r="CG109" s="115"/>
      <c r="CH109" s="115"/>
      <c r="CI109" s="115"/>
      <c r="CJ109" s="115"/>
      <c r="CK109" s="115"/>
      <c r="CL109" s="115"/>
      <c r="CM109" s="115"/>
      <c r="CN109" s="115"/>
      <c r="CO109" s="115"/>
      <c r="CP109" s="115"/>
      <c r="CQ109" s="115"/>
      <c r="CR109" s="115"/>
      <c r="CS109" s="115"/>
      <c r="CT109" s="115"/>
      <c r="CU109" s="115"/>
      <c r="CV109" s="115"/>
      <c r="CW109" s="115"/>
      <c r="CX109" s="115"/>
      <c r="CY109" s="115"/>
      <c r="CZ109" s="115"/>
      <c r="DA109" s="115">
        <f>+MEDIAN(AX109,BC109)</f>
        <v>38007.5</v>
      </c>
      <c r="DB109" s="115">
        <f>+AVERAGE(AX109,BC109)</f>
        <v>38007.5</v>
      </c>
      <c r="DC109" s="115">
        <f>+STDEV(AX109,BC109)</f>
        <v>1382.3937572197003</v>
      </c>
      <c r="DD109" s="116">
        <f>DC109/DB109</f>
        <v>3.637160447858187E-2</v>
      </c>
      <c r="DE109" s="115">
        <v>31939.495798319331</v>
      </c>
      <c r="DF109" s="115">
        <f>+DE109*19%</f>
        <v>6068.5042016806728</v>
      </c>
      <c r="DG109" s="175">
        <f t="shared" si="26"/>
        <v>38008</v>
      </c>
      <c r="DH109" s="175">
        <f t="shared" si="32"/>
        <v>5397136</v>
      </c>
      <c r="DI109" s="117" t="s">
        <v>228</v>
      </c>
    </row>
    <row r="110" spans="1:113" s="28" customFormat="1" ht="30" x14ac:dyDescent="0.25">
      <c r="A110" s="36">
        <v>102</v>
      </c>
      <c r="B110" s="112" t="s">
        <v>82</v>
      </c>
      <c r="C110" s="113" t="s">
        <v>164</v>
      </c>
      <c r="D110" s="114" t="s">
        <v>167</v>
      </c>
      <c r="E110" s="114">
        <f>112+151</f>
        <v>263</v>
      </c>
      <c r="F110" s="115"/>
      <c r="G110" s="115"/>
      <c r="H110" s="115"/>
      <c r="I110" s="115">
        <v>4285.7142857142862</v>
      </c>
      <c r="J110" s="115">
        <f t="shared" si="28"/>
        <v>814.28571428571445</v>
      </c>
      <c r="K110" s="115">
        <f t="shared" si="34"/>
        <v>5100.0000000000009</v>
      </c>
      <c r="L110" s="115">
        <v>3041</v>
      </c>
      <c r="M110" s="115">
        <f t="shared" si="27"/>
        <v>577.79</v>
      </c>
      <c r="N110" s="115">
        <f t="shared" si="33"/>
        <v>3618.79</v>
      </c>
      <c r="O110" s="118"/>
      <c r="P110" s="118"/>
      <c r="Q110" s="118"/>
      <c r="R110" s="115"/>
      <c r="S110" s="115"/>
      <c r="T110" s="115"/>
      <c r="U110" s="118"/>
      <c r="V110" s="118"/>
      <c r="W110" s="118"/>
      <c r="X110" s="118"/>
      <c r="Y110" s="118"/>
      <c r="Z110" s="118"/>
      <c r="AA110" s="118"/>
      <c r="AB110" s="118"/>
      <c r="AC110" s="118"/>
      <c r="AD110" s="118"/>
      <c r="AE110" s="118"/>
      <c r="AF110" s="118"/>
      <c r="AG110" s="118"/>
      <c r="AH110" s="118"/>
      <c r="AI110" s="118"/>
      <c r="AJ110" s="118"/>
      <c r="AK110" s="118"/>
      <c r="AL110" s="118"/>
      <c r="AM110" s="118"/>
      <c r="AN110" s="118"/>
      <c r="AO110" s="118"/>
      <c r="AP110" s="118"/>
      <c r="AQ110" s="118"/>
      <c r="AR110" s="118"/>
      <c r="AS110" s="118"/>
      <c r="AT110" s="118"/>
      <c r="AU110" s="118"/>
      <c r="AV110" s="118"/>
      <c r="AW110" s="118"/>
      <c r="AX110" s="118"/>
      <c r="AY110" s="118"/>
      <c r="AZ110" s="118"/>
      <c r="BA110" s="118"/>
      <c r="BB110" s="118"/>
      <c r="BC110" s="118"/>
      <c r="BD110" s="118"/>
      <c r="BE110" s="118"/>
      <c r="BF110" s="118"/>
      <c r="BG110" s="118"/>
      <c r="BH110" s="118"/>
      <c r="BI110" s="118"/>
      <c r="BJ110" s="118"/>
      <c r="BK110" s="118"/>
      <c r="BL110" s="118"/>
      <c r="BM110" s="118"/>
      <c r="BN110" s="118"/>
      <c r="BO110" s="118"/>
      <c r="BP110" s="118"/>
      <c r="BQ110" s="118"/>
      <c r="BR110" s="118"/>
      <c r="BS110" s="118"/>
      <c r="BT110" s="118"/>
      <c r="BU110" s="118"/>
      <c r="BV110" s="118"/>
      <c r="BW110" s="118"/>
      <c r="BX110" s="115"/>
      <c r="BY110" s="115"/>
      <c r="BZ110" s="115"/>
      <c r="CA110" s="115"/>
      <c r="CB110" s="115"/>
      <c r="CC110" s="115"/>
      <c r="CD110" s="115"/>
      <c r="CE110" s="115"/>
      <c r="CF110" s="115"/>
      <c r="CG110" s="115"/>
      <c r="CH110" s="115"/>
      <c r="CI110" s="115"/>
      <c r="CJ110" s="115"/>
      <c r="CK110" s="115"/>
      <c r="CL110" s="115"/>
      <c r="CM110" s="115"/>
      <c r="CN110" s="115"/>
      <c r="CO110" s="115"/>
      <c r="CP110" s="115"/>
      <c r="CQ110" s="115"/>
      <c r="CR110" s="115"/>
      <c r="CS110" s="115"/>
      <c r="CT110" s="115"/>
      <c r="CU110" s="115"/>
      <c r="CV110" s="115"/>
      <c r="CW110" s="115"/>
      <c r="CX110" s="115"/>
      <c r="CY110" s="115"/>
      <c r="CZ110" s="115"/>
      <c r="DA110" s="115">
        <f>+MEDIAN(K110,N110)</f>
        <v>4359.3950000000004</v>
      </c>
      <c r="DB110" s="115">
        <f>+AVERAGE(K110,N110)</f>
        <v>4359.3950000000004</v>
      </c>
      <c r="DC110" s="115">
        <f>+STDEV(K110,N110)</f>
        <v>1047.3736353613253</v>
      </c>
      <c r="DD110" s="116">
        <f t="shared" si="31"/>
        <v>0.24025664922800646</v>
      </c>
      <c r="DE110" s="115">
        <v>3663.8655462184875</v>
      </c>
      <c r="DF110" s="115">
        <f t="shared" si="25"/>
        <v>696.13445378151266</v>
      </c>
      <c r="DG110" s="175">
        <f t="shared" si="26"/>
        <v>4360</v>
      </c>
      <c r="DH110" s="175">
        <f t="shared" si="32"/>
        <v>1146680</v>
      </c>
      <c r="DI110" s="119" t="s">
        <v>227</v>
      </c>
    </row>
    <row r="111" spans="1:113" s="28" customFormat="1" ht="81" customHeight="1" x14ac:dyDescent="0.25">
      <c r="A111" s="36">
        <v>103</v>
      </c>
      <c r="B111" s="112" t="s">
        <v>83</v>
      </c>
      <c r="C111" s="113" t="s">
        <v>268</v>
      </c>
      <c r="D111" s="114" t="s">
        <v>167</v>
      </c>
      <c r="E111" s="114">
        <v>20</v>
      </c>
      <c r="F111" s="115"/>
      <c r="G111" s="115"/>
      <c r="H111" s="115"/>
      <c r="I111" s="115"/>
      <c r="J111" s="115"/>
      <c r="K111" s="115"/>
      <c r="L111" s="115"/>
      <c r="M111" s="115"/>
      <c r="N111" s="115"/>
      <c r="O111" s="118"/>
      <c r="P111" s="118"/>
      <c r="Q111" s="118"/>
      <c r="R111" s="115"/>
      <c r="S111" s="115"/>
      <c r="T111" s="115"/>
      <c r="U111" s="118"/>
      <c r="V111" s="118"/>
      <c r="W111" s="118"/>
      <c r="X111" s="118"/>
      <c r="Y111" s="118">
        <v>1680.6722689075632</v>
      </c>
      <c r="Z111" s="118">
        <f>+Y111*0.19</f>
        <v>319.32773109243703</v>
      </c>
      <c r="AA111" s="118">
        <f t="shared" si="30"/>
        <v>2000.0000000000002</v>
      </c>
      <c r="AB111" s="118"/>
      <c r="AC111" s="118"/>
      <c r="AD111" s="118"/>
      <c r="AE111" s="118"/>
      <c r="AF111" s="118"/>
      <c r="AG111" s="118"/>
      <c r="AH111" s="118"/>
      <c r="AI111" s="118"/>
      <c r="AJ111" s="115"/>
      <c r="AK111" s="115"/>
      <c r="AL111" s="115"/>
      <c r="AM111" s="115"/>
      <c r="AN111" s="115"/>
      <c r="AO111" s="115"/>
      <c r="AP111" s="115"/>
      <c r="AQ111" s="115"/>
      <c r="AR111" s="115"/>
      <c r="AS111" s="115"/>
      <c r="AT111" s="115"/>
      <c r="AU111" s="115"/>
      <c r="AV111" s="115"/>
      <c r="AW111" s="115"/>
      <c r="AX111" s="115"/>
      <c r="AY111" s="115"/>
      <c r="AZ111" s="115"/>
      <c r="BA111" s="115"/>
      <c r="BB111" s="115"/>
      <c r="BC111" s="115"/>
      <c r="BD111" s="118"/>
      <c r="BE111" s="118"/>
      <c r="BF111" s="118"/>
      <c r="BG111" s="118"/>
      <c r="BH111" s="118"/>
      <c r="BI111" s="118"/>
      <c r="BJ111" s="118"/>
      <c r="BK111" s="118"/>
      <c r="BL111" s="118"/>
      <c r="BM111" s="118"/>
      <c r="BN111" s="118"/>
      <c r="BO111" s="118"/>
      <c r="BP111" s="115"/>
      <c r="BQ111" s="115"/>
      <c r="BR111" s="115"/>
      <c r="BS111" s="115">
        <v>1680.6722689075632</v>
      </c>
      <c r="BT111" s="115">
        <f>+BS111*0.19</f>
        <v>319.32773109243703</v>
      </c>
      <c r="BU111" s="115">
        <f>+BS111+BT111</f>
        <v>2000.0000000000002</v>
      </c>
      <c r="BV111" s="115">
        <f>+BU111*15%</f>
        <v>300</v>
      </c>
      <c r="BW111" s="115">
        <f>+BU111+BV111</f>
        <v>2300</v>
      </c>
      <c r="BX111" s="115"/>
      <c r="BY111" s="115"/>
      <c r="BZ111" s="115"/>
      <c r="CA111" s="115"/>
      <c r="CB111" s="115"/>
      <c r="CC111" s="115"/>
      <c r="CD111" s="115"/>
      <c r="CE111" s="115"/>
      <c r="CF111" s="115"/>
      <c r="CG111" s="115"/>
      <c r="CH111" s="115"/>
      <c r="CI111" s="115"/>
      <c r="CJ111" s="115"/>
      <c r="CK111" s="115"/>
      <c r="CL111" s="115"/>
      <c r="CM111" s="115"/>
      <c r="CN111" s="115"/>
      <c r="CO111" s="115"/>
      <c r="CP111" s="115"/>
      <c r="CQ111" s="115"/>
      <c r="CR111" s="115"/>
      <c r="CS111" s="115"/>
      <c r="CT111" s="115"/>
      <c r="CU111" s="115"/>
      <c r="CV111" s="115"/>
      <c r="CW111" s="115"/>
      <c r="CX111" s="115"/>
      <c r="CY111" s="115"/>
      <c r="CZ111" s="115"/>
      <c r="DA111" s="115">
        <f>+MEDIAN(AA111,BW111)</f>
        <v>2150</v>
      </c>
      <c r="DB111" s="115">
        <f>+AVERAGE(AA111,BW111)</f>
        <v>2150</v>
      </c>
      <c r="DC111" s="115">
        <f>+STDEV(AA111,BW111)</f>
        <v>212.13203435596409</v>
      </c>
      <c r="DD111" s="116">
        <f t="shared" si="31"/>
        <v>9.8666062491146095E-2</v>
      </c>
      <c r="DE111" s="115">
        <v>1806.7226890756303</v>
      </c>
      <c r="DF111" s="115">
        <f>+DE111*19%</f>
        <v>343.27731092436977</v>
      </c>
      <c r="DG111" s="175">
        <f t="shared" si="26"/>
        <v>2150</v>
      </c>
      <c r="DH111" s="175">
        <f t="shared" si="32"/>
        <v>43000</v>
      </c>
      <c r="DI111" s="117" t="s">
        <v>228</v>
      </c>
    </row>
    <row r="112" spans="1:113" s="28" customFormat="1" ht="68.25" customHeight="1" x14ac:dyDescent="0.25">
      <c r="A112" s="36">
        <v>104</v>
      </c>
      <c r="B112" s="112" t="s">
        <v>84</v>
      </c>
      <c r="C112" s="113" t="s">
        <v>191</v>
      </c>
      <c r="D112" s="114" t="s">
        <v>167</v>
      </c>
      <c r="E112" s="114">
        <v>27</v>
      </c>
      <c r="F112" s="115">
        <v>4622</v>
      </c>
      <c r="G112" s="115">
        <f>+F112*19%</f>
        <v>878.18000000000006</v>
      </c>
      <c r="H112" s="115">
        <f>+F112+G112</f>
        <v>5500.18</v>
      </c>
      <c r="I112" s="115">
        <v>3193.2773109243699</v>
      </c>
      <c r="J112" s="115">
        <f t="shared" si="28"/>
        <v>606.72268907563034</v>
      </c>
      <c r="K112" s="115">
        <f t="shared" si="34"/>
        <v>3800</v>
      </c>
      <c r="L112" s="115">
        <v>2927</v>
      </c>
      <c r="M112" s="115">
        <f t="shared" si="27"/>
        <v>556.13</v>
      </c>
      <c r="N112" s="115">
        <f t="shared" si="33"/>
        <v>3483.13</v>
      </c>
      <c r="O112" s="118"/>
      <c r="P112" s="118"/>
      <c r="Q112" s="118"/>
      <c r="R112" s="115"/>
      <c r="S112" s="115"/>
      <c r="T112" s="115"/>
      <c r="U112" s="118"/>
      <c r="V112" s="118"/>
      <c r="W112" s="118"/>
      <c r="X112" s="118"/>
      <c r="Y112" s="118"/>
      <c r="Z112" s="118"/>
      <c r="AA112" s="118"/>
      <c r="AB112" s="118"/>
      <c r="AC112" s="118"/>
      <c r="AD112" s="118"/>
      <c r="AE112" s="118"/>
      <c r="AF112" s="118"/>
      <c r="AG112" s="118"/>
      <c r="AH112" s="118"/>
      <c r="AI112" s="118"/>
      <c r="AJ112" s="118"/>
      <c r="AK112" s="118"/>
      <c r="AL112" s="118"/>
      <c r="AM112" s="118"/>
      <c r="AN112" s="118"/>
      <c r="AO112" s="118"/>
      <c r="AP112" s="118"/>
      <c r="AQ112" s="118"/>
      <c r="AR112" s="118"/>
      <c r="AS112" s="118"/>
      <c r="AT112" s="118"/>
      <c r="AU112" s="118"/>
      <c r="AV112" s="118"/>
      <c r="AW112" s="118"/>
      <c r="AX112" s="118"/>
      <c r="AY112" s="118"/>
      <c r="AZ112" s="118"/>
      <c r="BA112" s="118"/>
      <c r="BB112" s="118"/>
      <c r="BC112" s="118"/>
      <c r="BD112" s="118"/>
      <c r="BE112" s="118"/>
      <c r="BF112" s="118"/>
      <c r="BG112" s="118"/>
      <c r="BH112" s="118"/>
      <c r="BI112" s="118"/>
      <c r="BJ112" s="118"/>
      <c r="BK112" s="118"/>
      <c r="BL112" s="118"/>
      <c r="BM112" s="118"/>
      <c r="BN112" s="118"/>
      <c r="BO112" s="118"/>
      <c r="BP112" s="118"/>
      <c r="BQ112" s="118"/>
      <c r="BR112" s="118"/>
      <c r="BS112" s="118"/>
      <c r="BT112" s="118"/>
      <c r="BU112" s="118"/>
      <c r="BV112" s="118"/>
      <c r="BW112" s="118"/>
      <c r="BX112" s="115"/>
      <c r="BY112" s="115"/>
      <c r="BZ112" s="115"/>
      <c r="CA112" s="115"/>
      <c r="CB112" s="115"/>
      <c r="CC112" s="115"/>
      <c r="CD112" s="115"/>
      <c r="CE112" s="115"/>
      <c r="CF112" s="115"/>
      <c r="CG112" s="115"/>
      <c r="CH112" s="115"/>
      <c r="CI112" s="115"/>
      <c r="CJ112" s="115"/>
      <c r="CK112" s="115"/>
      <c r="CL112" s="115"/>
      <c r="CM112" s="115"/>
      <c r="CN112" s="115"/>
      <c r="CO112" s="115"/>
      <c r="CP112" s="115"/>
      <c r="CQ112" s="115"/>
      <c r="CR112" s="115"/>
      <c r="CS112" s="115"/>
      <c r="CT112" s="115"/>
      <c r="CU112" s="115"/>
      <c r="CV112" s="115"/>
      <c r="CW112" s="115"/>
      <c r="CX112" s="115"/>
      <c r="CY112" s="115"/>
      <c r="CZ112" s="115"/>
      <c r="DA112" s="115">
        <f>+MEDIAN(H112,K112,N112)</f>
        <v>3800</v>
      </c>
      <c r="DB112" s="115">
        <f>+AVERAGE(H112,K112,N112)</f>
        <v>4261.1033333333335</v>
      </c>
      <c r="DC112" s="115">
        <f>+STDEV(H112,K112,N112)</f>
        <v>1084.7049776936258</v>
      </c>
      <c r="DD112" s="116">
        <f t="shared" si="31"/>
        <v>0.2545596510669676</v>
      </c>
      <c r="DE112" s="115">
        <v>3193.2773109243699</v>
      </c>
      <c r="DF112" s="115">
        <f t="shared" si="25"/>
        <v>606.72268907563034</v>
      </c>
      <c r="DG112" s="175">
        <f t="shared" si="26"/>
        <v>3800</v>
      </c>
      <c r="DH112" s="175">
        <f t="shared" si="32"/>
        <v>102600</v>
      </c>
      <c r="DI112" s="117" t="s">
        <v>227</v>
      </c>
    </row>
    <row r="113" spans="1:113" s="28" customFormat="1" ht="84" customHeight="1" x14ac:dyDescent="0.25">
      <c r="A113" s="36">
        <v>105</v>
      </c>
      <c r="B113" s="112" t="s">
        <v>85</v>
      </c>
      <c r="C113" s="113" t="s">
        <v>165</v>
      </c>
      <c r="D113" s="114" t="s">
        <v>166</v>
      </c>
      <c r="E113" s="114">
        <v>30</v>
      </c>
      <c r="F113" s="115">
        <v>17647</v>
      </c>
      <c r="G113" s="115">
        <f>+F113*19%</f>
        <v>3352.93</v>
      </c>
      <c r="H113" s="115">
        <f>+F113+G113</f>
        <v>20999.93</v>
      </c>
      <c r="I113" s="115">
        <f>1261*10</f>
        <v>12610</v>
      </c>
      <c r="J113" s="115">
        <f t="shared" si="28"/>
        <v>2395.9</v>
      </c>
      <c r="K113" s="115">
        <f t="shared" si="34"/>
        <v>15005.9</v>
      </c>
      <c r="L113" s="115"/>
      <c r="M113" s="115"/>
      <c r="N113" s="115"/>
      <c r="O113" s="118"/>
      <c r="P113" s="118"/>
      <c r="Q113" s="118"/>
      <c r="R113" s="115"/>
      <c r="S113" s="115"/>
      <c r="T113" s="115"/>
      <c r="U113" s="118"/>
      <c r="V113" s="118"/>
      <c r="W113" s="118"/>
      <c r="X113" s="118"/>
      <c r="Y113" s="118"/>
      <c r="Z113" s="118"/>
      <c r="AA113" s="118"/>
      <c r="AB113" s="118"/>
      <c r="AC113" s="118"/>
      <c r="AD113" s="118"/>
      <c r="AE113" s="118"/>
      <c r="AF113" s="118"/>
      <c r="AG113" s="118"/>
      <c r="AH113" s="118"/>
      <c r="AI113" s="118"/>
      <c r="AJ113" s="118"/>
      <c r="AK113" s="118"/>
      <c r="AL113" s="118"/>
      <c r="AM113" s="118"/>
      <c r="AN113" s="118"/>
      <c r="AO113" s="118"/>
      <c r="AP113" s="118"/>
      <c r="AQ113" s="118"/>
      <c r="AR113" s="118"/>
      <c r="AS113" s="118"/>
      <c r="AT113" s="118"/>
      <c r="AU113" s="118"/>
      <c r="AV113" s="118"/>
      <c r="AW113" s="118"/>
      <c r="AX113" s="118"/>
      <c r="AY113" s="118"/>
      <c r="AZ113" s="118"/>
      <c r="BA113" s="118"/>
      <c r="BB113" s="118"/>
      <c r="BC113" s="118"/>
      <c r="BD113" s="118"/>
      <c r="BE113" s="118"/>
      <c r="BF113" s="118"/>
      <c r="BG113" s="118"/>
      <c r="BH113" s="118"/>
      <c r="BI113" s="118"/>
      <c r="BJ113" s="118"/>
      <c r="BK113" s="118"/>
      <c r="BL113" s="118"/>
      <c r="BM113" s="118"/>
      <c r="BN113" s="118"/>
      <c r="BO113" s="118"/>
      <c r="BP113" s="118"/>
      <c r="BQ113" s="118"/>
      <c r="BR113" s="118"/>
      <c r="BS113" s="118"/>
      <c r="BT113" s="118"/>
      <c r="BU113" s="118"/>
      <c r="BV113" s="118"/>
      <c r="BW113" s="118"/>
      <c r="BX113" s="115"/>
      <c r="BY113" s="115"/>
      <c r="BZ113" s="115"/>
      <c r="CA113" s="115"/>
      <c r="CB113" s="115"/>
      <c r="CC113" s="115"/>
      <c r="CD113" s="115"/>
      <c r="CE113" s="115"/>
      <c r="CF113" s="115"/>
      <c r="CG113" s="115"/>
      <c r="CH113" s="115"/>
      <c r="CI113" s="115"/>
      <c r="CJ113" s="115"/>
      <c r="CK113" s="115"/>
      <c r="CL113" s="115"/>
      <c r="CM113" s="115"/>
      <c r="CN113" s="115"/>
      <c r="CO113" s="115"/>
      <c r="CP113" s="115"/>
      <c r="CQ113" s="115"/>
      <c r="CR113" s="115"/>
      <c r="CS113" s="115"/>
      <c r="CT113" s="115"/>
      <c r="CU113" s="115"/>
      <c r="CV113" s="115"/>
      <c r="CW113" s="115"/>
      <c r="CX113" s="115"/>
      <c r="CY113" s="115"/>
      <c r="CZ113" s="115"/>
      <c r="DA113" s="115">
        <f>+MEDIAN(H113,K113)</f>
        <v>18002.915000000001</v>
      </c>
      <c r="DB113" s="115">
        <f>+AVERAGE(H113,K113)</f>
        <v>18002.915000000001</v>
      </c>
      <c r="DC113" s="115">
        <f>+STDEV(H113,K113)</f>
        <v>4238.4192596355952</v>
      </c>
      <c r="DD113" s="116">
        <f t="shared" si="31"/>
        <v>0.23542961012900382</v>
      </c>
      <c r="DE113" s="115">
        <v>15128.571428571429</v>
      </c>
      <c r="DF113" s="115">
        <f t="shared" si="25"/>
        <v>2874.4285714285716</v>
      </c>
      <c r="DG113" s="175">
        <f t="shared" si="26"/>
        <v>18003</v>
      </c>
      <c r="DH113" s="175">
        <f t="shared" si="32"/>
        <v>540090</v>
      </c>
      <c r="DI113" s="119" t="s">
        <v>227</v>
      </c>
    </row>
    <row r="114" spans="1:113" s="28" customFormat="1" ht="90.75" customHeight="1" x14ac:dyDescent="0.25">
      <c r="A114" s="36">
        <v>106</v>
      </c>
      <c r="B114" s="112" t="s">
        <v>23</v>
      </c>
      <c r="C114" s="113" t="s">
        <v>218</v>
      </c>
      <c r="D114" s="114" t="s">
        <v>167</v>
      </c>
      <c r="E114" s="114">
        <f>7000+5668</f>
        <v>12668</v>
      </c>
      <c r="F114" s="115"/>
      <c r="G114" s="115"/>
      <c r="H114" s="115"/>
      <c r="I114" s="115"/>
      <c r="J114" s="115"/>
      <c r="K114" s="115"/>
      <c r="L114" s="115"/>
      <c r="M114" s="115"/>
      <c r="N114" s="115"/>
      <c r="O114" s="118"/>
      <c r="P114" s="118"/>
      <c r="Q114" s="118"/>
      <c r="R114" s="115"/>
      <c r="S114" s="115"/>
      <c r="T114" s="115"/>
      <c r="U114" s="118"/>
      <c r="V114" s="118"/>
      <c r="W114" s="118"/>
      <c r="X114" s="118"/>
      <c r="Y114" s="118"/>
      <c r="Z114" s="118"/>
      <c r="AA114" s="118"/>
      <c r="AB114" s="118"/>
      <c r="AC114" s="118"/>
      <c r="AD114" s="118"/>
      <c r="AE114" s="118"/>
      <c r="AF114" s="118"/>
      <c r="AG114" s="118"/>
      <c r="AH114" s="118"/>
      <c r="AI114" s="118"/>
      <c r="AJ114" s="118"/>
      <c r="AK114" s="118"/>
      <c r="AL114" s="118"/>
      <c r="AM114" s="118"/>
      <c r="AN114" s="118"/>
      <c r="AO114" s="118"/>
      <c r="AP114" s="118"/>
      <c r="AQ114" s="118"/>
      <c r="AR114" s="118"/>
      <c r="AS114" s="118"/>
      <c r="AT114" s="118"/>
      <c r="AU114" s="118"/>
      <c r="AV114" s="118"/>
      <c r="AW114" s="118"/>
      <c r="AX114" s="118"/>
      <c r="AY114" s="118"/>
      <c r="AZ114" s="118"/>
      <c r="BA114" s="118"/>
      <c r="BB114" s="118"/>
      <c r="BC114" s="118"/>
      <c r="BD114" s="118"/>
      <c r="BE114" s="118"/>
      <c r="BF114" s="118"/>
      <c r="BG114" s="118"/>
      <c r="BH114" s="118"/>
      <c r="BI114" s="118"/>
      <c r="BJ114" s="118"/>
      <c r="BK114" s="118"/>
      <c r="BL114" s="118"/>
      <c r="BM114" s="118"/>
      <c r="BN114" s="118"/>
      <c r="BO114" s="118"/>
      <c r="BP114" s="118"/>
      <c r="BQ114" s="118"/>
      <c r="BR114" s="118"/>
      <c r="BS114" s="118"/>
      <c r="BT114" s="118"/>
      <c r="BU114" s="118"/>
      <c r="BV114" s="118"/>
      <c r="BW114" s="118"/>
      <c r="BX114" s="115">
        <v>2600</v>
      </c>
      <c r="BY114" s="115">
        <f>+BX114*0.19</f>
        <v>494</v>
      </c>
      <c r="BZ114" s="115">
        <f>+BX114+BY114</f>
        <v>3094</v>
      </c>
      <c r="CA114" s="115">
        <v>3312</v>
      </c>
      <c r="CB114" s="115">
        <f>+CA114*0.19</f>
        <v>629.28</v>
      </c>
      <c r="CC114" s="115">
        <f>+CA114+CB114</f>
        <v>3941.2799999999997</v>
      </c>
      <c r="CD114" s="115">
        <v>2016.81</v>
      </c>
      <c r="CE114" s="115">
        <f>+CD114*0.19</f>
        <v>383.19389999999999</v>
      </c>
      <c r="CF114" s="115">
        <f>+CD114+CE114</f>
        <v>2400.0038999999997</v>
      </c>
      <c r="CG114" s="115"/>
      <c r="CH114" s="115"/>
      <c r="CI114" s="115"/>
      <c r="CJ114" s="115"/>
      <c r="CK114" s="115"/>
      <c r="CL114" s="115"/>
      <c r="CM114" s="115"/>
      <c r="CN114" s="115"/>
      <c r="CO114" s="115"/>
      <c r="CP114" s="115"/>
      <c r="CQ114" s="115"/>
      <c r="CR114" s="115"/>
      <c r="CS114" s="115"/>
      <c r="CT114" s="115"/>
      <c r="CU114" s="115"/>
      <c r="CV114" s="115"/>
      <c r="CW114" s="115"/>
      <c r="CX114" s="115"/>
      <c r="CY114" s="115"/>
      <c r="CZ114" s="115"/>
      <c r="DA114" s="115">
        <f>+MEDIAN(BZ114,CC114,CF114)</f>
        <v>3094</v>
      </c>
      <c r="DB114" s="115">
        <f>+AVERAGE(BZ114,CC114,CF114)</f>
        <v>3145.0946333333327</v>
      </c>
      <c r="DC114" s="115">
        <f>+STDEV(BZ114,CC114,CF114)</f>
        <v>771.90737804117839</v>
      </c>
      <c r="DD114" s="116">
        <f>+DC114/DB114</f>
        <v>0.24543216279094004</v>
      </c>
      <c r="DE114" s="115">
        <v>2600</v>
      </c>
      <c r="DF114" s="115">
        <f t="shared" si="25"/>
        <v>494</v>
      </c>
      <c r="DG114" s="175">
        <f t="shared" si="26"/>
        <v>3094</v>
      </c>
      <c r="DH114" s="175">
        <f t="shared" si="32"/>
        <v>39194792</v>
      </c>
      <c r="DI114" s="119" t="s">
        <v>227</v>
      </c>
    </row>
    <row r="115" spans="1:113" s="28" customFormat="1" ht="123" customHeight="1" x14ac:dyDescent="0.25">
      <c r="A115" s="36">
        <v>107</v>
      </c>
      <c r="B115" s="112" t="s">
        <v>166</v>
      </c>
      <c r="C115" s="113" t="s">
        <v>219</v>
      </c>
      <c r="D115" s="114" t="s">
        <v>167</v>
      </c>
      <c r="E115" s="114">
        <v>1200</v>
      </c>
      <c r="F115" s="115"/>
      <c r="G115" s="115"/>
      <c r="H115" s="115"/>
      <c r="I115" s="115"/>
      <c r="J115" s="115"/>
      <c r="K115" s="115"/>
      <c r="L115" s="115"/>
      <c r="M115" s="115"/>
      <c r="N115" s="115"/>
      <c r="O115" s="118"/>
      <c r="P115" s="118"/>
      <c r="Q115" s="118"/>
      <c r="R115" s="115"/>
      <c r="S115" s="115"/>
      <c r="T115" s="115"/>
      <c r="U115" s="118"/>
      <c r="V115" s="118"/>
      <c r="W115" s="118"/>
      <c r="X115" s="118"/>
      <c r="Y115" s="118"/>
      <c r="Z115" s="118"/>
      <c r="AA115" s="118"/>
      <c r="AB115" s="118"/>
      <c r="AC115" s="118"/>
      <c r="AD115" s="118"/>
      <c r="AE115" s="118"/>
      <c r="AF115" s="118"/>
      <c r="AG115" s="118"/>
      <c r="AH115" s="118"/>
      <c r="AI115" s="118"/>
      <c r="AJ115" s="118"/>
      <c r="AK115" s="118"/>
      <c r="AL115" s="118"/>
      <c r="AM115" s="118"/>
      <c r="AN115" s="118"/>
      <c r="AO115" s="118"/>
      <c r="AP115" s="118"/>
      <c r="AQ115" s="118"/>
      <c r="AR115" s="118"/>
      <c r="AS115" s="118"/>
      <c r="AT115" s="118"/>
      <c r="AU115" s="118"/>
      <c r="AV115" s="118"/>
      <c r="AW115" s="118"/>
      <c r="AX115" s="118"/>
      <c r="AY115" s="118"/>
      <c r="AZ115" s="118"/>
      <c r="BA115" s="118"/>
      <c r="BB115" s="118"/>
      <c r="BC115" s="118"/>
      <c r="BD115" s="118"/>
      <c r="BE115" s="118"/>
      <c r="BF115" s="118"/>
      <c r="BG115" s="118"/>
      <c r="BH115" s="118"/>
      <c r="BI115" s="118"/>
      <c r="BJ115" s="118"/>
      <c r="BK115" s="118"/>
      <c r="BL115" s="118"/>
      <c r="BM115" s="118"/>
      <c r="BN115" s="118"/>
      <c r="BO115" s="118"/>
      <c r="BP115" s="118"/>
      <c r="BQ115" s="118"/>
      <c r="BR115" s="118"/>
      <c r="BS115" s="118"/>
      <c r="BT115" s="118"/>
      <c r="BU115" s="118"/>
      <c r="BV115" s="118"/>
      <c r="BW115" s="118"/>
      <c r="BX115" s="115">
        <v>4800</v>
      </c>
      <c r="BY115" s="115">
        <f>+BX115*0.19</f>
        <v>912</v>
      </c>
      <c r="BZ115" s="115">
        <f>+BX115+BY115</f>
        <v>5712</v>
      </c>
      <c r="CA115" s="115">
        <v>3320</v>
      </c>
      <c r="CB115" s="115">
        <f>+CA115*0.19</f>
        <v>630.79999999999995</v>
      </c>
      <c r="CC115" s="115">
        <f>+CA115+CB115</f>
        <v>3950.8</v>
      </c>
      <c r="CD115" s="115">
        <v>3445.38</v>
      </c>
      <c r="CE115" s="115">
        <f>+CD115*0.19</f>
        <v>654.62220000000002</v>
      </c>
      <c r="CF115" s="115">
        <f>+CD115+CE115</f>
        <v>4100.0021999999999</v>
      </c>
      <c r="CG115" s="115"/>
      <c r="CH115" s="115"/>
      <c r="CI115" s="115"/>
      <c r="CJ115" s="115"/>
      <c r="CK115" s="115"/>
      <c r="CL115" s="115"/>
      <c r="CM115" s="115"/>
      <c r="CN115" s="115"/>
      <c r="CO115" s="115"/>
      <c r="CP115" s="115"/>
      <c r="CQ115" s="115"/>
      <c r="CR115" s="115"/>
      <c r="CS115" s="115"/>
      <c r="CT115" s="115"/>
      <c r="CU115" s="115"/>
      <c r="CV115" s="115"/>
      <c r="CW115" s="115"/>
      <c r="CX115" s="115"/>
      <c r="CY115" s="115"/>
      <c r="CZ115" s="115"/>
      <c r="DA115" s="115">
        <f>+MEDIAN(BZ115,CC115,CF115)</f>
        <v>4100.0021999999999</v>
      </c>
      <c r="DB115" s="115">
        <f>+AVERAGE(BZ115,CC115,CF115)</f>
        <v>4587.6007333333328</v>
      </c>
      <c r="DC115" s="115">
        <f>+STDEV(BZ115,CC115,CF115)</f>
        <v>976.61179968379531</v>
      </c>
      <c r="DD115" s="116">
        <f>+DC115/DB115</f>
        <v>0.21288073144373071</v>
      </c>
      <c r="DE115" s="115">
        <v>3446.2184873949582</v>
      </c>
      <c r="DF115" s="115">
        <f t="shared" si="25"/>
        <v>654.78151260504205</v>
      </c>
      <c r="DG115" s="175">
        <f t="shared" si="26"/>
        <v>4101</v>
      </c>
      <c r="DH115" s="175">
        <f t="shared" si="32"/>
        <v>4921200</v>
      </c>
      <c r="DI115" s="119" t="s">
        <v>227</v>
      </c>
    </row>
    <row r="116" spans="1:113" s="33" customFormat="1" x14ac:dyDescent="0.25">
      <c r="A116" s="221"/>
      <c r="B116" s="222"/>
      <c r="C116" s="222"/>
      <c r="D116" s="222"/>
      <c r="E116" s="223"/>
      <c r="F116" s="176">
        <f t="shared" ref="F116:H116" si="35">SUM(F9:F115)</f>
        <v>780885.5</v>
      </c>
      <c r="G116" s="176">
        <f t="shared" si="35"/>
        <v>141205.245</v>
      </c>
      <c r="H116" s="176">
        <f t="shared" si="35"/>
        <v>922090.74499999988</v>
      </c>
      <c r="I116" s="176">
        <f>SUM(I9:I115)</f>
        <v>246529.80459383762</v>
      </c>
      <c r="J116" s="176">
        <f t="shared" ref="J116:K116" si="36">SUM(J9:J115)</f>
        <v>42384.402872829145</v>
      </c>
      <c r="K116" s="176">
        <f t="shared" si="36"/>
        <v>288914.20746666664</v>
      </c>
      <c r="L116" s="176">
        <f>SUM(L9:L115)</f>
        <v>846578.77109243697</v>
      </c>
      <c r="M116" s="176">
        <f t="shared" ref="M116" si="37">SUM(M9:M115)</f>
        <v>158652.23650756304</v>
      </c>
      <c r="N116" s="176">
        <f t="shared" ref="N116" si="38">SUM(N9:N115)</f>
        <v>1005231.0076000002</v>
      </c>
      <c r="O116" s="176">
        <f>SUM(O9:O115)</f>
        <v>1541.1764705882354</v>
      </c>
      <c r="P116" s="176">
        <f t="shared" ref="P116" si="39">SUM(P9:P115)</f>
        <v>292.82352941176475</v>
      </c>
      <c r="Q116" s="176">
        <f t="shared" ref="Q116" si="40">SUM(Q9:Q115)</f>
        <v>1834</v>
      </c>
      <c r="R116" s="176">
        <f>SUM(R9:R115)</f>
        <v>386914.89915966388</v>
      </c>
      <c r="S116" s="176">
        <f t="shared" ref="S116" si="41">SUM(S9:S115)</f>
        <v>70347.100840336148</v>
      </c>
      <c r="T116" s="176">
        <f t="shared" ref="T116" si="42">SUM(T9:T115)</f>
        <v>457262.00000000006</v>
      </c>
      <c r="U116" s="176">
        <f>SUM(U9:U115)</f>
        <v>500114.28571428568</v>
      </c>
      <c r="V116" s="176">
        <f t="shared" ref="V116" si="43">SUM(V9:V115)</f>
        <v>92323.71428571429</v>
      </c>
      <c r="W116" s="176">
        <f t="shared" ref="W116:X116" si="44">SUM(W9:W115)</f>
        <v>592438</v>
      </c>
      <c r="X116" s="176">
        <f t="shared" si="44"/>
        <v>1680</v>
      </c>
      <c r="Y116" s="176">
        <f>SUM(Y9:Y115)</f>
        <v>598767.2268907564</v>
      </c>
      <c r="Z116" s="176">
        <f t="shared" ref="Z116" si="45">SUM(Z9:Z115)</f>
        <v>110972.7731092437</v>
      </c>
      <c r="AA116" s="176">
        <f t="shared" ref="AA116" si="46">SUM(AA9:AA115)</f>
        <v>709740</v>
      </c>
      <c r="AB116" s="176">
        <f>SUM(AB9:AB115)</f>
        <v>1276</v>
      </c>
      <c r="AC116" s="176">
        <f t="shared" ref="AC116" si="47">SUM(AC9:AC115)</f>
        <v>242.44</v>
      </c>
      <c r="AD116" s="176">
        <f t="shared" ref="AD116" si="48">SUM(AD9:AD115)</f>
        <v>1518.4400000000003</v>
      </c>
      <c r="AE116" s="176">
        <f>SUM(AE9:AE115)</f>
        <v>221932.72268907563</v>
      </c>
      <c r="AF116" s="176">
        <f t="shared" ref="AF116" si="49">SUM(AF9:AF115)</f>
        <v>42167.217310924367</v>
      </c>
      <c r="AG116" s="176">
        <f t="shared" ref="AG116" si="50">SUM(AG9:AG115)</f>
        <v>264099.94</v>
      </c>
      <c r="AH116" s="176">
        <f t="shared" ref="AH116" si="51">SUM(AH9:AH115)</f>
        <v>39614.990999999995</v>
      </c>
      <c r="AI116" s="176">
        <f t="shared" ref="AI116" si="52">SUM(AI9:AI115)</f>
        <v>303714.93099999998</v>
      </c>
      <c r="AJ116" s="176">
        <f>SUM(AJ9:AJ115)</f>
        <v>18974.789915966387</v>
      </c>
      <c r="AK116" s="176">
        <f t="shared" ref="AK116" si="53">SUM(AK9:AK115)</f>
        <v>3605.2100840336134</v>
      </c>
      <c r="AL116" s="176">
        <f t="shared" ref="AL116" si="54">SUM(AL9:AL115)</f>
        <v>22580</v>
      </c>
      <c r="AM116" s="176"/>
      <c r="AN116" s="176"/>
      <c r="AO116" s="176">
        <f>SUM(AO9:AO115)</f>
        <v>265546.21848739497</v>
      </c>
      <c r="AP116" s="176">
        <f t="shared" ref="AP116" si="55">SUM(AP9:AP115)</f>
        <v>50453.781512605048</v>
      </c>
      <c r="AQ116" s="176">
        <f t="shared" ref="AQ116" si="56">SUM(AQ9:AQ115)</f>
        <v>316000</v>
      </c>
      <c r="AR116" s="176">
        <f t="shared" ref="AR116" si="57">SUM(AR9:AR115)</f>
        <v>47400</v>
      </c>
      <c r="AS116" s="176">
        <f t="shared" ref="AS116" si="58">SUM(AS9:AS115)</f>
        <v>363400</v>
      </c>
      <c r="AT116" s="176">
        <f>SUM(AT9:AT115)</f>
        <v>27058.823529411766</v>
      </c>
      <c r="AU116" s="176">
        <f t="shared" ref="AU116" si="59">SUM(AU9:AU115)</f>
        <v>5141.1764705882351</v>
      </c>
      <c r="AV116" s="176">
        <f t="shared" ref="AV116" si="60">SUM(AV9:AV115)</f>
        <v>32200</v>
      </c>
      <c r="AW116" s="176"/>
      <c r="AX116" s="176"/>
      <c r="AY116" s="176">
        <f>SUM(AY9:AY115)</f>
        <v>48319.327731092439</v>
      </c>
      <c r="AZ116" s="176">
        <f t="shared" ref="AZ116" si="61">SUM(AZ9:AZ115)</f>
        <v>9180.6722689075632</v>
      </c>
      <c r="BA116" s="176">
        <f t="shared" ref="BA116" si="62">SUM(BA9:BA115)</f>
        <v>57500</v>
      </c>
      <c r="BB116" s="176">
        <f t="shared" ref="BB116" si="63">SUM(BB9:BB115)</f>
        <v>8625</v>
      </c>
      <c r="BC116" s="176">
        <f t="shared" ref="BC116" si="64">SUM(BC9:BC115)</f>
        <v>66125</v>
      </c>
      <c r="BD116" s="176">
        <f>SUM(BD9:BD115)</f>
        <v>219928.57142857142</v>
      </c>
      <c r="BE116" s="176">
        <f t="shared" ref="BE116" si="65">SUM(BE9:BE115)</f>
        <v>4071.428571428572</v>
      </c>
      <c r="BF116" s="176">
        <f t="shared" ref="BF116" si="66">SUM(BF9:BF115)</f>
        <v>224000</v>
      </c>
      <c r="BG116" s="176"/>
      <c r="BH116" s="176"/>
      <c r="BI116" s="176">
        <f>SUM(BI9:BI115)</f>
        <v>100840.33613445378</v>
      </c>
      <c r="BJ116" s="176">
        <f t="shared" ref="BJ116" si="67">SUM(BJ9:BJ115)</f>
        <v>19159.663865546219</v>
      </c>
      <c r="BK116" s="176">
        <f t="shared" ref="BK116" si="68">SUM(BK9:BK115)</f>
        <v>120000</v>
      </c>
      <c r="BL116" s="176">
        <f t="shared" ref="BL116" si="69">SUM(BL9:BL115)</f>
        <v>18000</v>
      </c>
      <c r="BM116" s="176">
        <f t="shared" ref="BM116" si="70">SUM(BM9:BM115)</f>
        <v>138000</v>
      </c>
      <c r="BN116" s="176">
        <f>SUM(BN9:BN115)</f>
        <v>8742.8571428571431</v>
      </c>
      <c r="BO116" s="176">
        <f t="shared" ref="BO116" si="71">SUM(BO9:BO115)</f>
        <v>1661.1428571428571</v>
      </c>
      <c r="BP116" s="176">
        <f t="shared" ref="BP116" si="72">SUM(BP9:BP115)</f>
        <v>10404</v>
      </c>
      <c r="BQ116" s="176">
        <f t="shared" ref="BQ116" si="73">SUM(BQ9:BQ115)</f>
        <v>1560.6</v>
      </c>
      <c r="BR116" s="176">
        <f t="shared" ref="BR116" si="74">SUM(BR9:BR115)</f>
        <v>11964.6</v>
      </c>
      <c r="BS116" s="176">
        <f>SUM(BS9:BS115)</f>
        <v>1680.6722689075632</v>
      </c>
      <c r="BT116" s="176">
        <f t="shared" ref="BT116" si="75">SUM(BT9:BT115)</f>
        <v>319.32773109243703</v>
      </c>
      <c r="BU116" s="176">
        <f t="shared" ref="BU116" si="76">SUM(BU9:BU115)</f>
        <v>2000.0000000000002</v>
      </c>
      <c r="BV116" s="176">
        <f t="shared" ref="BV116" si="77">SUM(BV9:BV115)</f>
        <v>300</v>
      </c>
      <c r="BW116" s="176">
        <f t="shared" ref="BW116" si="78">SUM(BW9:BW115)</f>
        <v>2300</v>
      </c>
      <c r="BX116" s="176">
        <f>SUM(BX9:BX115)</f>
        <v>7400</v>
      </c>
      <c r="BY116" s="176">
        <f t="shared" ref="BY116" si="79">SUM(BY9:BY115)</f>
        <v>1406</v>
      </c>
      <c r="BZ116" s="176">
        <f t="shared" ref="BZ116" si="80">SUM(BZ9:BZ115)</f>
        <v>8806</v>
      </c>
      <c r="CA116" s="176">
        <f t="shared" ref="CA116" si="81">SUM(CA9:CA115)</f>
        <v>6632</v>
      </c>
      <c r="CB116" s="176">
        <f t="shared" ref="CB116" si="82">SUM(CB9:CB115)</f>
        <v>1260.08</v>
      </c>
      <c r="CC116" s="176">
        <f t="shared" ref="CC116" si="83">SUM(CC9:CC115)</f>
        <v>7892.08</v>
      </c>
      <c r="CD116" s="176">
        <f>SUM(CD9:CD115)</f>
        <v>45722.694201680664</v>
      </c>
      <c r="CE116" s="176">
        <f t="shared" ref="CE116" si="84">SUM(CE9:CE115)</f>
        <v>8687.311898319329</v>
      </c>
      <c r="CF116" s="176">
        <f t="shared" ref="CF116" si="85">SUM(CF9:CF115)</f>
        <v>54410.006099999999</v>
      </c>
      <c r="CG116" s="176">
        <f t="shared" ref="CG116" si="86">SUM(CG9:CG115)</f>
        <v>7186.5</v>
      </c>
      <c r="CH116" s="176">
        <f t="shared" ref="CH116" si="87">SUM(CH9:CH115)</f>
        <v>55096.5</v>
      </c>
      <c r="CI116" s="176"/>
      <c r="CJ116" s="176"/>
      <c r="CK116" s="176"/>
      <c r="CL116" s="176"/>
      <c r="CM116" s="176"/>
      <c r="CN116" s="176"/>
      <c r="CO116" s="176"/>
      <c r="CP116" s="176"/>
      <c r="CQ116" s="176"/>
      <c r="CR116" s="176"/>
      <c r="CS116" s="176">
        <f>SUM(CS9:CS115)</f>
        <v>277202.52100840339</v>
      </c>
      <c r="CT116" s="176">
        <f t="shared" ref="CT116" si="88">SUM(CT9:CT115)</f>
        <v>18297.478991596643</v>
      </c>
      <c r="CU116" s="176">
        <f t="shared" ref="CU116" si="89">SUM(CU9:CU115)</f>
        <v>295500</v>
      </c>
      <c r="CV116" s="176">
        <f t="shared" ref="CV116" si="90">SUM(CV9:CV115)</f>
        <v>44325</v>
      </c>
      <c r="CW116" s="176">
        <f t="shared" ref="CW116" si="91">SUM(CW9:CW115)</f>
        <v>339825</v>
      </c>
      <c r="CX116" s="176">
        <f>SUM(CX9:CX115)</f>
        <v>25462.184873949584</v>
      </c>
      <c r="CY116" s="176">
        <f t="shared" ref="CY116" si="92">SUM(CY9:CY115)</f>
        <v>4837.8151260504201</v>
      </c>
      <c r="CZ116" s="176">
        <f t="shared" ref="CZ116" si="93">SUM(CZ9:CZ115)</f>
        <v>30300</v>
      </c>
      <c r="DA116" s="177"/>
      <c r="DB116" s="177"/>
      <c r="DC116" s="177"/>
      <c r="DD116" s="177"/>
      <c r="DE116" s="178">
        <f>SUM(DE9:DE115)</f>
        <v>2018076.3017647059</v>
      </c>
      <c r="DF116" s="178">
        <f t="shared" ref="DF116:DH116" si="94">SUM(DF9:DF115)</f>
        <v>383049.59739495796</v>
      </c>
      <c r="DG116" s="178">
        <f>SUM(DG9:DG115)</f>
        <v>2409134</v>
      </c>
      <c r="DH116" s="178">
        <f>SUM(DH9:DH115)</f>
        <v>316166583</v>
      </c>
      <c r="DI116" s="184"/>
    </row>
    <row r="117" spans="1:113" x14ac:dyDescent="0.25">
      <c r="K117" s="32"/>
      <c r="L117" s="32"/>
      <c r="M117" s="32"/>
      <c r="N117" s="32"/>
      <c r="O117" s="32"/>
      <c r="P117" s="32"/>
      <c r="Q117" s="32"/>
      <c r="R117" s="32"/>
      <c r="S117" s="32"/>
      <c r="T117" s="34"/>
      <c r="DI117" s="33"/>
    </row>
    <row r="118" spans="1:113" x14ac:dyDescent="0.25">
      <c r="T118" s="19"/>
      <c r="CC118" s="19"/>
      <c r="CF118" s="1"/>
      <c r="CG118" s="1"/>
      <c r="CH118" s="1"/>
      <c r="CI118" s="1"/>
      <c r="CJ118" s="1"/>
      <c r="CK118" s="1"/>
      <c r="CL118" s="1"/>
      <c r="CM118" s="1"/>
      <c r="CN118" s="1"/>
      <c r="CO118" s="1"/>
      <c r="CP118" s="1"/>
      <c r="CQ118" s="1"/>
      <c r="CR118" s="1"/>
      <c r="CS118" s="1"/>
      <c r="CT118" s="1"/>
      <c r="CU118" s="1"/>
      <c r="CV118" s="1"/>
      <c r="CW118" s="1"/>
      <c r="CX118" s="1"/>
      <c r="CY118" s="1"/>
      <c r="CZ118" s="1"/>
      <c r="DH118" s="207"/>
      <c r="DI118" s="19"/>
    </row>
    <row r="119" spans="1:113" ht="30" customHeight="1" x14ac:dyDescent="0.25">
      <c r="B119" s="208" t="s">
        <v>397</v>
      </c>
      <c r="C119" s="208"/>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8"/>
      <c r="AA119" s="208"/>
      <c r="AB119" s="208"/>
      <c r="AC119" s="208"/>
      <c r="AD119" s="208"/>
      <c r="AE119" s="208"/>
      <c r="AF119" s="208"/>
      <c r="AG119" s="208"/>
      <c r="AH119" s="208"/>
      <c r="AI119" s="208"/>
      <c r="AJ119" s="208"/>
      <c r="AK119" s="208"/>
      <c r="AL119" s="208"/>
      <c r="AM119" s="208"/>
      <c r="AN119" s="208"/>
      <c r="AO119" s="208"/>
      <c r="AP119" s="208"/>
      <c r="AQ119" s="208"/>
      <c r="AR119" s="208"/>
      <c r="AS119" s="208"/>
      <c r="AT119" s="208"/>
      <c r="AU119" s="208"/>
      <c r="AV119" s="208"/>
      <c r="AW119" s="208"/>
      <c r="AX119" s="208"/>
      <c r="AY119" s="208"/>
      <c r="CF119" s="1"/>
      <c r="CG119" s="1"/>
      <c r="CH119" s="1"/>
      <c r="CI119" s="1"/>
      <c r="CJ119" s="1"/>
      <c r="CK119" s="1"/>
      <c r="CL119" s="1"/>
      <c r="CM119" s="1"/>
      <c r="CN119" s="1"/>
      <c r="CO119" s="1"/>
      <c r="CP119" s="1"/>
      <c r="CQ119" s="1"/>
      <c r="CR119" s="1"/>
      <c r="CS119" s="1"/>
      <c r="CT119" s="1"/>
      <c r="CU119" s="1"/>
      <c r="CV119" s="1"/>
      <c r="CW119" s="1"/>
      <c r="CX119" s="1"/>
      <c r="CY119" s="1"/>
      <c r="CZ119" s="1"/>
      <c r="DI119" s="19"/>
    </row>
    <row r="120" spans="1:113" ht="39.950000000000003" customHeight="1" x14ac:dyDescent="0.25">
      <c r="B120" s="208"/>
      <c r="C120" s="208"/>
      <c r="D120" s="208"/>
      <c r="E120" s="208"/>
      <c r="F120" s="208"/>
      <c r="G120" s="208"/>
      <c r="H120" s="208"/>
      <c r="I120" s="208"/>
      <c r="J120" s="208"/>
      <c r="K120" s="208"/>
      <c r="L120" s="208"/>
      <c r="M120" s="208"/>
      <c r="N120" s="208"/>
      <c r="O120" s="208"/>
      <c r="P120" s="208"/>
      <c r="Q120" s="208"/>
      <c r="R120" s="208"/>
      <c r="S120" s="208"/>
      <c r="T120" s="208"/>
      <c r="U120" s="208"/>
      <c r="V120" s="208"/>
      <c r="W120" s="208"/>
      <c r="X120" s="208"/>
      <c r="Y120" s="208"/>
      <c r="Z120" s="208"/>
      <c r="AA120" s="208"/>
      <c r="AB120" s="208"/>
      <c r="AC120" s="208"/>
      <c r="AD120" s="208"/>
      <c r="AE120" s="208"/>
      <c r="AF120" s="208"/>
      <c r="AG120" s="208"/>
      <c r="AH120" s="208"/>
      <c r="AI120" s="208"/>
      <c r="AJ120" s="208"/>
      <c r="AK120" s="208"/>
      <c r="AL120" s="208"/>
      <c r="AM120" s="208"/>
      <c r="AN120" s="208"/>
      <c r="AO120" s="208"/>
      <c r="AP120" s="208"/>
      <c r="AQ120" s="208"/>
      <c r="AR120" s="208"/>
      <c r="AS120" s="208"/>
      <c r="AT120" s="208"/>
      <c r="AU120" s="208"/>
      <c r="AV120" s="208"/>
      <c r="AW120" s="208"/>
      <c r="AX120" s="208"/>
      <c r="AY120" s="208"/>
      <c r="CC120" s="1"/>
      <c r="CF120" s="1"/>
      <c r="CG120" s="1"/>
      <c r="CH120" s="1"/>
      <c r="CI120" s="1"/>
      <c r="CJ120" s="1"/>
      <c r="CK120" s="1"/>
      <c r="CL120" s="1"/>
      <c r="CM120" s="1"/>
      <c r="CN120" s="1"/>
      <c r="CO120" s="1"/>
      <c r="CP120" s="1"/>
      <c r="CQ120" s="1"/>
      <c r="CR120" s="1"/>
      <c r="CS120" s="1"/>
      <c r="CT120" s="1"/>
      <c r="CU120" s="1"/>
      <c r="CV120" s="1"/>
      <c r="CW120" s="1"/>
      <c r="CX120" s="1"/>
      <c r="CY120" s="1"/>
      <c r="CZ120" s="1"/>
      <c r="DI120" s="19"/>
    </row>
    <row r="121" spans="1:113" ht="39.950000000000003" customHeight="1" x14ac:dyDescent="0.25">
      <c r="B121" s="208"/>
      <c r="C121" s="208"/>
      <c r="D121" s="208"/>
      <c r="E121" s="208"/>
      <c r="F121" s="208"/>
      <c r="G121" s="208"/>
      <c r="H121" s="208"/>
      <c r="I121" s="208"/>
      <c r="J121" s="208"/>
      <c r="K121" s="208"/>
      <c r="L121" s="208"/>
      <c r="M121" s="208"/>
      <c r="N121" s="208"/>
      <c r="O121" s="208"/>
      <c r="P121" s="208"/>
      <c r="Q121" s="208"/>
      <c r="R121" s="208"/>
      <c r="S121" s="208"/>
      <c r="T121" s="208"/>
      <c r="U121" s="208"/>
      <c r="V121" s="208"/>
      <c r="W121" s="208"/>
      <c r="X121" s="208"/>
      <c r="Y121" s="208"/>
      <c r="Z121" s="208"/>
      <c r="AA121" s="208"/>
      <c r="AB121" s="208"/>
      <c r="AC121" s="208"/>
      <c r="AD121" s="208"/>
      <c r="AE121" s="208"/>
      <c r="AF121" s="208"/>
      <c r="AG121" s="208"/>
      <c r="AH121" s="208"/>
      <c r="AI121" s="208"/>
      <c r="AJ121" s="208"/>
      <c r="AK121" s="208"/>
      <c r="AL121" s="208"/>
      <c r="AM121" s="208"/>
      <c r="AN121" s="208"/>
      <c r="AO121" s="208"/>
      <c r="AP121" s="208"/>
      <c r="AQ121" s="208"/>
      <c r="AR121" s="208"/>
      <c r="AS121" s="208"/>
      <c r="AT121" s="208"/>
      <c r="AU121" s="208"/>
      <c r="AV121" s="208"/>
      <c r="AW121" s="208"/>
      <c r="AX121" s="208"/>
      <c r="AY121" s="208"/>
    </row>
    <row r="122" spans="1:113" ht="39.950000000000003" customHeight="1" x14ac:dyDescent="0.25">
      <c r="B122" s="208"/>
      <c r="C122" s="208"/>
      <c r="D122" s="208"/>
      <c r="E122" s="208"/>
      <c r="F122" s="208"/>
      <c r="G122" s="208"/>
      <c r="H122" s="208"/>
      <c r="I122" s="208"/>
      <c r="J122" s="208"/>
      <c r="K122" s="208"/>
      <c r="L122" s="208"/>
      <c r="M122" s="208"/>
      <c r="N122" s="208"/>
      <c r="O122" s="208"/>
      <c r="P122" s="208"/>
      <c r="Q122" s="208"/>
      <c r="R122" s="208"/>
      <c r="S122" s="208"/>
      <c r="T122" s="208"/>
      <c r="U122" s="208"/>
      <c r="V122" s="208"/>
      <c r="W122" s="208"/>
      <c r="X122" s="208"/>
      <c r="Y122" s="208"/>
      <c r="Z122" s="208"/>
      <c r="AA122" s="208"/>
      <c r="AB122" s="208"/>
      <c r="AC122" s="208"/>
      <c r="AD122" s="208"/>
      <c r="AE122" s="208"/>
      <c r="AF122" s="208"/>
      <c r="AG122" s="208"/>
      <c r="AH122" s="208"/>
      <c r="AI122" s="208"/>
      <c r="AJ122" s="208"/>
      <c r="AK122" s="208"/>
      <c r="AL122" s="208"/>
      <c r="AM122" s="208"/>
      <c r="AN122" s="208"/>
      <c r="AO122" s="208"/>
      <c r="AP122" s="208"/>
      <c r="AQ122" s="208"/>
      <c r="AR122" s="208"/>
      <c r="AS122" s="208"/>
      <c r="AT122" s="208"/>
      <c r="AU122" s="208"/>
      <c r="AV122" s="208"/>
      <c r="AW122" s="208"/>
      <c r="AX122" s="208"/>
      <c r="AY122" s="208"/>
    </row>
    <row r="123" spans="1:113" ht="39.950000000000003" customHeight="1" x14ac:dyDescent="0.25">
      <c r="B123" s="208"/>
      <c r="C123" s="208"/>
      <c r="D123" s="208"/>
      <c r="E123" s="208"/>
      <c r="F123" s="208"/>
      <c r="G123" s="208"/>
      <c r="H123" s="208"/>
      <c r="I123" s="208"/>
      <c r="J123" s="208"/>
      <c r="K123" s="208"/>
      <c r="L123" s="208"/>
      <c r="M123" s="208"/>
      <c r="N123" s="208"/>
      <c r="O123" s="208"/>
      <c r="P123" s="208"/>
      <c r="Q123" s="208"/>
      <c r="R123" s="208"/>
      <c r="S123" s="208"/>
      <c r="T123" s="208"/>
      <c r="U123" s="208"/>
      <c r="V123" s="208"/>
      <c r="W123" s="208"/>
      <c r="X123" s="208"/>
      <c r="Y123" s="208"/>
      <c r="Z123" s="208"/>
      <c r="AA123" s="208"/>
      <c r="AB123" s="208"/>
      <c r="AC123" s="208"/>
      <c r="AD123" s="208"/>
      <c r="AE123" s="208"/>
      <c r="AF123" s="208"/>
      <c r="AG123" s="208"/>
      <c r="AH123" s="208"/>
      <c r="AI123" s="208"/>
      <c r="AJ123" s="208"/>
      <c r="AK123" s="208"/>
      <c r="AL123" s="208"/>
      <c r="AM123" s="208"/>
      <c r="AN123" s="208"/>
      <c r="AO123" s="208"/>
      <c r="AP123" s="208"/>
      <c r="AQ123" s="208"/>
      <c r="AR123" s="208"/>
      <c r="AS123" s="208"/>
      <c r="AT123" s="208"/>
      <c r="AU123" s="208"/>
      <c r="AV123" s="208"/>
      <c r="AW123" s="208"/>
      <c r="AX123" s="208"/>
      <c r="AY123" s="208"/>
    </row>
    <row r="124" spans="1:113" x14ac:dyDescent="0.25">
      <c r="B124" s="208"/>
      <c r="C124" s="208"/>
      <c r="D124" s="208"/>
      <c r="E124" s="208"/>
      <c r="F124" s="208"/>
      <c r="G124" s="208"/>
      <c r="H124" s="208"/>
      <c r="I124" s="208"/>
      <c r="J124" s="208"/>
      <c r="K124" s="208"/>
      <c r="L124" s="208"/>
      <c r="M124" s="208"/>
      <c r="N124" s="208"/>
      <c r="O124" s="208"/>
      <c r="P124" s="208"/>
      <c r="Q124" s="208"/>
      <c r="R124" s="208"/>
      <c r="S124" s="208"/>
      <c r="T124" s="208"/>
      <c r="U124" s="208"/>
      <c r="V124" s="208"/>
      <c r="W124" s="208"/>
      <c r="X124" s="208"/>
      <c r="Y124" s="208"/>
      <c r="Z124" s="208"/>
      <c r="AA124" s="208"/>
      <c r="AB124" s="208"/>
      <c r="AC124" s="208"/>
      <c r="AD124" s="208"/>
      <c r="AE124" s="208"/>
      <c r="AF124" s="208"/>
      <c r="AG124" s="208"/>
      <c r="AH124" s="208"/>
      <c r="AI124" s="208"/>
      <c r="AJ124" s="208"/>
      <c r="AK124" s="208"/>
      <c r="AL124" s="208"/>
      <c r="AM124" s="208"/>
      <c r="AN124" s="208"/>
      <c r="AO124" s="208"/>
      <c r="AP124" s="208"/>
      <c r="AQ124" s="208"/>
      <c r="AR124" s="208"/>
      <c r="AS124" s="208"/>
      <c r="AT124" s="208"/>
      <c r="AU124" s="208"/>
      <c r="AV124" s="208"/>
      <c r="AW124" s="208"/>
      <c r="AX124" s="208"/>
      <c r="AY124" s="208"/>
      <c r="DH124" s="35"/>
      <c r="DI124" s="32" t="s">
        <v>222</v>
      </c>
    </row>
    <row r="125" spans="1:113" x14ac:dyDescent="0.25">
      <c r="B125" s="208"/>
      <c r="C125" s="208"/>
      <c r="D125" s="208"/>
      <c r="E125" s="208"/>
      <c r="F125" s="208"/>
      <c r="G125" s="208"/>
      <c r="H125" s="208"/>
      <c r="I125" s="208"/>
      <c r="J125" s="208"/>
      <c r="K125" s="208"/>
      <c r="L125" s="208"/>
      <c r="M125" s="208"/>
      <c r="N125" s="208"/>
      <c r="O125" s="208"/>
      <c r="P125" s="208"/>
      <c r="Q125" s="208"/>
      <c r="R125" s="208"/>
      <c r="S125" s="208"/>
      <c r="T125" s="208"/>
      <c r="U125" s="208"/>
      <c r="V125" s="208"/>
      <c r="W125" s="208"/>
      <c r="X125" s="208"/>
      <c r="Y125" s="208"/>
      <c r="Z125" s="208"/>
      <c r="AA125" s="208"/>
      <c r="AB125" s="208"/>
      <c r="AC125" s="208"/>
      <c r="AD125" s="208"/>
      <c r="AE125" s="208"/>
      <c r="AF125" s="208"/>
      <c r="AG125" s="208"/>
      <c r="AH125" s="208"/>
      <c r="AI125" s="208"/>
      <c r="AJ125" s="208"/>
      <c r="AK125" s="208"/>
      <c r="AL125" s="208"/>
      <c r="AM125" s="208"/>
      <c r="AN125" s="208"/>
      <c r="AO125" s="208"/>
      <c r="AP125" s="208"/>
      <c r="AQ125" s="208"/>
      <c r="AR125" s="208"/>
      <c r="AS125" s="208"/>
      <c r="AT125" s="208"/>
      <c r="AU125" s="208"/>
      <c r="AV125" s="208"/>
      <c r="AW125" s="208"/>
      <c r="AX125" s="208"/>
      <c r="AY125" s="208"/>
    </row>
    <row r="126" spans="1:113" x14ac:dyDescent="0.25">
      <c r="B126" s="208"/>
      <c r="C126" s="208"/>
      <c r="D126" s="208"/>
      <c r="E126" s="208"/>
      <c r="F126" s="208"/>
      <c r="G126" s="208"/>
      <c r="H126" s="208"/>
      <c r="I126" s="208"/>
      <c r="J126" s="208"/>
      <c r="K126" s="208"/>
      <c r="L126" s="208"/>
      <c r="M126" s="208"/>
      <c r="N126" s="208"/>
      <c r="O126" s="208"/>
      <c r="P126" s="208"/>
      <c r="Q126" s="208"/>
      <c r="R126" s="208"/>
      <c r="S126" s="208"/>
      <c r="T126" s="208"/>
      <c r="U126" s="208"/>
      <c r="V126" s="208"/>
      <c r="W126" s="208"/>
      <c r="X126" s="208"/>
      <c r="Y126" s="208"/>
      <c r="Z126" s="208"/>
      <c r="AA126" s="208"/>
      <c r="AB126" s="208"/>
      <c r="AC126" s="208"/>
      <c r="AD126" s="208"/>
      <c r="AE126" s="208"/>
      <c r="AF126" s="208"/>
      <c r="AG126" s="208"/>
      <c r="AH126" s="208"/>
      <c r="AI126" s="208"/>
      <c r="AJ126" s="208"/>
      <c r="AK126" s="208"/>
      <c r="AL126" s="208"/>
      <c r="AM126" s="208"/>
      <c r="AN126" s="208"/>
      <c r="AO126" s="208"/>
      <c r="AP126" s="208"/>
      <c r="AQ126" s="208"/>
      <c r="AR126" s="208"/>
      <c r="AS126" s="208"/>
      <c r="AT126" s="208"/>
      <c r="AU126" s="208"/>
      <c r="AV126" s="208"/>
      <c r="AW126" s="208"/>
      <c r="AX126" s="208"/>
      <c r="AY126" s="208"/>
    </row>
    <row r="127" spans="1:113" x14ac:dyDescent="0.25">
      <c r="B127" s="208"/>
      <c r="C127" s="208"/>
      <c r="D127" s="208"/>
      <c r="E127" s="208"/>
      <c r="F127" s="208"/>
      <c r="G127" s="208"/>
      <c r="H127" s="208"/>
      <c r="I127" s="208"/>
      <c r="J127" s="208"/>
      <c r="K127" s="208"/>
      <c r="L127" s="208"/>
      <c r="M127" s="208"/>
      <c r="N127" s="208"/>
      <c r="O127" s="208"/>
      <c r="P127" s="208"/>
      <c r="Q127" s="208"/>
      <c r="R127" s="208"/>
      <c r="S127" s="208"/>
      <c r="T127" s="208"/>
      <c r="U127" s="208"/>
      <c r="V127" s="208"/>
      <c r="W127" s="208"/>
      <c r="X127" s="208"/>
      <c r="Y127" s="208"/>
      <c r="Z127" s="208"/>
      <c r="AA127" s="208"/>
      <c r="AB127" s="208"/>
      <c r="AC127" s="208"/>
      <c r="AD127" s="208"/>
      <c r="AE127" s="208"/>
      <c r="AF127" s="208"/>
      <c r="AG127" s="208"/>
      <c r="AH127" s="208"/>
      <c r="AI127" s="208"/>
      <c r="AJ127" s="208"/>
      <c r="AK127" s="208"/>
      <c r="AL127" s="208"/>
      <c r="AM127" s="208"/>
      <c r="AN127" s="208"/>
      <c r="AO127" s="208"/>
      <c r="AP127" s="208"/>
      <c r="AQ127" s="208"/>
      <c r="AR127" s="208"/>
      <c r="AS127" s="208"/>
      <c r="AT127" s="208"/>
      <c r="AU127" s="208"/>
      <c r="AV127" s="208"/>
      <c r="AW127" s="208"/>
      <c r="AX127" s="208"/>
      <c r="AY127" s="208"/>
    </row>
    <row r="128" spans="1:113" x14ac:dyDescent="0.25">
      <c r="B128" s="208"/>
      <c r="C128" s="208"/>
      <c r="D128" s="208"/>
      <c r="E128" s="208"/>
      <c r="F128" s="208"/>
      <c r="G128" s="208"/>
      <c r="H128" s="208"/>
      <c r="I128" s="208"/>
      <c r="J128" s="208"/>
      <c r="K128" s="208"/>
      <c r="L128" s="208"/>
      <c r="M128" s="208"/>
      <c r="N128" s="208"/>
      <c r="O128" s="208"/>
      <c r="P128" s="208"/>
      <c r="Q128" s="208"/>
      <c r="R128" s="208"/>
      <c r="S128" s="208"/>
      <c r="T128" s="208"/>
      <c r="U128" s="208"/>
      <c r="V128" s="208"/>
      <c r="W128" s="208"/>
      <c r="X128" s="208"/>
      <c r="Y128" s="208"/>
      <c r="Z128" s="208"/>
      <c r="AA128" s="208"/>
      <c r="AB128" s="208"/>
      <c r="AC128" s="208"/>
      <c r="AD128" s="208"/>
      <c r="AE128" s="208"/>
      <c r="AF128" s="208"/>
      <c r="AG128" s="208"/>
      <c r="AH128" s="208"/>
      <c r="AI128" s="208"/>
      <c r="AJ128" s="208"/>
      <c r="AK128" s="208"/>
      <c r="AL128" s="208"/>
      <c r="AM128" s="208"/>
      <c r="AN128" s="208"/>
      <c r="AO128" s="208"/>
      <c r="AP128" s="208"/>
      <c r="AQ128" s="208"/>
      <c r="AR128" s="208"/>
      <c r="AS128" s="208"/>
      <c r="AT128" s="208"/>
      <c r="AU128" s="208"/>
      <c r="AV128" s="208"/>
      <c r="AW128" s="208"/>
      <c r="AX128" s="208"/>
      <c r="AY128" s="208"/>
    </row>
    <row r="129" spans="2:51" x14ac:dyDescent="0.25">
      <c r="B129" s="208"/>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8"/>
      <c r="AG129" s="208"/>
      <c r="AH129" s="208"/>
      <c r="AI129" s="208"/>
      <c r="AJ129" s="208"/>
      <c r="AK129" s="208"/>
      <c r="AL129" s="208"/>
      <c r="AM129" s="208"/>
      <c r="AN129" s="208"/>
      <c r="AO129" s="208"/>
      <c r="AP129" s="208"/>
      <c r="AQ129" s="208"/>
      <c r="AR129" s="208"/>
      <c r="AS129" s="208"/>
      <c r="AT129" s="208"/>
      <c r="AU129" s="208"/>
      <c r="AV129" s="208"/>
      <c r="AW129" s="208"/>
      <c r="AX129" s="208"/>
      <c r="AY129" s="208"/>
    </row>
  </sheetData>
  <autoFilter ref="A8:DI116" xr:uid="{00000000-0009-0000-0000-000000000000}"/>
  <mergeCells count="35">
    <mergeCell ref="CN6:CR7"/>
    <mergeCell ref="A1:DI1"/>
    <mergeCell ref="DI6:DI8"/>
    <mergeCell ref="U6:W7"/>
    <mergeCell ref="X6:X7"/>
    <mergeCell ref="Y6:AA7"/>
    <mergeCell ref="AB6:AD7"/>
    <mergeCell ref="DE6:DH7"/>
    <mergeCell ref="L6:N7"/>
    <mergeCell ref="A2:DI2"/>
    <mergeCell ref="DA6:DD7"/>
    <mergeCell ref="CX6:CZ7"/>
    <mergeCell ref="CS6:CW7"/>
    <mergeCell ref="AT6:AX7"/>
    <mergeCell ref="BN6:BR7"/>
    <mergeCell ref="A4:AH4"/>
    <mergeCell ref="A5:AH5"/>
    <mergeCell ref="AY6:BC7"/>
    <mergeCell ref="BI6:BM7"/>
    <mergeCell ref="CI6:CM7"/>
    <mergeCell ref="B119:AY129"/>
    <mergeCell ref="BS6:BW7"/>
    <mergeCell ref="CD6:CH7"/>
    <mergeCell ref="A116:E116"/>
    <mergeCell ref="A6:E7"/>
    <mergeCell ref="BX6:BZ7"/>
    <mergeCell ref="CA6:CC7"/>
    <mergeCell ref="F6:H7"/>
    <mergeCell ref="R6:T7"/>
    <mergeCell ref="I6:K7"/>
    <mergeCell ref="O6:Q7"/>
    <mergeCell ref="AE6:AI7"/>
    <mergeCell ref="AJ6:AN7"/>
    <mergeCell ref="AO6:AS7"/>
    <mergeCell ref="BD6:BH7"/>
  </mergeCells>
  <dataValidations count="1">
    <dataValidation type="list" allowBlank="1" showInputMessage="1" showErrorMessage="1" sqref="D65:D115" xr:uid="{00000000-0002-0000-0000-000000000000}">
      <formula1>#REF!</formula1>
    </dataValidation>
  </dataValidations>
  <pageMargins left="0.70866141732283472" right="0.70866141732283472" top="0.74803149606299213" bottom="0.74803149606299213" header="0.31496062992125984" footer="0.31496062992125984"/>
  <pageSetup paperSize="121" scale="11" fitToHeight="5" orientation="landscape" r:id="rId1"/>
  <ignoredErrors>
    <ignoredError sqref="DD35 DB34:DC34 DA33:DC33 DD104 DA40:DC40 S72 DA35 DA102 DB102:DC102 AH24:AH70 AH9 CV24 CV76 CV9 AM60 AR104 AR84 AW109 BB9:BB52 BG83 BL54:BL70 BQ91 BV111 CG21 DA24:DC24 BB53:BB70 CG52 DA54:DC54 DA109:DC109 AH72:AH88 BL72:BL88 BB72:BB109 BG71 CL71 CQ71 CV71 DF71" formula="1"/>
    <ignoredError sqref="DD32 DD105:DD107 DD81 DD34" evalError="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AY28"/>
  <sheetViews>
    <sheetView zoomScale="74" zoomScaleNormal="130" workbookViewId="0">
      <pane xSplit="5" ySplit="6" topLeftCell="AC7" activePane="bottomRight" state="frozen"/>
      <selection pane="topRight" activeCell="F1" sqref="F1"/>
      <selection pane="bottomLeft" activeCell="A6" sqref="A6"/>
      <selection pane="bottomRight" activeCell="AD16" sqref="AD16"/>
    </sheetView>
  </sheetViews>
  <sheetFormatPr baseColWidth="10" defaultColWidth="11.42578125" defaultRowHeight="15" x14ac:dyDescent="0.25"/>
  <cols>
    <col min="1" max="1" width="8.140625" style="24" customWidth="1"/>
    <col min="2" max="2" width="19.140625" style="2" customWidth="1"/>
    <col min="3" max="3" width="50.42578125" style="2" customWidth="1"/>
    <col min="4" max="4" width="11.42578125" style="2"/>
    <col min="5" max="5" width="16.140625" style="2" customWidth="1"/>
    <col min="6" max="28" width="15.7109375" style="1" customWidth="1"/>
    <col min="29" max="29" width="15.7109375" style="31" customWidth="1"/>
    <col min="30" max="30" width="18.28515625" style="1" customWidth="1"/>
    <col min="31" max="31" width="15.7109375" style="1" customWidth="1"/>
    <col min="32" max="32" width="29" style="2" customWidth="1"/>
    <col min="33" max="33" width="40.28515625" style="2" customWidth="1"/>
    <col min="34" max="16384" width="11.42578125" style="2"/>
  </cols>
  <sheetData>
    <row r="2" spans="1:33" ht="18" customHeight="1" x14ac:dyDescent="0.25">
      <c r="A2" s="232" t="s">
        <v>233</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1:33" ht="18" customHeight="1" x14ac:dyDescent="0.25">
      <c r="A3" s="235" t="s">
        <v>799</v>
      </c>
      <c r="B3" s="236"/>
      <c r="C3" s="236"/>
      <c r="D3" s="236"/>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1:33" ht="30.75" customHeight="1" x14ac:dyDescent="0.25">
      <c r="A4" s="224" t="s">
        <v>811</v>
      </c>
      <c r="B4" s="225"/>
      <c r="C4" s="225"/>
      <c r="D4" s="225"/>
      <c r="E4" s="226"/>
      <c r="F4" s="245" t="s">
        <v>259</v>
      </c>
      <c r="G4" s="245"/>
      <c r="H4" s="247" t="s">
        <v>251</v>
      </c>
      <c r="I4" s="247"/>
      <c r="J4" s="249" t="s">
        <v>197</v>
      </c>
      <c r="K4" s="249"/>
      <c r="L4" s="255" t="s">
        <v>196</v>
      </c>
      <c r="M4" s="255"/>
      <c r="N4" s="245" t="s">
        <v>260</v>
      </c>
      <c r="O4" s="245"/>
      <c r="P4" s="247" t="s">
        <v>261</v>
      </c>
      <c r="Q4" s="247"/>
      <c r="R4" s="249" t="s">
        <v>262</v>
      </c>
      <c r="S4" s="249"/>
      <c r="T4" s="255" t="s">
        <v>263</v>
      </c>
      <c r="U4" s="255"/>
      <c r="V4" s="245" t="s">
        <v>252</v>
      </c>
      <c r="W4" s="245"/>
      <c r="X4" s="247" t="s">
        <v>264</v>
      </c>
      <c r="Y4" s="247"/>
      <c r="Z4" s="262" t="s">
        <v>0</v>
      </c>
      <c r="AA4" s="262"/>
      <c r="AB4" s="262"/>
      <c r="AC4" s="262"/>
      <c r="AD4" s="257" t="s">
        <v>1</v>
      </c>
      <c r="AE4" s="257"/>
      <c r="AF4" s="257"/>
    </row>
    <row r="5" spans="1:33" ht="30.75" customHeight="1" x14ac:dyDescent="0.25">
      <c r="A5" s="227"/>
      <c r="B5" s="228"/>
      <c r="C5" s="228"/>
      <c r="D5" s="228"/>
      <c r="E5" s="229"/>
      <c r="F5" s="246"/>
      <c r="G5" s="246"/>
      <c r="H5" s="248"/>
      <c r="I5" s="248"/>
      <c r="J5" s="250"/>
      <c r="K5" s="250"/>
      <c r="L5" s="256"/>
      <c r="M5" s="256"/>
      <c r="N5" s="246"/>
      <c r="O5" s="246"/>
      <c r="P5" s="248"/>
      <c r="Q5" s="248"/>
      <c r="R5" s="250"/>
      <c r="S5" s="250"/>
      <c r="T5" s="256"/>
      <c r="U5" s="256"/>
      <c r="V5" s="246"/>
      <c r="W5" s="246"/>
      <c r="X5" s="248"/>
      <c r="Y5" s="248"/>
      <c r="Z5" s="263"/>
      <c r="AA5" s="263"/>
      <c r="AB5" s="263"/>
      <c r="AC5" s="263"/>
      <c r="AD5" s="258"/>
      <c r="AE5" s="258"/>
      <c r="AF5" s="258"/>
    </row>
    <row r="6" spans="1:33" s="5" customFormat="1" ht="38.25" x14ac:dyDescent="0.25">
      <c r="A6" s="3" t="s">
        <v>234</v>
      </c>
      <c r="B6" s="3" t="s">
        <v>2</v>
      </c>
      <c r="C6" s="3" t="s">
        <v>3</v>
      </c>
      <c r="D6" s="3" t="s">
        <v>4</v>
      </c>
      <c r="E6" s="3" t="s">
        <v>800</v>
      </c>
      <c r="F6" s="170" t="s">
        <v>235</v>
      </c>
      <c r="G6" s="170" t="s">
        <v>7</v>
      </c>
      <c r="H6" s="170" t="s">
        <v>235</v>
      </c>
      <c r="I6" s="170" t="s">
        <v>7</v>
      </c>
      <c r="J6" s="170" t="s">
        <v>235</v>
      </c>
      <c r="K6" s="170" t="s">
        <v>7</v>
      </c>
      <c r="L6" s="170" t="s">
        <v>235</v>
      </c>
      <c r="M6" s="170" t="s">
        <v>7</v>
      </c>
      <c r="N6" s="170" t="s">
        <v>235</v>
      </c>
      <c r="O6" s="170" t="s">
        <v>6</v>
      </c>
      <c r="P6" s="170" t="s">
        <v>235</v>
      </c>
      <c r="Q6" s="170" t="s">
        <v>6</v>
      </c>
      <c r="R6" s="170" t="s">
        <v>235</v>
      </c>
      <c r="S6" s="170" t="s">
        <v>6</v>
      </c>
      <c r="T6" s="170" t="s">
        <v>235</v>
      </c>
      <c r="U6" s="170" t="s">
        <v>6</v>
      </c>
      <c r="V6" s="170" t="s">
        <v>235</v>
      </c>
      <c r="W6" s="170" t="s">
        <v>6</v>
      </c>
      <c r="X6" s="170" t="s">
        <v>235</v>
      </c>
      <c r="Y6" s="170" t="s">
        <v>6</v>
      </c>
      <c r="Z6" s="22" t="s">
        <v>8</v>
      </c>
      <c r="AA6" s="22" t="s">
        <v>9</v>
      </c>
      <c r="AB6" s="22" t="s">
        <v>10</v>
      </c>
      <c r="AC6" s="23" t="s">
        <v>194</v>
      </c>
      <c r="AD6" s="18" t="s">
        <v>208</v>
      </c>
      <c r="AE6" s="18" t="s">
        <v>11</v>
      </c>
      <c r="AF6" s="4" t="s">
        <v>12</v>
      </c>
    </row>
    <row r="7" spans="1:33" ht="25.5" x14ac:dyDescent="0.25">
      <c r="A7" s="8">
        <v>1</v>
      </c>
      <c r="B7" s="14" t="s">
        <v>173</v>
      </c>
      <c r="C7" s="7" t="s">
        <v>174</v>
      </c>
      <c r="D7" s="8" t="s">
        <v>175</v>
      </c>
      <c r="E7" s="8">
        <v>43</v>
      </c>
      <c r="F7" s="12">
        <v>610000</v>
      </c>
      <c r="G7" s="12">
        <f>+F7*E7</f>
        <v>26230000</v>
      </c>
      <c r="H7" s="9"/>
      <c r="I7" s="9"/>
      <c r="J7" s="9">
        <v>545084</v>
      </c>
      <c r="K7" s="9">
        <f>+J7*E7</f>
        <v>23438612</v>
      </c>
      <c r="L7" s="9">
        <v>595000</v>
      </c>
      <c r="M7" s="9">
        <f>+L7*E7</f>
        <v>25585000</v>
      </c>
      <c r="N7" s="9"/>
      <c r="O7" s="9"/>
      <c r="P7" s="9"/>
      <c r="Q7" s="9"/>
      <c r="R7" s="9"/>
      <c r="S7" s="9"/>
      <c r="T7" s="9"/>
      <c r="U7" s="9"/>
      <c r="V7" s="9"/>
      <c r="W7" s="9"/>
      <c r="X7" s="9"/>
      <c r="Y7" s="9"/>
      <c r="Z7" s="9">
        <f>+MEDIAN(F7,J7,L7)</f>
        <v>595000</v>
      </c>
      <c r="AA7" s="9">
        <f>+AVERAGE(F7,J7,L7)</f>
        <v>583361.33333333337</v>
      </c>
      <c r="AB7" s="9">
        <f>+STDEV(F7,J7,L7)</f>
        <v>33986.992884533538</v>
      </c>
      <c r="AC7" s="13">
        <f>+AB7/AA7</f>
        <v>5.8260619863732599E-2</v>
      </c>
      <c r="AD7" s="171">
        <f>ROUNDUP(IF(AC7&lt;15%,AA7,Z7),0)</f>
        <v>583362</v>
      </c>
      <c r="AE7" s="171">
        <f>+AD7*E7</f>
        <v>25084566</v>
      </c>
      <c r="AF7" s="10" t="s">
        <v>228</v>
      </c>
    </row>
    <row r="8" spans="1:33" ht="25.5" x14ac:dyDescent="0.25">
      <c r="A8" s="8">
        <v>2</v>
      </c>
      <c r="B8" s="14" t="s">
        <v>176</v>
      </c>
      <c r="C8" s="7" t="s">
        <v>177</v>
      </c>
      <c r="D8" s="8" t="s">
        <v>175</v>
      </c>
      <c r="E8" s="8">
        <v>30</v>
      </c>
      <c r="F8" s="12">
        <v>620000</v>
      </c>
      <c r="G8" s="12">
        <f>+F8*E8</f>
        <v>18600000</v>
      </c>
      <c r="H8" s="9"/>
      <c r="I8" s="11"/>
      <c r="J8" s="11">
        <v>637884</v>
      </c>
      <c r="K8" s="11">
        <f>+J8*E8</f>
        <v>19136520</v>
      </c>
      <c r="L8" s="11">
        <v>650000</v>
      </c>
      <c r="M8" s="9">
        <f>+L8*E8</f>
        <v>19500000</v>
      </c>
      <c r="N8" s="9"/>
      <c r="O8" s="9"/>
      <c r="P8" s="9"/>
      <c r="Q8" s="9"/>
      <c r="R8" s="9"/>
      <c r="S8" s="9"/>
      <c r="T8" s="9"/>
      <c r="U8" s="9"/>
      <c r="V8" s="9"/>
      <c r="W8" s="9"/>
      <c r="X8" s="9"/>
      <c r="Y8" s="9"/>
      <c r="Z8" s="9">
        <f>+MEDIAN(F8,J8,L8)</f>
        <v>637884</v>
      </c>
      <c r="AA8" s="9">
        <f>+AVERAGE(F8,J8,L8)</f>
        <v>635961.33333333337</v>
      </c>
      <c r="AB8" s="9">
        <f>+STDEV(F8,J8,L8)</f>
        <v>15092.133226728862</v>
      </c>
      <c r="AC8" s="13">
        <f>AB8/AA8</f>
        <v>2.3731212002504651E-2</v>
      </c>
      <c r="AD8" s="171">
        <f>ROUNDUP(IF(AC8&lt;15%,AA8,Z8),0)</f>
        <v>635962</v>
      </c>
      <c r="AE8" s="171">
        <f>+AD8*E8</f>
        <v>19078860</v>
      </c>
      <c r="AF8" s="10" t="s">
        <v>228</v>
      </c>
    </row>
    <row r="9" spans="1:33" x14ac:dyDescent="0.25">
      <c r="A9" s="40"/>
      <c r="B9" s="259" t="s">
        <v>178</v>
      </c>
      <c r="C9" s="260"/>
      <c r="D9" s="260"/>
      <c r="E9" s="261"/>
      <c r="F9" s="20"/>
      <c r="G9" s="20"/>
      <c r="H9" s="16"/>
      <c r="I9" s="16"/>
      <c r="J9" s="16"/>
      <c r="K9" s="16"/>
      <c r="L9" s="16"/>
      <c r="M9" s="16"/>
      <c r="N9" s="21"/>
      <c r="O9" s="21"/>
      <c r="P9" s="21"/>
      <c r="Q9" s="21"/>
      <c r="R9" s="21"/>
      <c r="S9" s="21"/>
      <c r="T9" s="21"/>
      <c r="U9" s="21"/>
      <c r="V9" s="21"/>
      <c r="W9" s="21"/>
      <c r="X9" s="21"/>
      <c r="Y9" s="21"/>
      <c r="Z9" s="15"/>
      <c r="AA9" s="15"/>
      <c r="AB9" s="15"/>
      <c r="AC9" s="30"/>
      <c r="AD9" s="174"/>
      <c r="AE9" s="174"/>
      <c r="AF9" s="17"/>
    </row>
    <row r="10" spans="1:33" ht="50.1" customHeight="1" x14ac:dyDescent="0.25">
      <c r="A10" s="41">
        <v>3</v>
      </c>
      <c r="B10" s="14" t="s">
        <v>229</v>
      </c>
      <c r="C10" s="7" t="s">
        <v>230</v>
      </c>
      <c r="D10" s="8" t="s">
        <v>175</v>
      </c>
      <c r="E10" s="8">
        <v>40</v>
      </c>
      <c r="F10" s="12">
        <f>298000/3</f>
        <v>99333.333333333328</v>
      </c>
      <c r="G10" s="12">
        <f>+F10*E10</f>
        <v>3973333.333333333</v>
      </c>
      <c r="H10" s="11"/>
      <c r="I10" s="11"/>
      <c r="J10" s="11"/>
      <c r="K10" s="11"/>
      <c r="L10" s="11">
        <f>330000/2</f>
        <v>165000</v>
      </c>
      <c r="M10" s="11">
        <f>+L10*E10</f>
        <v>6600000</v>
      </c>
      <c r="N10" s="9"/>
      <c r="O10" s="9"/>
      <c r="P10" s="9"/>
      <c r="Q10" s="9"/>
      <c r="R10" s="9"/>
      <c r="S10" s="9"/>
      <c r="T10" s="9"/>
      <c r="U10" s="9"/>
      <c r="V10" s="9">
        <f>+(8060000/20)/3</f>
        <v>134333.33333333334</v>
      </c>
      <c r="W10" s="9">
        <f>+V10*E10</f>
        <v>5373333.333333334</v>
      </c>
      <c r="X10" s="9">
        <f>324000/3</f>
        <v>108000</v>
      </c>
      <c r="Y10" s="9">
        <f>+X10*E10</f>
        <v>4320000</v>
      </c>
      <c r="Z10" s="9">
        <f>+MEDIAN(F10,L10,V10,X10)</f>
        <v>121166.66666666667</v>
      </c>
      <c r="AA10" s="9">
        <f>+AVERAGE(F10,L10,V10,X10)</f>
        <v>126666.66666666666</v>
      </c>
      <c r="AB10" s="9">
        <f>+STDEV(F10,L10,V10,X10)</f>
        <v>29573.511671639462</v>
      </c>
      <c r="AC10" s="13">
        <f>AB10/AA10</f>
        <v>0.23347509214452208</v>
      </c>
      <c r="AD10" s="171">
        <f>ROUNDUP(IF(AC10&lt;15%,AA10,Z10),0)</f>
        <v>121167</v>
      </c>
      <c r="AE10" s="171">
        <f>+AD10*E10</f>
        <v>4846680</v>
      </c>
      <c r="AF10" s="10" t="s">
        <v>227</v>
      </c>
      <c r="AG10" s="251"/>
    </row>
    <row r="11" spans="1:33" ht="50.1" customHeight="1" x14ac:dyDescent="0.25">
      <c r="A11" s="41">
        <v>4</v>
      </c>
      <c r="B11" s="14" t="s">
        <v>231</v>
      </c>
      <c r="C11" s="7" t="s">
        <v>232</v>
      </c>
      <c r="D11" s="8" t="s">
        <v>175</v>
      </c>
      <c r="E11" s="8">
        <v>20</v>
      </c>
      <c r="F11" s="12">
        <f>298000/3</f>
        <v>99333.333333333328</v>
      </c>
      <c r="G11" s="12">
        <f>+F11*E11</f>
        <v>1986666.6666666665</v>
      </c>
      <c r="H11" s="11"/>
      <c r="I11" s="11"/>
      <c r="J11" s="11"/>
      <c r="K11" s="11"/>
      <c r="L11" s="11">
        <f>330000/2</f>
        <v>165000</v>
      </c>
      <c r="M11" s="11">
        <f>+L11*E11</f>
        <v>3300000</v>
      </c>
      <c r="N11" s="9"/>
      <c r="O11" s="9"/>
      <c r="P11" s="9"/>
      <c r="Q11" s="9"/>
      <c r="R11" s="9"/>
      <c r="S11" s="9"/>
      <c r="T11" s="9"/>
      <c r="U11" s="9"/>
      <c r="V11" s="9">
        <f>+(8060000/20)/3</f>
        <v>134333.33333333334</v>
      </c>
      <c r="W11" s="9">
        <f>+V11*E11</f>
        <v>2686666.666666667</v>
      </c>
      <c r="X11" s="9">
        <f>324000/3</f>
        <v>108000</v>
      </c>
      <c r="Y11" s="9">
        <f>+X11*E11</f>
        <v>2160000</v>
      </c>
      <c r="Z11" s="9">
        <f>+MEDIAN(F11,L11,V11,X11)</f>
        <v>121166.66666666667</v>
      </c>
      <c r="AA11" s="9">
        <f>+AVERAGE(F11,L11,V11,X11)</f>
        <v>126666.66666666666</v>
      </c>
      <c r="AB11" s="9">
        <f>+STDEV(F11,L11,V11,X11)</f>
        <v>29573.511671639462</v>
      </c>
      <c r="AC11" s="13">
        <f>AB11/AA11</f>
        <v>0.23347509214452208</v>
      </c>
      <c r="AD11" s="171">
        <f>ROUNDUP(IF(AC11&lt;15%,AA11,Z11),0)</f>
        <v>121167</v>
      </c>
      <c r="AE11" s="171">
        <f>+AD11*E11</f>
        <v>2423340</v>
      </c>
      <c r="AF11" s="10" t="s">
        <v>227</v>
      </c>
      <c r="AG11" s="251"/>
    </row>
    <row r="12" spans="1:33" x14ac:dyDescent="0.25">
      <c r="A12" s="40"/>
      <c r="B12" s="259" t="s">
        <v>179</v>
      </c>
      <c r="C12" s="260"/>
      <c r="D12" s="260"/>
      <c r="E12" s="261"/>
      <c r="F12" s="20"/>
      <c r="G12" s="20"/>
      <c r="H12" s="16"/>
      <c r="I12" s="16"/>
      <c r="J12" s="16"/>
      <c r="K12" s="16"/>
      <c r="L12" s="16"/>
      <c r="M12" s="16"/>
      <c r="N12" s="21"/>
      <c r="O12" s="21"/>
      <c r="P12" s="21"/>
      <c r="Q12" s="21"/>
      <c r="R12" s="21"/>
      <c r="S12" s="21"/>
      <c r="T12" s="21"/>
      <c r="U12" s="21"/>
      <c r="V12" s="21"/>
      <c r="W12" s="21"/>
      <c r="X12" s="21"/>
      <c r="Y12" s="21"/>
      <c r="Z12" s="15"/>
      <c r="AA12" s="15"/>
      <c r="AB12" s="15"/>
      <c r="AC12" s="173"/>
      <c r="AD12" s="174"/>
      <c r="AE12" s="174"/>
      <c r="AF12" s="17"/>
    </row>
    <row r="13" spans="1:33" s="28" customFormat="1" ht="25.5" x14ac:dyDescent="0.25">
      <c r="A13" s="36">
        <v>5</v>
      </c>
      <c r="B13" s="37" t="s">
        <v>180</v>
      </c>
      <c r="C13" s="38" t="s">
        <v>237</v>
      </c>
      <c r="D13" s="39" t="s">
        <v>169</v>
      </c>
      <c r="E13" s="39">
        <v>210</v>
      </c>
      <c r="F13" s="25"/>
      <c r="G13" s="25"/>
      <c r="H13" s="11">
        <v>95833</v>
      </c>
      <c r="I13" s="11">
        <f>+H13*E13</f>
        <v>20124930</v>
      </c>
      <c r="J13" s="11"/>
      <c r="K13" s="11"/>
      <c r="L13" s="11"/>
      <c r="M13" s="11"/>
      <c r="N13" s="26"/>
      <c r="O13" s="26"/>
      <c r="P13" s="26"/>
      <c r="Q13" s="26"/>
      <c r="R13" s="26"/>
      <c r="S13" s="26"/>
      <c r="T13" s="26">
        <v>90000</v>
      </c>
      <c r="U13" s="9">
        <f>+T13*E13</f>
        <v>18900000</v>
      </c>
      <c r="V13" s="9"/>
      <c r="W13" s="9"/>
      <c r="X13" s="9"/>
      <c r="Y13" s="9"/>
      <c r="Z13" s="26">
        <f>+MEDIAN(H13,T13)</f>
        <v>92916.5</v>
      </c>
      <c r="AA13" s="26">
        <f>+AVERAGE(H13,T13)</f>
        <v>92916.5</v>
      </c>
      <c r="AB13" s="26">
        <f>+STDEV(H13,T13)</f>
        <v>4124.5538546611315</v>
      </c>
      <c r="AC13" s="29">
        <f t="shared" ref="AC13:AC15" si="0">AB13/AA13</f>
        <v>4.4389896893029024E-2</v>
      </c>
      <c r="AD13" s="172">
        <f t="shared" ref="AD13:AD15" si="1">ROUNDUP(IF(AC13&lt;15%,AA13,Z13),0)</f>
        <v>92917</v>
      </c>
      <c r="AE13" s="172">
        <f>+AD13*E13</f>
        <v>19512570</v>
      </c>
      <c r="AF13" s="27" t="s">
        <v>228</v>
      </c>
    </row>
    <row r="14" spans="1:33" s="28" customFormat="1" ht="25.5" x14ac:dyDescent="0.25">
      <c r="A14" s="36">
        <v>6</v>
      </c>
      <c r="B14" s="37" t="s">
        <v>181</v>
      </c>
      <c r="C14" s="38" t="s">
        <v>238</v>
      </c>
      <c r="D14" s="39" t="s">
        <v>169</v>
      </c>
      <c r="E14" s="39">
        <v>210</v>
      </c>
      <c r="F14" s="25"/>
      <c r="G14" s="25"/>
      <c r="H14" s="11">
        <v>71500</v>
      </c>
      <c r="I14" s="11">
        <f>+H14*E14</f>
        <v>15015000</v>
      </c>
      <c r="J14" s="11"/>
      <c r="K14" s="11"/>
      <c r="L14" s="11"/>
      <c r="M14" s="11"/>
      <c r="N14" s="26"/>
      <c r="O14" s="26"/>
      <c r="P14" s="26"/>
      <c r="Q14" s="26"/>
      <c r="R14" s="26"/>
      <c r="S14" s="26"/>
      <c r="T14" s="26">
        <v>60000</v>
      </c>
      <c r="U14" s="9">
        <f>+T14*E14</f>
        <v>12600000</v>
      </c>
      <c r="V14" s="9"/>
      <c r="W14" s="9"/>
      <c r="X14" s="9"/>
      <c r="Y14" s="9"/>
      <c r="Z14" s="26">
        <f>+MEDIAN(H14,T14)</f>
        <v>65750</v>
      </c>
      <c r="AA14" s="26">
        <f>+AVERAGE(H14,T14)</f>
        <v>65750</v>
      </c>
      <c r="AB14" s="26">
        <f>+STDEV(H14,T14)</f>
        <v>8131.7279836452963</v>
      </c>
      <c r="AC14" s="29">
        <f t="shared" si="0"/>
        <v>0.12367647123414899</v>
      </c>
      <c r="AD14" s="172">
        <f t="shared" si="1"/>
        <v>65750</v>
      </c>
      <c r="AE14" s="172">
        <f>+AD14*E14</f>
        <v>13807500</v>
      </c>
      <c r="AF14" s="27" t="s">
        <v>228</v>
      </c>
    </row>
    <row r="15" spans="1:33" ht="63.75" x14ac:dyDescent="0.25">
      <c r="A15" s="41">
        <v>7</v>
      </c>
      <c r="B15" s="14" t="s">
        <v>236</v>
      </c>
      <c r="C15" s="7" t="s">
        <v>239</v>
      </c>
      <c r="D15" s="8" t="s">
        <v>240</v>
      </c>
      <c r="E15" s="8">
        <v>80</v>
      </c>
      <c r="F15" s="12"/>
      <c r="G15" s="12"/>
      <c r="H15" s="11"/>
      <c r="I15" s="11"/>
      <c r="J15" s="11"/>
      <c r="K15" s="11"/>
      <c r="L15" s="11"/>
      <c r="M15" s="11"/>
      <c r="N15" s="9">
        <f>50420.17+(50420.17*19%)</f>
        <v>60000.0023</v>
      </c>
      <c r="O15" s="9">
        <f>+N15*E15</f>
        <v>4800000.1840000004</v>
      </c>
      <c r="P15" s="9">
        <f>65000+(65000*19%)</f>
        <v>77350</v>
      </c>
      <c r="Q15" s="9">
        <f>+P15*E15</f>
        <v>6188000</v>
      </c>
      <c r="R15" s="9">
        <f>71428.57+(71428.57*19%)</f>
        <v>84999.998300000007</v>
      </c>
      <c r="S15" s="9">
        <f>+R15*E15</f>
        <v>6799999.8640000001</v>
      </c>
      <c r="T15" s="9"/>
      <c r="U15" s="9"/>
      <c r="V15" s="9"/>
      <c r="W15" s="9"/>
      <c r="X15" s="9"/>
      <c r="Y15" s="9"/>
      <c r="Z15" s="9">
        <f>+MEDIAN(N15,P15,R15)</f>
        <v>77350</v>
      </c>
      <c r="AA15" s="9">
        <f>+AVERAGE(N15,P15,R15)</f>
        <v>74116.666866666666</v>
      </c>
      <c r="AB15" s="9">
        <f>+STDEV(N15,P15,R15)</f>
        <v>12809.792440291079</v>
      </c>
      <c r="AC15" s="13">
        <f t="shared" si="0"/>
        <v>0.17283281860658217</v>
      </c>
      <c r="AD15" s="171">
        <f t="shared" si="1"/>
        <v>77350</v>
      </c>
      <c r="AE15" s="171">
        <f>+AD15*E15</f>
        <v>6188000</v>
      </c>
      <c r="AF15" s="10" t="s">
        <v>227</v>
      </c>
    </row>
    <row r="16" spans="1:33" s="33" customFormat="1" x14ac:dyDescent="0.25">
      <c r="A16" s="179"/>
      <c r="B16" s="180"/>
      <c r="C16" s="180"/>
      <c r="D16" s="180"/>
      <c r="E16" s="180"/>
      <c r="F16" s="181"/>
      <c r="G16" s="181"/>
      <c r="H16" s="181"/>
      <c r="I16" s="181"/>
      <c r="J16" s="181"/>
      <c r="K16" s="181"/>
      <c r="L16" s="181"/>
      <c r="M16" s="181"/>
      <c r="N16" s="181"/>
      <c r="O16" s="181"/>
      <c r="P16" s="181"/>
      <c r="Q16" s="181"/>
      <c r="R16" s="181"/>
      <c r="S16" s="181"/>
      <c r="T16" s="181"/>
      <c r="U16" s="181"/>
      <c r="V16" s="181"/>
      <c r="W16" s="181"/>
      <c r="X16" s="181"/>
      <c r="Y16" s="181"/>
      <c r="Z16" s="181"/>
      <c r="AA16" s="181"/>
      <c r="AB16" s="182"/>
      <c r="AC16" s="183"/>
      <c r="AD16" s="176">
        <f>SUM(AD7:AD15)</f>
        <v>1697675</v>
      </c>
      <c r="AE16" s="176">
        <f>SUM(AE7:AE15)</f>
        <v>90941516</v>
      </c>
      <c r="AF16" s="184"/>
    </row>
    <row r="17" spans="2:51" ht="15.75" x14ac:dyDescent="0.25">
      <c r="B17" s="252"/>
      <c r="C17" s="253"/>
      <c r="D17" s="253"/>
      <c r="E17" s="253"/>
      <c r="F17" s="253"/>
      <c r="G17" s="253"/>
      <c r="H17" s="253"/>
      <c r="I17" s="253"/>
      <c r="J17" s="254"/>
    </row>
    <row r="18" spans="2:51" ht="115.5" customHeight="1" x14ac:dyDescent="0.25">
      <c r="B18" s="208" t="s">
        <v>397</v>
      </c>
      <c r="C18" s="208"/>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186"/>
      <c r="AG18" s="186"/>
      <c r="AH18" s="186"/>
      <c r="AI18" s="186"/>
      <c r="AJ18" s="186"/>
      <c r="AK18" s="186"/>
      <c r="AL18" s="186"/>
      <c r="AM18" s="186"/>
      <c r="AN18" s="186"/>
      <c r="AO18" s="186"/>
      <c r="AP18" s="186"/>
      <c r="AQ18" s="186"/>
      <c r="AR18" s="186"/>
      <c r="AS18" s="186"/>
      <c r="AT18" s="186"/>
      <c r="AU18" s="186"/>
      <c r="AV18" s="186"/>
      <c r="AW18" s="186"/>
      <c r="AX18" s="186"/>
      <c r="AY18" s="186"/>
    </row>
    <row r="19" spans="2:51" ht="15.75" customHeight="1" x14ac:dyDescent="0.25">
      <c r="B19" s="208"/>
      <c r="C19" s="208"/>
      <c r="D19" s="208"/>
      <c r="E19" s="208"/>
      <c r="F19" s="208"/>
      <c r="G19" s="208"/>
      <c r="H19" s="208"/>
      <c r="I19" s="208"/>
      <c r="J19" s="208"/>
      <c r="K19" s="208"/>
      <c r="L19" s="208"/>
      <c r="M19" s="208"/>
      <c r="N19" s="208"/>
      <c r="O19" s="208"/>
      <c r="P19" s="208"/>
      <c r="Q19" s="208"/>
      <c r="R19" s="208"/>
      <c r="S19" s="208"/>
      <c r="T19" s="208"/>
      <c r="U19" s="208"/>
      <c r="V19" s="208"/>
      <c r="W19" s="208"/>
      <c r="X19" s="208"/>
      <c r="Y19" s="208"/>
      <c r="Z19" s="208"/>
      <c r="AA19" s="208"/>
      <c r="AB19" s="208"/>
      <c r="AC19" s="208"/>
      <c r="AD19" s="208"/>
      <c r="AE19" s="208"/>
      <c r="AF19" s="186"/>
      <c r="AG19" s="186"/>
      <c r="AH19" s="186"/>
      <c r="AI19" s="186"/>
      <c r="AJ19" s="186"/>
      <c r="AK19" s="186"/>
      <c r="AL19" s="186"/>
      <c r="AM19" s="186"/>
      <c r="AN19" s="186"/>
      <c r="AO19" s="186"/>
      <c r="AP19" s="186"/>
      <c r="AQ19" s="186"/>
      <c r="AR19" s="186"/>
      <c r="AS19" s="186"/>
      <c r="AT19" s="186"/>
      <c r="AU19" s="186"/>
      <c r="AV19" s="186"/>
      <c r="AW19" s="186"/>
      <c r="AX19" s="186"/>
      <c r="AY19" s="186"/>
    </row>
    <row r="20" spans="2:51" ht="15.75" customHeight="1" x14ac:dyDescent="0.25">
      <c r="B20" s="208"/>
      <c r="C20" s="208"/>
      <c r="D20" s="208"/>
      <c r="E20" s="208"/>
      <c r="F20" s="208"/>
      <c r="G20" s="208"/>
      <c r="H20" s="208"/>
      <c r="I20" s="208"/>
      <c r="J20" s="208"/>
      <c r="K20" s="208"/>
      <c r="L20" s="208"/>
      <c r="M20" s="208"/>
      <c r="N20" s="208"/>
      <c r="O20" s="208"/>
      <c r="P20" s="208"/>
      <c r="Q20" s="208"/>
      <c r="R20" s="208"/>
      <c r="S20" s="208"/>
      <c r="T20" s="208"/>
      <c r="U20" s="208"/>
      <c r="V20" s="208"/>
      <c r="W20" s="208"/>
      <c r="X20" s="208"/>
      <c r="Y20" s="208"/>
      <c r="Z20" s="208"/>
      <c r="AA20" s="208"/>
      <c r="AB20" s="208"/>
      <c r="AC20" s="208"/>
      <c r="AD20" s="208"/>
      <c r="AE20" s="208"/>
      <c r="AF20" s="186"/>
      <c r="AG20" s="186"/>
      <c r="AH20" s="186"/>
      <c r="AI20" s="186"/>
      <c r="AJ20" s="186"/>
      <c r="AK20" s="186"/>
      <c r="AL20" s="186"/>
      <c r="AM20" s="186"/>
      <c r="AN20" s="186"/>
      <c r="AO20" s="186"/>
      <c r="AP20" s="186"/>
      <c r="AQ20" s="186"/>
      <c r="AR20" s="186"/>
      <c r="AS20" s="186"/>
      <c r="AT20" s="186"/>
      <c r="AU20" s="186"/>
      <c r="AV20" s="186"/>
      <c r="AW20" s="186"/>
      <c r="AX20" s="186"/>
      <c r="AY20" s="186"/>
    </row>
    <row r="21" spans="2:51" ht="15.75" customHeight="1" x14ac:dyDescent="0.25">
      <c r="B21" s="208"/>
      <c r="C21" s="208"/>
      <c r="D21" s="208"/>
      <c r="E21" s="208"/>
      <c r="F21" s="208"/>
      <c r="G21" s="208"/>
      <c r="H21" s="208"/>
      <c r="I21" s="208"/>
      <c r="J21" s="208"/>
      <c r="K21" s="208"/>
      <c r="L21" s="208"/>
      <c r="M21" s="208"/>
      <c r="N21" s="208"/>
      <c r="O21" s="208"/>
      <c r="P21" s="208"/>
      <c r="Q21" s="208"/>
      <c r="R21" s="208"/>
      <c r="S21" s="208"/>
      <c r="T21" s="208"/>
      <c r="U21" s="208"/>
      <c r="V21" s="208"/>
      <c r="W21" s="208"/>
      <c r="X21" s="208"/>
      <c r="Y21" s="208"/>
      <c r="Z21" s="208"/>
      <c r="AA21" s="208"/>
      <c r="AB21" s="208"/>
      <c r="AC21" s="208"/>
      <c r="AD21" s="208"/>
      <c r="AE21" s="208"/>
      <c r="AF21" s="186"/>
      <c r="AG21" s="186"/>
      <c r="AH21" s="186"/>
      <c r="AI21" s="186"/>
      <c r="AJ21" s="186"/>
      <c r="AK21" s="186"/>
      <c r="AL21" s="186"/>
      <c r="AM21" s="186"/>
      <c r="AN21" s="186"/>
      <c r="AO21" s="186"/>
      <c r="AP21" s="186"/>
      <c r="AQ21" s="186"/>
      <c r="AR21" s="186"/>
      <c r="AS21" s="186"/>
      <c r="AT21" s="186"/>
      <c r="AU21" s="186"/>
      <c r="AV21" s="186"/>
      <c r="AW21" s="186"/>
      <c r="AX21" s="186"/>
      <c r="AY21" s="186"/>
    </row>
    <row r="22" spans="2:51" x14ac:dyDescent="0.25">
      <c r="B22" s="208"/>
      <c r="C22" s="208"/>
      <c r="D22" s="208"/>
      <c r="E22" s="208"/>
      <c r="F22" s="208"/>
      <c r="G22" s="208"/>
      <c r="H22" s="208"/>
      <c r="I22" s="208"/>
      <c r="J22" s="208"/>
      <c r="K22" s="208"/>
      <c r="L22" s="208"/>
      <c r="M22" s="208"/>
      <c r="N22" s="208"/>
      <c r="O22" s="208"/>
      <c r="P22" s="208"/>
      <c r="Q22" s="208"/>
      <c r="R22" s="208"/>
      <c r="S22" s="208"/>
      <c r="T22" s="208"/>
      <c r="U22" s="208"/>
      <c r="V22" s="208"/>
      <c r="W22" s="208"/>
      <c r="X22" s="208"/>
      <c r="Y22" s="208"/>
      <c r="Z22" s="208"/>
      <c r="AA22" s="208"/>
      <c r="AB22" s="208"/>
      <c r="AC22" s="208"/>
      <c r="AD22" s="208"/>
      <c r="AE22" s="208"/>
      <c r="AF22" s="186"/>
      <c r="AG22" s="186"/>
      <c r="AH22" s="186"/>
      <c r="AI22" s="186"/>
      <c r="AJ22" s="186"/>
      <c r="AK22" s="186"/>
      <c r="AL22" s="186"/>
      <c r="AM22" s="186"/>
      <c r="AN22" s="186"/>
      <c r="AO22" s="186"/>
      <c r="AP22" s="186"/>
      <c r="AQ22" s="186"/>
      <c r="AR22" s="186"/>
      <c r="AS22" s="186"/>
      <c r="AT22" s="186"/>
      <c r="AU22" s="186"/>
      <c r="AV22" s="186"/>
      <c r="AW22" s="186"/>
      <c r="AX22" s="186"/>
      <c r="AY22" s="186"/>
    </row>
    <row r="23" spans="2:51" x14ac:dyDescent="0.25">
      <c r="B23" s="208"/>
      <c r="C23" s="208"/>
      <c r="D23" s="208"/>
      <c r="E23" s="208"/>
      <c r="F23" s="208"/>
      <c r="G23" s="208"/>
      <c r="H23" s="208"/>
      <c r="I23" s="208"/>
      <c r="J23" s="208"/>
      <c r="K23" s="208"/>
      <c r="L23" s="208"/>
      <c r="M23" s="208"/>
      <c r="N23" s="208"/>
      <c r="O23" s="208"/>
      <c r="P23" s="208"/>
      <c r="Q23" s="208"/>
      <c r="R23" s="208"/>
      <c r="S23" s="208"/>
      <c r="T23" s="208"/>
      <c r="U23" s="208"/>
      <c r="V23" s="208"/>
      <c r="W23" s="208"/>
      <c r="X23" s="208"/>
      <c r="Y23" s="208"/>
      <c r="Z23" s="208"/>
      <c r="AA23" s="208"/>
      <c r="AB23" s="208"/>
      <c r="AC23" s="208"/>
      <c r="AD23" s="208"/>
      <c r="AE23" s="208"/>
      <c r="AF23" s="186"/>
      <c r="AG23" s="186"/>
      <c r="AH23" s="186"/>
      <c r="AI23" s="186"/>
      <c r="AJ23" s="186"/>
      <c r="AK23" s="186"/>
      <c r="AL23" s="186"/>
      <c r="AM23" s="186"/>
      <c r="AN23" s="186"/>
      <c r="AO23" s="186"/>
      <c r="AP23" s="186"/>
      <c r="AQ23" s="186"/>
      <c r="AR23" s="186"/>
      <c r="AS23" s="186"/>
      <c r="AT23" s="186"/>
      <c r="AU23" s="186"/>
      <c r="AV23" s="186"/>
      <c r="AW23" s="186"/>
      <c r="AX23" s="186"/>
      <c r="AY23" s="186"/>
    </row>
    <row r="24" spans="2:51" x14ac:dyDescent="0.25">
      <c r="B24" s="208"/>
      <c r="C24" s="208"/>
      <c r="D24" s="208"/>
      <c r="E24" s="208"/>
      <c r="F24" s="208"/>
      <c r="G24" s="208"/>
      <c r="H24" s="208"/>
      <c r="I24" s="208"/>
      <c r="J24" s="208"/>
      <c r="K24" s="208"/>
      <c r="L24" s="208"/>
      <c r="M24" s="208"/>
      <c r="N24" s="208"/>
      <c r="O24" s="208"/>
      <c r="P24" s="208"/>
      <c r="Q24" s="208"/>
      <c r="R24" s="208"/>
      <c r="S24" s="208"/>
      <c r="T24" s="208"/>
      <c r="U24" s="208"/>
      <c r="V24" s="208"/>
      <c r="W24" s="208"/>
      <c r="X24" s="208"/>
      <c r="Y24" s="208"/>
      <c r="Z24" s="208"/>
      <c r="AA24" s="208"/>
      <c r="AB24" s="208"/>
      <c r="AC24" s="208"/>
      <c r="AD24" s="208"/>
      <c r="AE24" s="208"/>
      <c r="AF24" s="186"/>
      <c r="AG24" s="186"/>
      <c r="AH24" s="186"/>
      <c r="AI24" s="186"/>
      <c r="AJ24" s="186"/>
      <c r="AK24" s="186"/>
      <c r="AL24" s="186"/>
      <c r="AM24" s="186"/>
      <c r="AN24" s="186"/>
      <c r="AO24" s="186"/>
      <c r="AP24" s="186"/>
      <c r="AQ24" s="186"/>
      <c r="AR24" s="186"/>
      <c r="AS24" s="186"/>
      <c r="AT24" s="186"/>
      <c r="AU24" s="186"/>
      <c r="AV24" s="186"/>
      <c r="AW24" s="186"/>
      <c r="AX24" s="186"/>
      <c r="AY24" s="186"/>
    </row>
    <row r="25" spans="2:51" x14ac:dyDescent="0.25">
      <c r="B25" s="208"/>
      <c r="C25" s="208"/>
      <c r="D25" s="208"/>
      <c r="E25" s="208"/>
      <c r="F25" s="208"/>
      <c r="G25" s="208"/>
      <c r="H25" s="208"/>
      <c r="I25" s="208"/>
      <c r="J25" s="208"/>
      <c r="K25" s="208"/>
      <c r="L25" s="208"/>
      <c r="M25" s="208"/>
      <c r="N25" s="208"/>
      <c r="O25" s="208"/>
      <c r="P25" s="208"/>
      <c r="Q25" s="208"/>
      <c r="R25" s="208"/>
      <c r="S25" s="208"/>
      <c r="T25" s="208"/>
      <c r="U25" s="208"/>
      <c r="V25" s="208"/>
      <c r="W25" s="208"/>
      <c r="X25" s="208"/>
      <c r="Y25" s="208"/>
      <c r="Z25" s="208"/>
      <c r="AA25" s="208"/>
      <c r="AB25" s="208"/>
      <c r="AC25" s="208"/>
      <c r="AD25" s="208"/>
      <c r="AE25" s="208"/>
      <c r="AF25" s="186"/>
      <c r="AG25" s="186"/>
      <c r="AH25" s="186"/>
      <c r="AI25" s="186"/>
      <c r="AJ25" s="186"/>
      <c r="AK25" s="186"/>
      <c r="AL25" s="186"/>
      <c r="AM25" s="186"/>
      <c r="AN25" s="186"/>
      <c r="AO25" s="186"/>
      <c r="AP25" s="186"/>
      <c r="AQ25" s="186"/>
      <c r="AR25" s="186"/>
      <c r="AS25" s="186"/>
      <c r="AT25" s="186"/>
      <c r="AU25" s="186"/>
      <c r="AV25" s="186"/>
      <c r="AW25" s="186"/>
      <c r="AX25" s="186"/>
      <c r="AY25" s="186"/>
    </row>
    <row r="26" spans="2:51" x14ac:dyDescent="0.25">
      <c r="B26" s="208"/>
      <c r="C26" s="208"/>
      <c r="D26" s="208"/>
      <c r="E26" s="208"/>
      <c r="F26" s="208"/>
      <c r="G26" s="208"/>
      <c r="H26" s="208"/>
      <c r="I26" s="208"/>
      <c r="J26" s="208"/>
      <c r="K26" s="208"/>
      <c r="L26" s="208"/>
      <c r="M26" s="208"/>
      <c r="N26" s="208"/>
      <c r="O26" s="208"/>
      <c r="P26" s="208"/>
      <c r="Q26" s="208"/>
      <c r="R26" s="208"/>
      <c r="S26" s="208"/>
      <c r="T26" s="208"/>
      <c r="U26" s="208"/>
      <c r="V26" s="208"/>
      <c r="W26" s="208"/>
      <c r="X26" s="208"/>
      <c r="Y26" s="208"/>
      <c r="Z26" s="208"/>
      <c r="AA26" s="208"/>
      <c r="AB26" s="208"/>
      <c r="AC26" s="208"/>
      <c r="AD26" s="208"/>
      <c r="AE26" s="208"/>
      <c r="AF26" s="186"/>
      <c r="AG26" s="186"/>
      <c r="AH26" s="186"/>
      <c r="AI26" s="186"/>
      <c r="AJ26" s="186"/>
      <c r="AK26" s="186"/>
      <c r="AL26" s="186"/>
      <c r="AM26" s="186"/>
      <c r="AN26" s="186"/>
      <c r="AO26" s="186"/>
      <c r="AP26" s="186"/>
      <c r="AQ26" s="186"/>
      <c r="AR26" s="186"/>
      <c r="AS26" s="186"/>
      <c r="AT26" s="186"/>
      <c r="AU26" s="186"/>
      <c r="AV26" s="186"/>
      <c r="AW26" s="186"/>
      <c r="AX26" s="186"/>
      <c r="AY26" s="186"/>
    </row>
    <row r="27" spans="2:51" x14ac:dyDescent="0.25">
      <c r="B27" s="186"/>
      <c r="C27" s="186"/>
      <c r="D27" s="186"/>
      <c r="E27" s="186"/>
      <c r="F27" s="186"/>
      <c r="G27" s="186"/>
      <c r="H27" s="186"/>
      <c r="I27" s="186"/>
      <c r="J27" s="186"/>
      <c r="K27" s="186"/>
      <c r="L27" s="186"/>
      <c r="M27" s="186"/>
      <c r="N27" s="186"/>
      <c r="O27" s="186"/>
      <c r="P27" s="186"/>
      <c r="Q27" s="186"/>
      <c r="R27" s="186"/>
      <c r="S27" s="186"/>
      <c r="T27" s="186"/>
      <c r="U27" s="186"/>
      <c r="V27" s="186"/>
      <c r="W27" s="186"/>
      <c r="X27" s="186"/>
      <c r="Y27" s="186"/>
      <c r="Z27" s="186"/>
      <c r="AA27" s="186"/>
      <c r="AB27" s="186"/>
      <c r="AC27" s="186"/>
      <c r="AD27" s="186"/>
      <c r="AE27" s="186"/>
      <c r="AF27" s="186"/>
      <c r="AG27" s="186"/>
      <c r="AH27" s="186"/>
      <c r="AI27" s="186"/>
      <c r="AJ27" s="186"/>
      <c r="AK27" s="186"/>
      <c r="AL27" s="186"/>
      <c r="AM27" s="186"/>
      <c r="AN27" s="186"/>
      <c r="AO27" s="186"/>
      <c r="AP27" s="186"/>
      <c r="AQ27" s="186"/>
      <c r="AR27" s="186"/>
      <c r="AS27" s="186"/>
      <c r="AT27" s="186"/>
      <c r="AU27" s="186"/>
      <c r="AV27" s="186"/>
      <c r="AW27" s="186"/>
      <c r="AX27" s="186"/>
      <c r="AY27" s="186"/>
    </row>
    <row r="28" spans="2:51" x14ac:dyDescent="0.25">
      <c r="B28" s="186"/>
      <c r="C28" s="186"/>
      <c r="D28" s="186"/>
      <c r="E28" s="186"/>
      <c r="F28" s="186"/>
      <c r="G28" s="186"/>
      <c r="H28" s="186"/>
      <c r="I28" s="186"/>
      <c r="J28" s="186"/>
      <c r="K28" s="186"/>
      <c r="L28" s="186"/>
      <c r="M28" s="186"/>
      <c r="N28" s="186"/>
      <c r="O28" s="186"/>
      <c r="P28" s="186"/>
      <c r="Q28" s="186"/>
      <c r="R28" s="186"/>
      <c r="S28" s="186"/>
      <c r="T28" s="186"/>
      <c r="U28" s="186"/>
      <c r="V28" s="186"/>
      <c r="W28" s="186"/>
      <c r="X28" s="186"/>
      <c r="Y28" s="186"/>
      <c r="Z28" s="186"/>
      <c r="AA28" s="186"/>
      <c r="AB28" s="186"/>
      <c r="AC28" s="186"/>
      <c r="AD28" s="186"/>
      <c r="AE28" s="186"/>
      <c r="AF28" s="186"/>
      <c r="AG28" s="186"/>
      <c r="AH28" s="186"/>
      <c r="AI28" s="186"/>
      <c r="AJ28" s="186"/>
      <c r="AK28" s="186"/>
      <c r="AL28" s="186"/>
      <c r="AM28" s="186"/>
      <c r="AN28" s="186"/>
      <c r="AO28" s="186"/>
      <c r="AP28" s="186"/>
      <c r="AQ28" s="186"/>
      <c r="AR28" s="186"/>
      <c r="AS28" s="186"/>
      <c r="AT28" s="186"/>
      <c r="AU28" s="186"/>
      <c r="AV28" s="186"/>
      <c r="AW28" s="186"/>
      <c r="AX28" s="186"/>
      <c r="AY28" s="186"/>
    </row>
  </sheetData>
  <mergeCells count="20">
    <mergeCell ref="AG10:AG11"/>
    <mergeCell ref="B17:J17"/>
    <mergeCell ref="J4:K5"/>
    <mergeCell ref="T4:U5"/>
    <mergeCell ref="V4:W5"/>
    <mergeCell ref="AD4:AF5"/>
    <mergeCell ref="B9:E9"/>
    <mergeCell ref="L4:M5"/>
    <mergeCell ref="B12:E12"/>
    <mergeCell ref="F4:G5"/>
    <mergeCell ref="H4:I5"/>
    <mergeCell ref="Z4:AC5"/>
    <mergeCell ref="B18:AE26"/>
    <mergeCell ref="A2:AF2"/>
    <mergeCell ref="A3:AF3"/>
    <mergeCell ref="A4:E5"/>
    <mergeCell ref="N4:O5"/>
    <mergeCell ref="P4:Q5"/>
    <mergeCell ref="R4:S5"/>
    <mergeCell ref="X4:Y5"/>
  </mergeCells>
  <dataValidations count="1">
    <dataValidation type="list" allowBlank="1" showInputMessage="1" showErrorMessage="1" sqref="D7:D12" xr:uid="{00000000-0002-0000-0100-000000000000}">
      <formula1>#REF!</formula1>
    </dataValidation>
  </dataValidations>
  <pageMargins left="0.70866141732283472" right="0.70866141732283472" top="0.74803149606299213" bottom="0.74803149606299213" header="0.31496062992125984" footer="0.31496062992125984"/>
  <pageSetup paperSize="9" scale="31" fitToHeight="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F62"/>
  <sheetViews>
    <sheetView topLeftCell="AS46" zoomScale="70" zoomScaleNormal="70" workbookViewId="0">
      <selection activeCell="BB48" sqref="BB48"/>
    </sheetView>
  </sheetViews>
  <sheetFormatPr baseColWidth="10" defaultColWidth="10.85546875" defaultRowHeight="15" x14ac:dyDescent="0.25"/>
  <cols>
    <col min="1" max="1" width="10.28515625" style="24" customWidth="1"/>
    <col min="2" max="2" width="22.140625" style="24" customWidth="1"/>
    <col min="3" max="3" width="75.7109375" style="198" customWidth="1"/>
    <col min="4" max="4" width="10.85546875" style="45"/>
    <col min="5" max="5" width="13.28515625" style="24" customWidth="1"/>
    <col min="6" max="49" width="19.85546875" style="45" customWidth="1"/>
    <col min="50" max="50" width="15.42578125" style="45" customWidth="1"/>
    <col min="51" max="51" width="22" style="45" customWidth="1"/>
    <col min="52" max="52" width="15.7109375" style="45" customWidth="1"/>
    <col min="53" max="53" width="14.140625" style="45" customWidth="1"/>
    <col min="54" max="54" width="19" style="45" customWidth="1"/>
    <col min="55" max="55" width="16.42578125" style="45" customWidth="1"/>
    <col min="56" max="56" width="53.7109375" style="45" customWidth="1"/>
    <col min="57" max="57" width="13.140625" style="206" bestFit="1" customWidth="1"/>
    <col min="58" max="58" width="12.42578125" style="45" bestFit="1" customWidth="1"/>
    <col min="59" max="16384" width="10.85546875" style="45"/>
  </cols>
  <sheetData>
    <row r="2" spans="1:58" s="2" customFormat="1" ht="18" customHeight="1" x14ac:dyDescent="0.25">
      <c r="A2" s="279" t="s">
        <v>233</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05"/>
    </row>
    <row r="3" spans="1:58" s="2" customFormat="1" ht="18" customHeight="1" x14ac:dyDescent="0.25">
      <c r="A3" s="281" t="s">
        <v>799</v>
      </c>
      <c r="B3" s="282"/>
      <c r="C3" s="282"/>
      <c r="D3" s="282"/>
      <c r="E3" s="282"/>
      <c r="F3" s="282"/>
      <c r="G3" s="282"/>
      <c r="H3" s="282"/>
      <c r="I3" s="282"/>
      <c r="J3" s="282"/>
      <c r="K3" s="282"/>
      <c r="L3" s="282"/>
      <c r="M3" s="282"/>
      <c r="N3" s="282"/>
      <c r="O3" s="282"/>
      <c r="P3" s="282"/>
      <c r="Q3" s="282"/>
      <c r="R3" s="282"/>
      <c r="S3" s="282"/>
      <c r="T3" s="282"/>
      <c r="U3" s="282"/>
      <c r="V3" s="282"/>
      <c r="W3" s="282"/>
      <c r="X3" s="282"/>
      <c r="Y3" s="282"/>
      <c r="Z3" s="282"/>
      <c r="AA3" s="282"/>
      <c r="AB3" s="282"/>
      <c r="AC3" s="282"/>
      <c r="AD3" s="282"/>
      <c r="AE3" s="282"/>
      <c r="AF3" s="282"/>
      <c r="AG3" s="282"/>
      <c r="AH3" s="282"/>
      <c r="AI3" s="282"/>
      <c r="AJ3" s="282"/>
      <c r="AK3" s="282"/>
      <c r="AL3" s="282"/>
      <c r="AM3" s="282"/>
      <c r="AN3" s="282"/>
      <c r="AO3" s="282"/>
      <c r="AP3" s="282"/>
      <c r="AQ3" s="282"/>
      <c r="AR3" s="282"/>
      <c r="AS3" s="282"/>
      <c r="AT3" s="282"/>
      <c r="AU3" s="282"/>
      <c r="AV3" s="282"/>
      <c r="AW3" s="282"/>
      <c r="AX3" s="282"/>
      <c r="AY3" s="282"/>
      <c r="AZ3" s="282"/>
      <c r="BA3" s="282"/>
      <c r="BB3" s="282"/>
      <c r="BC3" s="282"/>
      <c r="BD3" s="282"/>
      <c r="BE3" s="205"/>
    </row>
    <row r="4" spans="1:58" ht="78.75" customHeight="1" x14ac:dyDescent="0.25">
      <c r="A4" s="224" t="s">
        <v>811</v>
      </c>
      <c r="B4" s="225"/>
      <c r="C4" s="225"/>
      <c r="D4" s="225"/>
      <c r="E4" s="226"/>
      <c r="F4" s="276" t="s">
        <v>703</v>
      </c>
      <c r="G4" s="276"/>
      <c r="H4" s="277" t="s">
        <v>448</v>
      </c>
      <c r="I4" s="277"/>
      <c r="J4" s="264" t="s">
        <v>704</v>
      </c>
      <c r="K4" s="264"/>
      <c r="L4" s="278" t="s">
        <v>449</v>
      </c>
      <c r="M4" s="278"/>
      <c r="N4" s="276" t="s">
        <v>280</v>
      </c>
      <c r="O4" s="276"/>
      <c r="P4" s="277" t="s">
        <v>705</v>
      </c>
      <c r="Q4" s="277"/>
      <c r="R4" s="264" t="s">
        <v>706</v>
      </c>
      <c r="S4" s="264"/>
      <c r="T4" s="299" t="s">
        <v>707</v>
      </c>
      <c r="U4" s="299"/>
      <c r="V4" s="276" t="s">
        <v>708</v>
      </c>
      <c r="W4" s="276"/>
      <c r="X4" s="277" t="s">
        <v>709</v>
      </c>
      <c r="Y4" s="277"/>
      <c r="Z4" s="264" t="s">
        <v>710</v>
      </c>
      <c r="AA4" s="264"/>
      <c r="AB4" s="299" t="s">
        <v>711</v>
      </c>
      <c r="AC4" s="299"/>
      <c r="AD4" s="300" t="s">
        <v>446</v>
      </c>
      <c r="AE4" s="300"/>
      <c r="AF4" s="277" t="s">
        <v>277</v>
      </c>
      <c r="AG4" s="301"/>
      <c r="AH4" s="264" t="s">
        <v>712</v>
      </c>
      <c r="AI4" s="265"/>
      <c r="AJ4" s="266" t="s">
        <v>713</v>
      </c>
      <c r="AK4" s="267"/>
      <c r="AL4" s="268" t="s">
        <v>714</v>
      </c>
      <c r="AM4" s="269"/>
      <c r="AN4" s="283" t="s">
        <v>715</v>
      </c>
      <c r="AO4" s="283"/>
      <c r="AP4" s="297" t="s">
        <v>716</v>
      </c>
      <c r="AQ4" s="297"/>
      <c r="AR4" s="295" t="s">
        <v>717</v>
      </c>
      <c r="AS4" s="295"/>
      <c r="AT4" s="269" t="s">
        <v>718</v>
      </c>
      <c r="AU4" s="269"/>
      <c r="AV4" s="283" t="s">
        <v>719</v>
      </c>
      <c r="AW4" s="283"/>
      <c r="AX4" s="285" t="s">
        <v>0</v>
      </c>
      <c r="AY4" s="285"/>
      <c r="AZ4" s="285"/>
      <c r="BA4" s="286"/>
      <c r="BB4" s="289" t="s">
        <v>1</v>
      </c>
      <c r="BC4" s="290"/>
      <c r="BD4" s="291"/>
    </row>
    <row r="5" spans="1:58" ht="16.5" customHeight="1" x14ac:dyDescent="0.25">
      <c r="A5" s="227"/>
      <c r="B5" s="228"/>
      <c r="C5" s="228"/>
      <c r="D5" s="228"/>
      <c r="E5" s="229"/>
      <c r="F5" s="276"/>
      <c r="G5" s="276"/>
      <c r="H5" s="277"/>
      <c r="I5" s="277"/>
      <c r="J5" s="264"/>
      <c r="K5" s="264"/>
      <c r="L5" s="278"/>
      <c r="M5" s="278"/>
      <c r="N5" s="276"/>
      <c r="O5" s="276"/>
      <c r="P5" s="277"/>
      <c r="Q5" s="277"/>
      <c r="R5" s="264"/>
      <c r="S5" s="264"/>
      <c r="T5" s="299"/>
      <c r="U5" s="299"/>
      <c r="V5" s="276"/>
      <c r="W5" s="276"/>
      <c r="X5" s="277"/>
      <c r="Y5" s="277"/>
      <c r="Z5" s="264"/>
      <c r="AA5" s="264"/>
      <c r="AB5" s="299"/>
      <c r="AC5" s="299"/>
      <c r="AD5" s="300"/>
      <c r="AE5" s="300"/>
      <c r="AF5" s="301"/>
      <c r="AG5" s="301"/>
      <c r="AH5" s="265"/>
      <c r="AI5" s="265"/>
      <c r="AJ5" s="266"/>
      <c r="AK5" s="267"/>
      <c r="AL5" s="270"/>
      <c r="AM5" s="271"/>
      <c r="AN5" s="284"/>
      <c r="AO5" s="284"/>
      <c r="AP5" s="298"/>
      <c r="AQ5" s="298"/>
      <c r="AR5" s="296"/>
      <c r="AS5" s="296"/>
      <c r="AT5" s="271"/>
      <c r="AU5" s="271"/>
      <c r="AV5" s="284"/>
      <c r="AW5" s="284"/>
      <c r="AX5" s="287"/>
      <c r="AY5" s="287"/>
      <c r="AZ5" s="287"/>
      <c r="BA5" s="288"/>
      <c r="BB5" s="292"/>
      <c r="BC5" s="293"/>
      <c r="BD5" s="294"/>
    </row>
    <row r="6" spans="1:58" ht="96" customHeight="1" thickBot="1" x14ac:dyDescent="0.3">
      <c r="A6" s="123" t="s">
        <v>312</v>
      </c>
      <c r="B6" s="123" t="s">
        <v>2</v>
      </c>
      <c r="C6" s="196" t="s">
        <v>3</v>
      </c>
      <c r="D6" s="123" t="s">
        <v>4</v>
      </c>
      <c r="E6" s="124" t="s">
        <v>313</v>
      </c>
      <c r="F6" s="125" t="s">
        <v>314</v>
      </c>
      <c r="G6" s="126" t="s">
        <v>720</v>
      </c>
      <c r="H6" s="126" t="s">
        <v>314</v>
      </c>
      <c r="I6" s="126" t="s">
        <v>720</v>
      </c>
      <c r="J6" s="126" t="s">
        <v>314</v>
      </c>
      <c r="K6" s="126" t="s">
        <v>720</v>
      </c>
      <c r="L6" s="126" t="s">
        <v>314</v>
      </c>
      <c r="M6" s="126" t="s">
        <v>720</v>
      </c>
      <c r="N6" s="126" t="s">
        <v>314</v>
      </c>
      <c r="O6" s="126" t="s">
        <v>720</v>
      </c>
      <c r="P6" s="126" t="s">
        <v>314</v>
      </c>
      <c r="Q6" s="126" t="s">
        <v>720</v>
      </c>
      <c r="R6" s="126" t="s">
        <v>314</v>
      </c>
      <c r="S6" s="126" t="s">
        <v>720</v>
      </c>
      <c r="T6" s="126" t="s">
        <v>314</v>
      </c>
      <c r="U6" s="126" t="s">
        <v>720</v>
      </c>
      <c r="V6" s="126" t="s">
        <v>314</v>
      </c>
      <c r="W6" s="126" t="s">
        <v>720</v>
      </c>
      <c r="X6" s="126" t="s">
        <v>314</v>
      </c>
      <c r="Y6" s="126" t="s">
        <v>720</v>
      </c>
      <c r="Z6" s="126" t="s">
        <v>314</v>
      </c>
      <c r="AA6" s="126" t="s">
        <v>720</v>
      </c>
      <c r="AB6" s="126" t="s">
        <v>314</v>
      </c>
      <c r="AC6" s="126" t="s">
        <v>720</v>
      </c>
      <c r="AD6" s="126" t="s">
        <v>314</v>
      </c>
      <c r="AE6" s="126" t="s">
        <v>720</v>
      </c>
      <c r="AF6" s="126" t="s">
        <v>314</v>
      </c>
      <c r="AG6" s="126" t="s">
        <v>720</v>
      </c>
      <c r="AH6" s="126" t="s">
        <v>314</v>
      </c>
      <c r="AI6" s="126" t="s">
        <v>720</v>
      </c>
      <c r="AJ6" s="126" t="s">
        <v>314</v>
      </c>
      <c r="AK6" s="126" t="s">
        <v>720</v>
      </c>
      <c r="AL6" s="126" t="s">
        <v>314</v>
      </c>
      <c r="AM6" s="126" t="s">
        <v>720</v>
      </c>
      <c r="AN6" s="126" t="s">
        <v>314</v>
      </c>
      <c r="AO6" s="126" t="s">
        <v>720</v>
      </c>
      <c r="AP6" s="126" t="s">
        <v>314</v>
      </c>
      <c r="AQ6" s="126" t="s">
        <v>720</v>
      </c>
      <c r="AR6" s="126" t="s">
        <v>314</v>
      </c>
      <c r="AS6" s="126" t="s">
        <v>720</v>
      </c>
      <c r="AT6" s="126" t="s">
        <v>314</v>
      </c>
      <c r="AU6" s="126" t="s">
        <v>720</v>
      </c>
      <c r="AV6" s="126" t="s">
        <v>314</v>
      </c>
      <c r="AW6" s="126" t="s">
        <v>720</v>
      </c>
      <c r="AX6" s="127" t="s">
        <v>463</v>
      </c>
      <c r="AY6" s="44" t="s">
        <v>9</v>
      </c>
      <c r="AZ6" s="44" t="s">
        <v>10</v>
      </c>
      <c r="BA6" s="128" t="s">
        <v>315</v>
      </c>
      <c r="BB6" s="129" t="s">
        <v>316</v>
      </c>
      <c r="BC6" s="129" t="s">
        <v>721</v>
      </c>
      <c r="BD6" s="129" t="s">
        <v>12</v>
      </c>
    </row>
    <row r="7" spans="1:58" ht="102" customHeight="1" x14ac:dyDescent="0.25">
      <c r="A7" s="65">
        <v>1</v>
      </c>
      <c r="B7" s="142" t="s">
        <v>788</v>
      </c>
      <c r="C7" s="66" t="s">
        <v>722</v>
      </c>
      <c r="D7" s="77" t="s">
        <v>723</v>
      </c>
      <c r="E7" s="81">
        <v>1440</v>
      </c>
      <c r="F7" s="105">
        <v>2013.8461538461536</v>
      </c>
      <c r="G7" s="91">
        <f>+F7*E7</f>
        <v>2899938.461538461</v>
      </c>
      <c r="H7" s="91">
        <v>3600</v>
      </c>
      <c r="I7" s="97">
        <f>+H7*E7</f>
        <v>5184000</v>
      </c>
      <c r="J7" s="91">
        <v>1900</v>
      </c>
      <c r="K7" s="97">
        <f>+J7*E7</f>
        <v>2736000</v>
      </c>
      <c r="L7" s="97"/>
      <c r="M7" s="97"/>
      <c r="N7" s="98">
        <v>1685.04</v>
      </c>
      <c r="O7" s="97">
        <f t="shared" ref="O7" si="0">+N7*E7</f>
        <v>2426457.6</v>
      </c>
      <c r="P7" s="97"/>
      <c r="Q7" s="97"/>
      <c r="R7" s="97"/>
      <c r="S7" s="97"/>
      <c r="T7" s="97"/>
      <c r="U7" s="97"/>
      <c r="V7" s="97"/>
      <c r="W7" s="97"/>
      <c r="X7" s="97"/>
      <c r="Y7" s="97"/>
      <c r="Z7" s="97"/>
      <c r="AA7" s="97"/>
      <c r="AB7" s="97"/>
      <c r="AC7" s="97"/>
      <c r="AD7" s="97"/>
      <c r="AE7" s="97"/>
      <c r="AF7" s="97"/>
      <c r="AG7" s="97"/>
      <c r="AH7" s="97"/>
      <c r="AI7" s="97"/>
      <c r="AJ7" s="97"/>
      <c r="AK7" s="97"/>
      <c r="AL7" s="91">
        <v>5400</v>
      </c>
      <c r="AM7" s="91">
        <f>+AL7*E7</f>
        <v>7776000</v>
      </c>
      <c r="AN7" s="97"/>
      <c r="AO7" s="97"/>
      <c r="AP7" s="97"/>
      <c r="AQ7" s="97"/>
      <c r="AR7" s="97"/>
      <c r="AS7" s="97"/>
      <c r="AT7" s="96"/>
      <c r="AU7" s="96"/>
      <c r="AV7" s="92"/>
      <c r="AW7" s="92"/>
      <c r="AX7" s="130">
        <f>MEDIAN(H7,AL7)</f>
        <v>4500</v>
      </c>
      <c r="AY7" s="130">
        <f>AVERAGE(H7,AL7)</f>
        <v>4500</v>
      </c>
      <c r="AZ7" s="131">
        <f>STDEV(H7,AL7)</f>
        <v>1272.7922061357856</v>
      </c>
      <c r="BA7" s="132">
        <f>AZ7/AY7</f>
        <v>0.28284271247461901</v>
      </c>
      <c r="BB7" s="133">
        <f t="shared" ref="BB7" si="1">ROUNDUP(IF(BA7&lt;15%,AY7,AX7),0)</f>
        <v>4500</v>
      </c>
      <c r="BC7" s="134">
        <f t="shared" ref="BC7" si="2">+BB7*E7</f>
        <v>6480000</v>
      </c>
      <c r="BD7" s="135" t="s">
        <v>322</v>
      </c>
      <c r="BF7" s="106"/>
    </row>
    <row r="8" spans="1:58" s="49" customFormat="1" ht="45" x14ac:dyDescent="0.25">
      <c r="A8" s="65">
        <v>2</v>
      </c>
      <c r="B8" s="67" t="s">
        <v>724</v>
      </c>
      <c r="C8" s="69" t="s">
        <v>725</v>
      </c>
      <c r="D8" s="67" t="s">
        <v>723</v>
      </c>
      <c r="E8" s="68">
        <v>60</v>
      </c>
      <c r="F8" s="95">
        <v>116788.43076923075</v>
      </c>
      <c r="G8" s="92">
        <f t="shared" ref="G8:G21" si="3">+F8*E8</f>
        <v>7007305.8461538451</v>
      </c>
      <c r="H8" s="92">
        <v>76500</v>
      </c>
      <c r="I8" s="96">
        <f t="shared" ref="I8:I22" si="4">+H8*E8</f>
        <v>4590000</v>
      </c>
      <c r="J8" s="92">
        <v>54000</v>
      </c>
      <c r="K8" s="96">
        <f t="shared" ref="K8:K21" si="5">+J8*E8</f>
        <v>3240000</v>
      </c>
      <c r="L8" s="96">
        <v>98900</v>
      </c>
      <c r="M8" s="97">
        <f t="shared" ref="M8:M21" si="6">+L8*E8</f>
        <v>5934000</v>
      </c>
      <c r="N8" s="98">
        <v>125816.31999999999</v>
      </c>
      <c r="O8" s="97">
        <f t="shared" ref="O8:O22" si="7">+N8*E8</f>
        <v>7548979.1999999993</v>
      </c>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1"/>
      <c r="AW8" s="91"/>
      <c r="AX8" s="130">
        <f>MEDIAN(F8,H8,L8)</f>
        <v>98900</v>
      </c>
      <c r="AY8" s="130">
        <f>AVERAGE(F8,H8,L8)</f>
        <v>97396.143589743588</v>
      </c>
      <c r="AZ8" s="131">
        <f>STDEV(F8,H8,L8)</f>
        <v>20186.27260141843</v>
      </c>
      <c r="BA8" s="132">
        <f>AZ8/AY8</f>
        <v>0.20725946487622707</v>
      </c>
      <c r="BB8" s="133">
        <f>ROUNDUP(IF(BA8&lt;15%,AY8,AX8),0)</f>
        <v>98900</v>
      </c>
      <c r="BC8" s="134">
        <f t="shared" ref="BC8:BC47" si="8">+BB8*E8</f>
        <v>5934000</v>
      </c>
      <c r="BD8" s="135" t="s">
        <v>322</v>
      </c>
      <c r="BE8" s="206"/>
      <c r="BF8" s="106"/>
    </row>
    <row r="9" spans="1:58" s="49" customFormat="1" ht="79.5" customHeight="1" x14ac:dyDescent="0.25">
      <c r="A9" s="41">
        <v>3</v>
      </c>
      <c r="B9" s="67" t="s">
        <v>809</v>
      </c>
      <c r="C9" s="69" t="s">
        <v>748</v>
      </c>
      <c r="D9" s="67" t="s">
        <v>723</v>
      </c>
      <c r="E9" s="68">
        <v>180</v>
      </c>
      <c r="F9" s="92">
        <v>30065</v>
      </c>
      <c r="G9" s="92">
        <v>5411700</v>
      </c>
      <c r="H9" s="92"/>
      <c r="I9" s="92"/>
      <c r="J9" s="92">
        <v>17500</v>
      </c>
      <c r="K9" s="92">
        <v>3150000</v>
      </c>
      <c r="L9" s="92"/>
      <c r="M9" s="91"/>
      <c r="N9" s="100">
        <v>10610.135199999999</v>
      </c>
      <c r="O9" s="91">
        <v>1909824.3359999999</v>
      </c>
      <c r="P9" s="91">
        <v>340200</v>
      </c>
      <c r="Q9" s="91">
        <v>61236000</v>
      </c>
      <c r="R9" s="91"/>
      <c r="S9" s="91"/>
      <c r="T9" s="91"/>
      <c r="U9" s="91"/>
      <c r="V9" s="91"/>
      <c r="W9" s="91"/>
      <c r="X9" s="91"/>
      <c r="Y9" s="91"/>
      <c r="Z9" s="91"/>
      <c r="AA9" s="91"/>
      <c r="AB9" s="91"/>
      <c r="AC9" s="91"/>
      <c r="AD9" s="91"/>
      <c r="AE9" s="91"/>
      <c r="AF9" s="91">
        <v>23652</v>
      </c>
      <c r="AG9" s="91">
        <v>4257360</v>
      </c>
      <c r="AH9" s="91"/>
      <c r="AI9" s="91"/>
      <c r="AJ9" s="91"/>
      <c r="AK9" s="91"/>
      <c r="AL9" s="91"/>
      <c r="AM9" s="91"/>
      <c r="AN9" s="91"/>
      <c r="AO9" s="91"/>
      <c r="AP9" s="91"/>
      <c r="AQ9" s="91"/>
      <c r="AR9" s="91"/>
      <c r="AS9" s="91"/>
      <c r="AT9" s="91"/>
      <c r="AU9" s="91"/>
      <c r="AV9" s="91"/>
      <c r="AW9" s="91"/>
      <c r="AX9" s="130">
        <v>20576</v>
      </c>
      <c r="AY9" s="130">
        <v>20576</v>
      </c>
      <c r="AZ9" s="131">
        <v>4350.12091785964</v>
      </c>
      <c r="BA9" s="137">
        <v>0.21141722967824844</v>
      </c>
      <c r="BB9" s="133">
        <v>20576</v>
      </c>
      <c r="BC9" s="134">
        <v>3703680</v>
      </c>
      <c r="BD9" s="135" t="s">
        <v>322</v>
      </c>
      <c r="BE9" s="206"/>
      <c r="BF9" s="106"/>
    </row>
    <row r="10" spans="1:58" s="49" customFormat="1" ht="79.5" customHeight="1" x14ac:dyDescent="0.25">
      <c r="A10" s="41">
        <v>4</v>
      </c>
      <c r="B10" s="67" t="s">
        <v>810</v>
      </c>
      <c r="C10" s="69" t="s">
        <v>749</v>
      </c>
      <c r="D10" s="67" t="s">
        <v>723</v>
      </c>
      <c r="E10" s="68">
        <v>120</v>
      </c>
      <c r="F10" s="92">
        <v>30065</v>
      </c>
      <c r="G10" s="92">
        <v>3607800</v>
      </c>
      <c r="H10" s="92"/>
      <c r="I10" s="92">
        <v>0</v>
      </c>
      <c r="J10" s="92">
        <v>17500</v>
      </c>
      <c r="K10" s="92">
        <v>2100000</v>
      </c>
      <c r="L10" s="92"/>
      <c r="M10" s="91"/>
      <c r="N10" s="100">
        <v>12672.904999999999</v>
      </c>
      <c r="O10" s="97">
        <v>1520748.5999999999</v>
      </c>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c r="AS10" s="91"/>
      <c r="AT10" s="91"/>
      <c r="AU10" s="91"/>
      <c r="AV10" s="91"/>
      <c r="AW10" s="91"/>
      <c r="AX10" s="130">
        <v>15086.452499999999</v>
      </c>
      <c r="AY10" s="130">
        <v>15086.452499999999</v>
      </c>
      <c r="AZ10" s="131">
        <v>3413.2716079316756</v>
      </c>
      <c r="BA10" s="137">
        <v>0.22624746327419754</v>
      </c>
      <c r="BB10" s="133">
        <v>15087</v>
      </c>
      <c r="BC10" s="134">
        <v>1810440</v>
      </c>
      <c r="BD10" s="135" t="s">
        <v>322</v>
      </c>
      <c r="BE10" s="206"/>
      <c r="BF10" s="106"/>
    </row>
    <row r="11" spans="1:58" s="49" customFormat="1" ht="42.75" customHeight="1" x14ac:dyDescent="0.25">
      <c r="A11" s="65">
        <v>5</v>
      </c>
      <c r="B11" s="67" t="s">
        <v>737</v>
      </c>
      <c r="C11" s="69" t="s">
        <v>738</v>
      </c>
      <c r="D11" s="67" t="s">
        <v>723</v>
      </c>
      <c r="E11" s="68">
        <v>24</v>
      </c>
      <c r="F11" s="92">
        <v>549230.76923076913</v>
      </c>
      <c r="G11" s="92">
        <v>13181538.46153846</v>
      </c>
      <c r="H11" s="92"/>
      <c r="I11" s="92">
        <v>0</v>
      </c>
      <c r="J11" s="92"/>
      <c r="K11" s="92">
        <v>0</v>
      </c>
      <c r="L11" s="92"/>
      <c r="M11" s="91"/>
      <c r="N11" s="100">
        <v>101088.35799999999</v>
      </c>
      <c r="O11" s="97">
        <v>2426120.5919999997</v>
      </c>
      <c r="P11" s="91">
        <v>378000</v>
      </c>
      <c r="Q11" s="91">
        <v>9072000</v>
      </c>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130">
        <v>463615.38461538457</v>
      </c>
      <c r="AY11" s="130">
        <v>463615.38461538457</v>
      </c>
      <c r="AZ11" s="131">
        <v>121078.43807086578</v>
      </c>
      <c r="BA11" s="137">
        <v>0.26116138956715701</v>
      </c>
      <c r="BB11" s="133">
        <v>463616</v>
      </c>
      <c r="BC11" s="134">
        <v>11126784</v>
      </c>
      <c r="BD11" s="135" t="s">
        <v>322</v>
      </c>
      <c r="BE11" s="206"/>
      <c r="BF11" s="106"/>
    </row>
    <row r="12" spans="1:58" s="49" customFormat="1" ht="42.75" customHeight="1" x14ac:dyDescent="0.25">
      <c r="A12" s="65">
        <v>6</v>
      </c>
      <c r="B12" s="77" t="s">
        <v>754</v>
      </c>
      <c r="C12" s="69" t="s">
        <v>755</v>
      </c>
      <c r="D12" s="77" t="s">
        <v>723</v>
      </c>
      <c r="E12" s="81">
        <v>12</v>
      </c>
      <c r="F12" s="92">
        <v>91538</v>
      </c>
      <c r="G12" s="92">
        <v>1098456</v>
      </c>
      <c r="H12" s="96"/>
      <c r="I12" s="96">
        <v>0</v>
      </c>
      <c r="J12" s="96">
        <v>39900</v>
      </c>
      <c r="K12" s="96">
        <v>478800</v>
      </c>
      <c r="L12" s="96">
        <v>89900</v>
      </c>
      <c r="M12" s="97">
        <v>1078800</v>
      </c>
      <c r="N12" s="98">
        <v>68805.8</v>
      </c>
      <c r="O12" s="97">
        <v>825669.60000000009</v>
      </c>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1"/>
      <c r="AW12" s="91"/>
      <c r="AX12" s="130">
        <v>90719</v>
      </c>
      <c r="AY12" s="130">
        <v>90719</v>
      </c>
      <c r="AZ12" s="131">
        <v>1158.2409075835649</v>
      </c>
      <c r="BA12" s="137">
        <v>1.2767346504961087E-2</v>
      </c>
      <c r="BB12" s="133">
        <v>90719</v>
      </c>
      <c r="BC12" s="134">
        <v>1088628</v>
      </c>
      <c r="BD12" s="135" t="s">
        <v>319</v>
      </c>
      <c r="BE12" s="206"/>
      <c r="BF12" s="106"/>
    </row>
    <row r="13" spans="1:58" s="49" customFormat="1" ht="45" x14ac:dyDescent="0.25">
      <c r="A13" s="65">
        <v>7</v>
      </c>
      <c r="B13" s="67" t="s">
        <v>735</v>
      </c>
      <c r="C13" s="69" t="s">
        <v>736</v>
      </c>
      <c r="D13" s="67" t="s">
        <v>723</v>
      </c>
      <c r="E13" s="68">
        <v>300</v>
      </c>
      <c r="F13" s="92">
        <v>115204.81538461539</v>
      </c>
      <c r="G13" s="92">
        <f t="shared" ref="G13:G15" si="9">+F13*E13</f>
        <v>34561444.615384616</v>
      </c>
      <c r="H13" s="92"/>
      <c r="I13" s="92">
        <f t="shared" ref="I13:I15" si="10">+H13*E13</f>
        <v>0</v>
      </c>
      <c r="J13" s="92">
        <v>139000</v>
      </c>
      <c r="K13" s="92">
        <f t="shared" ref="K13:K15" si="11">+J13*E13</f>
        <v>41700000</v>
      </c>
      <c r="L13" s="92">
        <v>73800</v>
      </c>
      <c r="M13" s="91">
        <f t="shared" ref="M13" si="12">+L13*E13</f>
        <v>22140000</v>
      </c>
      <c r="N13" s="100">
        <v>107982.98</v>
      </c>
      <c r="O13" s="91">
        <f t="shared" ref="O13:O15" si="13">+N13*E13</f>
        <v>32394894</v>
      </c>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130">
        <f>MEDIAN(L13,N13)</f>
        <v>90891.489999999991</v>
      </c>
      <c r="AY13" s="130">
        <f>AVERAGE(L13,N13)</f>
        <v>90891.489999999991</v>
      </c>
      <c r="AZ13" s="131">
        <f>STDEV(L13,N13)</f>
        <v>24171.016959164179</v>
      </c>
      <c r="BA13" s="137">
        <f t="shared" ref="BA13:BA17" si="14">AZ13/AY13</f>
        <v>0.26593267377577573</v>
      </c>
      <c r="BB13" s="133">
        <f t="shared" ref="BB13:BB18" si="15">ROUNDUP(IF(BA13&lt;15%,AY13,AX13),0)</f>
        <v>90892</v>
      </c>
      <c r="BC13" s="134">
        <f t="shared" si="8"/>
        <v>27267600</v>
      </c>
      <c r="BD13" s="135" t="s">
        <v>322</v>
      </c>
      <c r="BE13" s="206"/>
      <c r="BF13" s="106"/>
    </row>
    <row r="14" spans="1:58" s="49" customFormat="1" ht="45" x14ac:dyDescent="0.25">
      <c r="A14" s="65">
        <v>8</v>
      </c>
      <c r="B14" s="67" t="s">
        <v>739</v>
      </c>
      <c r="C14" s="138" t="s">
        <v>797</v>
      </c>
      <c r="D14" s="67" t="s">
        <v>723</v>
      </c>
      <c r="E14" s="68">
        <v>24</v>
      </c>
      <c r="F14" s="92">
        <v>833000</v>
      </c>
      <c r="G14" s="92">
        <f t="shared" si="9"/>
        <v>19992000</v>
      </c>
      <c r="H14" s="92"/>
      <c r="I14" s="92">
        <f t="shared" si="10"/>
        <v>0</v>
      </c>
      <c r="J14" s="92"/>
      <c r="K14" s="92">
        <f t="shared" si="11"/>
        <v>0</v>
      </c>
      <c r="L14" s="92"/>
      <c r="M14" s="91"/>
      <c r="N14" s="100">
        <v>540617</v>
      </c>
      <c r="O14" s="97">
        <f t="shared" si="13"/>
        <v>12974808</v>
      </c>
      <c r="P14" s="91">
        <v>491400</v>
      </c>
      <c r="Q14" s="91">
        <f>+P14*E14</f>
        <v>11793600</v>
      </c>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130">
        <f>MEDIAN(N14,P14)</f>
        <v>516008.5</v>
      </c>
      <c r="AY14" s="130">
        <f>AVERAGE(N14,P14)</f>
        <v>516008.5</v>
      </c>
      <c r="AZ14" s="131">
        <f>STDEV(N14,P14)</f>
        <v>34801.674449658312</v>
      </c>
      <c r="BA14" s="137">
        <f t="shared" si="14"/>
        <v>6.7443994526559761E-2</v>
      </c>
      <c r="BB14" s="133">
        <f t="shared" si="15"/>
        <v>516009</v>
      </c>
      <c r="BC14" s="134">
        <f t="shared" si="8"/>
        <v>12384216</v>
      </c>
      <c r="BD14" s="135" t="s">
        <v>319</v>
      </c>
      <c r="BE14" s="206"/>
      <c r="BF14" s="106"/>
    </row>
    <row r="15" spans="1:58" ht="45" x14ac:dyDescent="0.25">
      <c r="A15" s="41">
        <v>9</v>
      </c>
      <c r="B15" s="36" t="s">
        <v>804</v>
      </c>
      <c r="C15" s="66" t="s">
        <v>782</v>
      </c>
      <c r="D15" s="77" t="s">
        <v>723</v>
      </c>
      <c r="E15" s="81">
        <v>60</v>
      </c>
      <c r="F15" s="96">
        <v>140786</v>
      </c>
      <c r="G15" s="92">
        <f t="shared" si="9"/>
        <v>8447160</v>
      </c>
      <c r="H15" s="96">
        <v>93000</v>
      </c>
      <c r="I15" s="96">
        <f t="shared" si="10"/>
        <v>5580000</v>
      </c>
      <c r="J15" s="96">
        <v>39900</v>
      </c>
      <c r="K15" s="96">
        <f t="shared" si="11"/>
        <v>2394000</v>
      </c>
      <c r="L15" s="96"/>
      <c r="M15" s="97"/>
      <c r="N15" s="98">
        <v>114351.02699999999</v>
      </c>
      <c r="O15" s="97">
        <f t="shared" si="13"/>
        <v>6861061.6199999992</v>
      </c>
      <c r="P15" s="97"/>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1"/>
      <c r="AW15" s="91"/>
      <c r="AX15" s="130">
        <f>MEDIAN(H15,N15)</f>
        <v>103675.5135</v>
      </c>
      <c r="AY15" s="130">
        <f>AVERAGE(H15,N15)</f>
        <v>103675.5135</v>
      </c>
      <c r="AZ15" s="131">
        <f>STDEV(H15,N15)</f>
        <v>15097.455976997038</v>
      </c>
      <c r="BA15" s="137">
        <f t="shared" si="14"/>
        <v>0.14562219628646486</v>
      </c>
      <c r="BB15" s="133">
        <f t="shared" si="15"/>
        <v>103676</v>
      </c>
      <c r="BC15" s="134">
        <f t="shared" si="8"/>
        <v>6220560</v>
      </c>
      <c r="BD15" s="135" t="s">
        <v>319</v>
      </c>
      <c r="BF15" s="106"/>
    </row>
    <row r="16" spans="1:58" ht="75" x14ac:dyDescent="0.25">
      <c r="A16" s="41">
        <v>10</v>
      </c>
      <c r="B16" s="41" t="s">
        <v>806</v>
      </c>
      <c r="C16" s="66" t="s">
        <v>787</v>
      </c>
      <c r="D16" s="77" t="s">
        <v>723</v>
      </c>
      <c r="E16" s="81">
        <v>80</v>
      </c>
      <c r="F16" s="101"/>
      <c r="G16" s="102"/>
      <c r="H16" s="102"/>
      <c r="I16" s="102"/>
      <c r="J16" s="99"/>
      <c r="K16" s="99"/>
      <c r="L16" s="102"/>
      <c r="M16" s="102"/>
      <c r="N16" s="102"/>
      <c r="O16" s="102"/>
      <c r="P16" s="102"/>
      <c r="Q16" s="102"/>
      <c r="R16" s="102"/>
      <c r="S16" s="102"/>
      <c r="T16" s="102"/>
      <c r="U16" s="102"/>
      <c r="V16" s="102">
        <v>120960</v>
      </c>
      <c r="W16" s="102">
        <f>+V16*E16</f>
        <v>9676800</v>
      </c>
      <c r="X16" s="102"/>
      <c r="Y16" s="102"/>
      <c r="Z16" s="102"/>
      <c r="AA16" s="102"/>
      <c r="AB16" s="102"/>
      <c r="AC16" s="102"/>
      <c r="AD16" s="102"/>
      <c r="AE16" s="102"/>
      <c r="AF16" s="102">
        <v>181440</v>
      </c>
      <c r="AG16" s="102">
        <f>+AF16*E16</f>
        <v>14515200</v>
      </c>
      <c r="AH16" s="102"/>
      <c r="AI16" s="102"/>
      <c r="AJ16" s="102">
        <v>226100</v>
      </c>
      <c r="AK16" s="102">
        <f>+AJ16*E16</f>
        <v>18088000</v>
      </c>
      <c r="AL16" s="103"/>
      <c r="AM16" s="103"/>
      <c r="AN16" s="103"/>
      <c r="AO16" s="103"/>
      <c r="AP16" s="103"/>
      <c r="AQ16" s="103"/>
      <c r="AR16" s="103"/>
      <c r="AS16" s="103"/>
      <c r="AT16" s="99"/>
      <c r="AU16" s="99"/>
      <c r="AV16" s="104">
        <v>238000</v>
      </c>
      <c r="AW16" s="104">
        <f>+AV16*E16</f>
        <v>19040000</v>
      </c>
      <c r="AX16" s="139">
        <f>MEDIAN(V16,AF16)</f>
        <v>151200</v>
      </c>
      <c r="AY16" s="139">
        <f>AVERAGE(V16,AF16)</f>
        <v>151200</v>
      </c>
      <c r="AZ16" s="140">
        <f>STDEV(V16,AF16)</f>
        <v>42765.818126162398</v>
      </c>
      <c r="BA16" s="137">
        <f t="shared" si="14"/>
        <v>0.28284271247461901</v>
      </c>
      <c r="BB16" s="141">
        <f t="shared" si="15"/>
        <v>151200</v>
      </c>
      <c r="BC16" s="134">
        <f t="shared" si="8"/>
        <v>12096000</v>
      </c>
      <c r="BD16" s="135" t="s">
        <v>322</v>
      </c>
      <c r="BF16" s="106"/>
    </row>
    <row r="17" spans="1:58" ht="30" x14ac:dyDescent="0.25">
      <c r="A17" s="65">
        <v>11</v>
      </c>
      <c r="B17" s="68" t="s">
        <v>740</v>
      </c>
      <c r="C17" s="69" t="s">
        <v>741</v>
      </c>
      <c r="D17" s="77" t="s">
        <v>723</v>
      </c>
      <c r="E17" s="81">
        <v>60</v>
      </c>
      <c r="F17" s="92">
        <v>86412</v>
      </c>
      <c r="G17" s="92">
        <f t="shared" ref="G17:G18" si="16">+F17*E17</f>
        <v>5184720</v>
      </c>
      <c r="H17" s="92">
        <v>38000</v>
      </c>
      <c r="I17" s="96">
        <f t="shared" ref="I17:I18" si="17">+H17*E17</f>
        <v>2280000</v>
      </c>
      <c r="J17" s="92">
        <v>31500</v>
      </c>
      <c r="K17" s="96">
        <f t="shared" ref="K17:K18" si="18">+J17*E17</f>
        <v>1890000</v>
      </c>
      <c r="L17" s="96"/>
      <c r="M17" s="97"/>
      <c r="N17" s="98">
        <v>37772.979999999996</v>
      </c>
      <c r="O17" s="97">
        <f t="shared" ref="O17:O18" si="19">+N17*E17</f>
        <v>2266378.7999999998</v>
      </c>
      <c r="P17" s="97"/>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1"/>
      <c r="AW17" s="91"/>
      <c r="AX17" s="130">
        <f>MEDIAN(H17,N17)</f>
        <v>37886.49</v>
      </c>
      <c r="AY17" s="130">
        <f>AVERAGE(H17,N17)</f>
        <v>37886.49</v>
      </c>
      <c r="AZ17" s="131">
        <f>STDEV(H17,N17)</f>
        <v>160.5273814649729</v>
      </c>
      <c r="BA17" s="137">
        <f t="shared" si="14"/>
        <v>4.2370613235739943E-3</v>
      </c>
      <c r="BB17" s="133">
        <f t="shared" si="15"/>
        <v>37887</v>
      </c>
      <c r="BC17" s="134">
        <f t="shared" si="8"/>
        <v>2273220</v>
      </c>
      <c r="BD17" s="135" t="s">
        <v>319</v>
      </c>
      <c r="BF17" s="106"/>
    </row>
    <row r="18" spans="1:58" s="49" customFormat="1" ht="30" x14ac:dyDescent="0.25">
      <c r="A18" s="65">
        <v>12</v>
      </c>
      <c r="B18" s="68" t="s">
        <v>728</v>
      </c>
      <c r="C18" s="69" t="s">
        <v>729</v>
      </c>
      <c r="D18" s="67" t="s">
        <v>723</v>
      </c>
      <c r="E18" s="68">
        <v>774</v>
      </c>
      <c r="F18" s="92">
        <v>26363.076923076922</v>
      </c>
      <c r="G18" s="92">
        <f t="shared" si="16"/>
        <v>20405021.538461536</v>
      </c>
      <c r="H18" s="92">
        <v>21400</v>
      </c>
      <c r="I18" s="92">
        <f t="shared" si="17"/>
        <v>16563600</v>
      </c>
      <c r="J18" s="92">
        <v>20751</v>
      </c>
      <c r="K18" s="92">
        <f t="shared" si="18"/>
        <v>16061274</v>
      </c>
      <c r="L18" s="92"/>
      <c r="M18" s="91">
        <f t="shared" ref="M18" si="20">+L18*E18</f>
        <v>0</v>
      </c>
      <c r="N18" s="100">
        <v>14884.519999999999</v>
      </c>
      <c r="O18" s="97">
        <f t="shared" si="19"/>
        <v>11520618.479999999</v>
      </c>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130">
        <f>MEDIAN(F18,H18,J18)</f>
        <v>21400</v>
      </c>
      <c r="AY18" s="130">
        <f>AVERAGE(F18,H18,J18)</f>
        <v>22838.025641025641</v>
      </c>
      <c r="AZ18" s="131">
        <f>STDEV(F18,H18,J18)</f>
        <v>3069.9821100160279</v>
      </c>
      <c r="BA18" s="132">
        <f>AZ18/AY18</f>
        <v>0.13442414673977732</v>
      </c>
      <c r="BB18" s="133">
        <f t="shared" si="15"/>
        <v>22839</v>
      </c>
      <c r="BC18" s="134">
        <f t="shared" si="8"/>
        <v>17677386</v>
      </c>
      <c r="BD18" s="135" t="s">
        <v>351</v>
      </c>
      <c r="BE18" s="206"/>
      <c r="BF18" s="106"/>
    </row>
    <row r="19" spans="1:58" ht="60" x14ac:dyDescent="0.25">
      <c r="A19" s="41">
        <v>13</v>
      </c>
      <c r="B19" s="68" t="s">
        <v>726</v>
      </c>
      <c r="C19" s="69" t="s">
        <v>727</v>
      </c>
      <c r="D19" s="77" t="s">
        <v>723</v>
      </c>
      <c r="E19" s="81">
        <v>156</v>
      </c>
      <c r="F19" s="92">
        <v>137307.69230769228</v>
      </c>
      <c r="G19" s="92">
        <f t="shared" si="3"/>
        <v>21419999.999999996</v>
      </c>
      <c r="H19" s="92">
        <v>40000</v>
      </c>
      <c r="I19" s="96">
        <f t="shared" si="4"/>
        <v>6240000</v>
      </c>
      <c r="J19" s="92">
        <v>33000</v>
      </c>
      <c r="K19" s="96">
        <f t="shared" si="5"/>
        <v>5148000</v>
      </c>
      <c r="L19" s="96">
        <v>64000</v>
      </c>
      <c r="M19" s="97">
        <f t="shared" si="6"/>
        <v>9984000</v>
      </c>
      <c r="N19" s="98">
        <v>37772.979999999996</v>
      </c>
      <c r="O19" s="97">
        <f t="shared" si="7"/>
        <v>5892584.879999999</v>
      </c>
      <c r="P19" s="97"/>
      <c r="Q19" s="97"/>
      <c r="R19" s="97"/>
      <c r="S19" s="97"/>
      <c r="T19" s="97"/>
      <c r="U19" s="97"/>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c r="AV19" s="91"/>
      <c r="AW19" s="91"/>
      <c r="AX19" s="130">
        <f>MEDIAN(H19,J19)</f>
        <v>36500</v>
      </c>
      <c r="AY19" s="130">
        <f>AVERAGE(H19,J19)</f>
        <v>36500</v>
      </c>
      <c r="AZ19" s="131">
        <f>STDEV(H19,J19)</f>
        <v>4949.7474683058326</v>
      </c>
      <c r="BA19" s="132">
        <f>AZ19/AY19</f>
        <v>0.13560951967961185</v>
      </c>
      <c r="BB19" s="133">
        <f>ROUNDUP(IF(BA19&lt;15%,AY19,AX19),0)</f>
        <v>36500</v>
      </c>
      <c r="BC19" s="134">
        <f t="shared" si="8"/>
        <v>5694000</v>
      </c>
      <c r="BD19" s="135" t="s">
        <v>319</v>
      </c>
      <c r="BF19" s="106"/>
    </row>
    <row r="20" spans="1:58" s="49" customFormat="1" ht="30" x14ac:dyDescent="0.25">
      <c r="A20" s="41">
        <v>14</v>
      </c>
      <c r="B20" s="68" t="s">
        <v>730</v>
      </c>
      <c r="C20" s="69" t="s">
        <v>731</v>
      </c>
      <c r="D20" s="67" t="s">
        <v>723</v>
      </c>
      <c r="E20" s="68">
        <v>104</v>
      </c>
      <c r="F20" s="92">
        <v>104903.07692307692</v>
      </c>
      <c r="G20" s="92">
        <f t="shared" si="3"/>
        <v>10909920</v>
      </c>
      <c r="H20" s="92">
        <v>43000</v>
      </c>
      <c r="I20" s="92">
        <f t="shared" si="4"/>
        <v>4472000</v>
      </c>
      <c r="J20" s="92">
        <v>37200</v>
      </c>
      <c r="K20" s="92">
        <f t="shared" si="5"/>
        <v>3868800</v>
      </c>
      <c r="L20" s="92"/>
      <c r="M20" s="91">
        <f t="shared" si="6"/>
        <v>0</v>
      </c>
      <c r="N20" s="100">
        <v>83549.899999999994</v>
      </c>
      <c r="O20" s="91">
        <f t="shared" si="7"/>
        <v>8689189.5999999996</v>
      </c>
      <c r="P20" s="91"/>
      <c r="Q20" s="91"/>
      <c r="R20" s="91"/>
      <c r="S20" s="91"/>
      <c r="T20" s="91"/>
      <c r="U20" s="91"/>
      <c r="V20" s="91"/>
      <c r="W20" s="91"/>
      <c r="X20" s="91"/>
      <c r="Y20" s="91"/>
      <c r="Z20" s="91"/>
      <c r="AA20" s="91"/>
      <c r="AB20" s="91"/>
      <c r="AC20" s="91"/>
      <c r="AD20" s="91"/>
      <c r="AE20" s="91"/>
      <c r="AF20" s="91">
        <v>69660</v>
      </c>
      <c r="AG20" s="91">
        <f>+AF20*E20</f>
        <v>7244640</v>
      </c>
      <c r="AH20" s="91"/>
      <c r="AI20" s="91"/>
      <c r="AJ20" s="91"/>
      <c r="AK20" s="91"/>
      <c r="AL20" s="91"/>
      <c r="AM20" s="91"/>
      <c r="AN20" s="91">
        <v>56160</v>
      </c>
      <c r="AO20" s="91">
        <f>+AN20*E20</f>
        <v>5840640</v>
      </c>
      <c r="AP20" s="91"/>
      <c r="AQ20" s="91"/>
      <c r="AR20" s="91"/>
      <c r="AS20" s="91"/>
      <c r="AT20" s="91"/>
      <c r="AU20" s="91"/>
      <c r="AV20" s="91"/>
      <c r="AW20" s="91"/>
      <c r="AX20" s="130">
        <f>MEDIAN(H20,AN20)</f>
        <v>49580</v>
      </c>
      <c r="AY20" s="130">
        <f>AVERAGE(H20,AN20)</f>
        <v>49580</v>
      </c>
      <c r="AZ20" s="131">
        <f>STDEV(H20,AN20)</f>
        <v>9305.5252404149651</v>
      </c>
      <c r="BA20" s="132">
        <f t="shared" ref="BA20:BA22" si="21">AZ20/AY20</f>
        <v>0.18768707624878914</v>
      </c>
      <c r="BB20" s="133">
        <f t="shared" ref="BB20:BB22" si="22">ROUNDUP(IF(BA20&lt;15%,AY20,AX20),0)</f>
        <v>49580</v>
      </c>
      <c r="BC20" s="134">
        <f t="shared" si="8"/>
        <v>5156320</v>
      </c>
      <c r="BD20" s="135" t="s">
        <v>322</v>
      </c>
      <c r="BE20" s="206"/>
      <c r="BF20" s="106"/>
    </row>
    <row r="21" spans="1:58" ht="136.5" customHeight="1" x14ac:dyDescent="0.25">
      <c r="A21" s="65">
        <v>15</v>
      </c>
      <c r="B21" s="77" t="s">
        <v>732</v>
      </c>
      <c r="C21" s="136" t="s">
        <v>733</v>
      </c>
      <c r="D21" s="77" t="s">
        <v>723</v>
      </c>
      <c r="E21" s="81">
        <v>1710</v>
      </c>
      <c r="F21" s="92">
        <v>33503.076923076922</v>
      </c>
      <c r="G21" s="92">
        <f t="shared" si="3"/>
        <v>57290261.538461536</v>
      </c>
      <c r="H21" s="92">
        <v>8000</v>
      </c>
      <c r="I21" s="96">
        <f t="shared" si="4"/>
        <v>13680000</v>
      </c>
      <c r="J21" s="92">
        <v>13400</v>
      </c>
      <c r="K21" s="96">
        <f t="shared" si="5"/>
        <v>22914000</v>
      </c>
      <c r="L21" s="96">
        <v>37000</v>
      </c>
      <c r="M21" s="97">
        <f t="shared" si="6"/>
        <v>63270000</v>
      </c>
      <c r="N21" s="98">
        <v>16534.103950000001</v>
      </c>
      <c r="O21" s="97">
        <f t="shared" si="7"/>
        <v>28273317.754500002</v>
      </c>
      <c r="P21" s="97"/>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1"/>
      <c r="AW21" s="91"/>
      <c r="AX21" s="130">
        <f>MEDIAN(J21,N21)</f>
        <v>14967.051975</v>
      </c>
      <c r="AY21" s="130">
        <f>AVERAGE(N21,J21)</f>
        <v>14967.051975</v>
      </c>
      <c r="AZ21" s="131">
        <f>STDEV(N21,J21)</f>
        <v>2216.1461559885524</v>
      </c>
      <c r="BA21" s="137">
        <f t="shared" si="21"/>
        <v>0.1480683143006559</v>
      </c>
      <c r="BB21" s="133">
        <f t="shared" si="22"/>
        <v>14968</v>
      </c>
      <c r="BC21" s="134">
        <f t="shared" si="8"/>
        <v>25595280</v>
      </c>
      <c r="BD21" s="135" t="s">
        <v>319</v>
      </c>
      <c r="BF21" s="106"/>
    </row>
    <row r="22" spans="1:58" s="49" customFormat="1" ht="138" customHeight="1" x14ac:dyDescent="0.25">
      <c r="A22" s="65">
        <v>16</v>
      </c>
      <c r="B22" s="81" t="s">
        <v>807</v>
      </c>
      <c r="C22" s="69" t="s">
        <v>734</v>
      </c>
      <c r="D22" s="67" t="s">
        <v>723</v>
      </c>
      <c r="E22" s="68">
        <v>18</v>
      </c>
      <c r="F22" s="92"/>
      <c r="G22" s="92"/>
      <c r="H22" s="92">
        <v>80000</v>
      </c>
      <c r="I22" s="92">
        <f t="shared" si="4"/>
        <v>1440000</v>
      </c>
      <c r="J22" s="92"/>
      <c r="K22" s="92"/>
      <c r="L22" s="92"/>
      <c r="M22" s="91"/>
      <c r="N22" s="100">
        <v>111226.68199999999</v>
      </c>
      <c r="O22" s="97">
        <f t="shared" si="7"/>
        <v>2002080.2759999998</v>
      </c>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130">
        <f>MEDIAN(F22,H22,N22)</f>
        <v>95613.340999999986</v>
      </c>
      <c r="AY22" s="130">
        <f>AVERAGE(H22,N22)</f>
        <v>95613.340999999986</v>
      </c>
      <c r="AZ22" s="131">
        <f>STDEV(H22,N22)</f>
        <v>22080.598596155924</v>
      </c>
      <c r="BA22" s="137">
        <f t="shared" si="21"/>
        <v>0.23093637734252928</v>
      </c>
      <c r="BB22" s="133">
        <f t="shared" si="22"/>
        <v>95614</v>
      </c>
      <c r="BC22" s="134">
        <f t="shared" si="8"/>
        <v>1721052</v>
      </c>
      <c r="BD22" s="135" t="s">
        <v>322</v>
      </c>
      <c r="BE22" s="206"/>
      <c r="BF22" s="106"/>
    </row>
    <row r="23" spans="1:58" s="49" customFormat="1" ht="58.5" customHeight="1" x14ac:dyDescent="0.25">
      <c r="A23" s="65">
        <v>17</v>
      </c>
      <c r="B23" s="67" t="s">
        <v>750</v>
      </c>
      <c r="C23" s="69" t="s">
        <v>751</v>
      </c>
      <c r="D23" s="67" t="s">
        <v>723</v>
      </c>
      <c r="E23" s="68">
        <v>60</v>
      </c>
      <c r="F23" s="92"/>
      <c r="G23" s="92"/>
      <c r="H23" s="92"/>
      <c r="I23" s="92">
        <v>0</v>
      </c>
      <c r="J23" s="92">
        <v>50200</v>
      </c>
      <c r="K23" s="92">
        <v>3012000</v>
      </c>
      <c r="L23" s="92"/>
      <c r="M23" s="91"/>
      <c r="N23" s="100">
        <v>35105</v>
      </c>
      <c r="O23" s="91">
        <v>2106300</v>
      </c>
      <c r="P23" s="91"/>
      <c r="Q23" s="91"/>
      <c r="R23" s="91"/>
      <c r="S23" s="91"/>
      <c r="T23" s="91"/>
      <c r="U23" s="91"/>
      <c r="V23" s="91"/>
      <c r="W23" s="91"/>
      <c r="X23" s="91"/>
      <c r="Y23" s="91"/>
      <c r="Z23" s="91"/>
      <c r="AA23" s="91"/>
      <c r="AB23" s="91"/>
      <c r="AC23" s="91"/>
      <c r="AD23" s="91"/>
      <c r="AE23" s="91"/>
      <c r="AF23" s="91"/>
      <c r="AG23" s="91"/>
      <c r="AH23" s="91"/>
      <c r="AI23" s="91"/>
      <c r="AJ23" s="91">
        <v>101000</v>
      </c>
      <c r="AK23" s="91">
        <v>6060000</v>
      </c>
      <c r="AL23" s="91"/>
      <c r="AM23" s="91"/>
      <c r="AN23" s="91">
        <v>84780</v>
      </c>
      <c r="AO23" s="91">
        <v>5086800</v>
      </c>
      <c r="AP23" s="91"/>
      <c r="AQ23" s="91"/>
      <c r="AR23" s="91"/>
      <c r="AS23" s="91"/>
      <c r="AT23" s="91"/>
      <c r="AU23" s="91"/>
      <c r="AV23" s="91">
        <v>113050</v>
      </c>
      <c r="AW23" s="91">
        <v>6783000</v>
      </c>
      <c r="AX23" s="130">
        <v>92890</v>
      </c>
      <c r="AY23" s="130">
        <v>92890</v>
      </c>
      <c r="AZ23" s="131">
        <v>11469.2719908458</v>
      </c>
      <c r="BA23" s="137">
        <v>0.12347154689251588</v>
      </c>
      <c r="BB23" s="133">
        <v>92890</v>
      </c>
      <c r="BC23" s="134">
        <v>5573400</v>
      </c>
      <c r="BD23" s="135" t="s">
        <v>319</v>
      </c>
      <c r="BE23" s="206"/>
      <c r="BF23" s="106"/>
    </row>
    <row r="24" spans="1:58" s="49" customFormat="1" ht="58.5" customHeight="1" x14ac:dyDescent="0.25">
      <c r="A24" s="65">
        <v>18</v>
      </c>
      <c r="B24" s="81" t="s">
        <v>750</v>
      </c>
      <c r="C24" s="197" t="s">
        <v>756</v>
      </c>
      <c r="D24" s="77" t="s">
        <v>723</v>
      </c>
      <c r="E24" s="81">
        <v>120</v>
      </c>
      <c r="F24" s="92"/>
      <c r="G24" s="92"/>
      <c r="H24" s="92"/>
      <c r="I24" s="92"/>
      <c r="J24" s="92"/>
      <c r="K24" s="92"/>
      <c r="L24" s="92"/>
      <c r="M24" s="91"/>
      <c r="N24" s="100"/>
      <c r="O24" s="97"/>
      <c r="P24" s="91"/>
      <c r="Q24" s="91"/>
      <c r="R24" s="91"/>
      <c r="S24" s="91"/>
      <c r="T24" s="91"/>
      <c r="U24" s="91"/>
      <c r="V24" s="91"/>
      <c r="W24" s="91"/>
      <c r="X24" s="91"/>
      <c r="Y24" s="91"/>
      <c r="Z24" s="91"/>
      <c r="AA24" s="91"/>
      <c r="AB24" s="91"/>
      <c r="AC24" s="91"/>
      <c r="AD24" s="91"/>
      <c r="AE24" s="91"/>
      <c r="AF24" s="91"/>
      <c r="AG24" s="91"/>
      <c r="AH24" s="91"/>
      <c r="AI24" s="91"/>
      <c r="AJ24" s="91">
        <v>119000</v>
      </c>
      <c r="AK24" s="91">
        <v>14280000</v>
      </c>
      <c r="AL24" s="91"/>
      <c r="AM24" s="91"/>
      <c r="AN24" s="91">
        <v>84780</v>
      </c>
      <c r="AO24" s="91">
        <v>10173600</v>
      </c>
      <c r="AP24" s="91"/>
      <c r="AQ24" s="91"/>
      <c r="AR24" s="91"/>
      <c r="AS24" s="91"/>
      <c r="AT24" s="91"/>
      <c r="AU24" s="91"/>
      <c r="AV24" s="91">
        <v>130900</v>
      </c>
      <c r="AW24" s="91">
        <v>15708000</v>
      </c>
      <c r="AX24" s="130">
        <v>101890</v>
      </c>
      <c r="AY24" s="130">
        <v>101890</v>
      </c>
      <c r="AZ24" s="131">
        <v>24197.194052203657</v>
      </c>
      <c r="BA24" s="137">
        <v>0.23748350232803667</v>
      </c>
      <c r="BB24" s="133">
        <v>101890</v>
      </c>
      <c r="BC24" s="134">
        <v>12226800</v>
      </c>
      <c r="BD24" s="135" t="s">
        <v>322</v>
      </c>
      <c r="BE24" s="206"/>
      <c r="BF24" s="106"/>
    </row>
    <row r="25" spans="1:58" s="49" customFormat="1" ht="45" x14ac:dyDescent="0.25">
      <c r="A25" s="65">
        <v>19</v>
      </c>
      <c r="B25" s="67" t="s">
        <v>752</v>
      </c>
      <c r="C25" s="69" t="s">
        <v>753</v>
      </c>
      <c r="D25" s="67" t="s">
        <v>723</v>
      </c>
      <c r="E25" s="68">
        <v>36</v>
      </c>
      <c r="F25" s="92">
        <v>143898</v>
      </c>
      <c r="G25" s="92">
        <f t="shared" ref="G25" si="23">+F25*E25</f>
        <v>5180328</v>
      </c>
      <c r="H25" s="92">
        <v>110000</v>
      </c>
      <c r="I25" s="92">
        <f t="shared" ref="I25" si="24">+H25*E25</f>
        <v>3960000</v>
      </c>
      <c r="J25" s="92">
        <v>79800</v>
      </c>
      <c r="K25" s="92">
        <f t="shared" ref="K25" si="25">+J25*E25</f>
        <v>2872800</v>
      </c>
      <c r="L25" s="92"/>
      <c r="M25" s="91"/>
      <c r="N25" s="100">
        <v>154321.57999999999</v>
      </c>
      <c r="O25" s="91">
        <f t="shared" ref="O25" si="26">+N25*E25</f>
        <v>5555576.8799999999</v>
      </c>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130">
        <f>MEDIAN(F25,H25,J25)</f>
        <v>110000</v>
      </c>
      <c r="AY25" s="130">
        <f>AVERAGE(F25,H25,J25)</f>
        <v>111232.66666666667</v>
      </c>
      <c r="AZ25" s="131">
        <f>STDEV(F25,H25,J25)</f>
        <v>32066.774102384108</v>
      </c>
      <c r="BA25" s="137">
        <f t="shared" ref="BA25" si="27">AZ25/AY25</f>
        <v>0.28828558249420827</v>
      </c>
      <c r="BB25" s="133">
        <f t="shared" ref="BB25" si="28">ROUNDUP(IF(BA25&lt;15%,AY25,AX25),0)</f>
        <v>110000</v>
      </c>
      <c r="BC25" s="134">
        <f t="shared" ref="BC25" si="29">+BB25*E25</f>
        <v>3960000</v>
      </c>
      <c r="BD25" s="135" t="s">
        <v>322</v>
      </c>
      <c r="BE25" s="206"/>
      <c r="BF25" s="106"/>
    </row>
    <row r="26" spans="1:58" s="93" customFormat="1" ht="45" x14ac:dyDescent="0.25">
      <c r="A26" s="41">
        <v>20</v>
      </c>
      <c r="B26" s="68" t="s">
        <v>757</v>
      </c>
      <c r="C26" s="66" t="s">
        <v>758</v>
      </c>
      <c r="D26" s="67" t="s">
        <v>723</v>
      </c>
      <c r="E26" s="68">
        <v>24</v>
      </c>
      <c r="F26" s="92"/>
      <c r="G26" s="92"/>
      <c r="H26" s="92"/>
      <c r="I26" s="92"/>
      <c r="J26" s="92"/>
      <c r="K26" s="92"/>
      <c r="L26" s="92"/>
      <c r="M26" s="91"/>
      <c r="N26" s="92"/>
      <c r="O26" s="97"/>
      <c r="P26" s="91"/>
      <c r="Q26" s="91"/>
      <c r="R26" s="91"/>
      <c r="S26" s="91"/>
      <c r="T26" s="91"/>
      <c r="U26" s="91"/>
      <c r="V26" s="91"/>
      <c r="W26" s="91"/>
      <c r="X26" s="91"/>
      <c r="Y26" s="91"/>
      <c r="Z26" s="91"/>
      <c r="AA26" s="91"/>
      <c r="AB26" s="91"/>
      <c r="AC26" s="91"/>
      <c r="AD26" s="91"/>
      <c r="AE26" s="91"/>
      <c r="AF26" s="91"/>
      <c r="AG26" s="91"/>
      <c r="AH26" s="91"/>
      <c r="AI26" s="91"/>
      <c r="AJ26" s="91">
        <v>53550</v>
      </c>
      <c r="AK26" s="91">
        <f t="shared" ref="AK26:AK30" si="30">+AJ26*E26</f>
        <v>1285200</v>
      </c>
      <c r="AL26" s="91"/>
      <c r="AM26" s="91"/>
      <c r="AN26" s="91">
        <v>70200</v>
      </c>
      <c r="AO26" s="91">
        <f>+AN26*E26</f>
        <v>1684800</v>
      </c>
      <c r="AP26" s="91"/>
      <c r="AQ26" s="91"/>
      <c r="AR26" s="91"/>
      <c r="AS26" s="91"/>
      <c r="AT26" s="91"/>
      <c r="AU26" s="91"/>
      <c r="AV26" s="91">
        <v>65450</v>
      </c>
      <c r="AW26" s="91">
        <f t="shared" ref="AW26:AW30" si="31">+AV26*E26</f>
        <v>1570800</v>
      </c>
      <c r="AX26" s="130">
        <f>MEDIAN(AJ26,AN26)</f>
        <v>61875</v>
      </c>
      <c r="AY26" s="130">
        <f>AVERAGE(AJ26,AN26)</f>
        <v>61875</v>
      </c>
      <c r="AZ26" s="131">
        <f>STDEV(AJ26,AN26)</f>
        <v>11773.327906756016</v>
      </c>
      <c r="BA26" s="137">
        <f t="shared" ref="BA26:BA42" si="32">AZ26/AY26</f>
        <v>0.19027600657383462</v>
      </c>
      <c r="BB26" s="133">
        <f t="shared" ref="BB26:BB42" si="33">ROUNDUP(IF(BA26&lt;15%,AY26,AX26),0)</f>
        <v>61875</v>
      </c>
      <c r="BC26" s="134">
        <f t="shared" si="8"/>
        <v>1485000</v>
      </c>
      <c r="BD26" s="135" t="s">
        <v>322</v>
      </c>
      <c r="BE26" s="206"/>
      <c r="BF26" s="106"/>
    </row>
    <row r="27" spans="1:58" s="49" customFormat="1" ht="45" x14ac:dyDescent="0.25">
      <c r="A27" s="65">
        <v>21</v>
      </c>
      <c r="B27" s="81" t="s">
        <v>759</v>
      </c>
      <c r="C27" s="197" t="s">
        <v>760</v>
      </c>
      <c r="D27" s="77" t="s">
        <v>723</v>
      </c>
      <c r="E27" s="81">
        <v>100</v>
      </c>
      <c r="F27" s="92"/>
      <c r="G27" s="92"/>
      <c r="H27" s="92"/>
      <c r="I27" s="92"/>
      <c r="J27" s="92"/>
      <c r="K27" s="92"/>
      <c r="L27" s="92"/>
      <c r="M27" s="91"/>
      <c r="N27" s="100"/>
      <c r="O27" s="97"/>
      <c r="P27" s="91"/>
      <c r="Q27" s="91"/>
      <c r="R27" s="91"/>
      <c r="S27" s="91"/>
      <c r="T27" s="91"/>
      <c r="U27" s="91"/>
      <c r="V27" s="91"/>
      <c r="W27" s="91"/>
      <c r="X27" s="91"/>
      <c r="Y27" s="91"/>
      <c r="Z27" s="91"/>
      <c r="AA27" s="91"/>
      <c r="AB27" s="91"/>
      <c r="AC27" s="91"/>
      <c r="AD27" s="91"/>
      <c r="AE27" s="91"/>
      <c r="AF27" s="91"/>
      <c r="AG27" s="91"/>
      <c r="AH27" s="91"/>
      <c r="AI27" s="91"/>
      <c r="AJ27" s="91">
        <v>218000</v>
      </c>
      <c r="AK27" s="91">
        <v>21800000</v>
      </c>
      <c r="AL27" s="91"/>
      <c r="AM27" s="91"/>
      <c r="AN27" s="91"/>
      <c r="AO27" s="91"/>
      <c r="AP27" s="91"/>
      <c r="AQ27" s="91"/>
      <c r="AR27" s="91">
        <v>143424</v>
      </c>
      <c r="AS27" s="91">
        <v>14342400</v>
      </c>
      <c r="AT27" s="91"/>
      <c r="AU27" s="91"/>
      <c r="AV27" s="91">
        <v>228480</v>
      </c>
      <c r="AW27" s="91">
        <v>22848000</v>
      </c>
      <c r="AX27" s="130">
        <v>180712</v>
      </c>
      <c r="AY27" s="130">
        <v>180712</v>
      </c>
      <c r="AZ27" s="131">
        <v>52733.195313767967</v>
      </c>
      <c r="BA27" s="137">
        <v>0.29180793369432007</v>
      </c>
      <c r="BB27" s="133">
        <v>180712</v>
      </c>
      <c r="BC27" s="134">
        <v>18071200</v>
      </c>
      <c r="BD27" s="135" t="s">
        <v>322</v>
      </c>
      <c r="BE27" s="206"/>
      <c r="BF27" s="106"/>
    </row>
    <row r="28" spans="1:58" s="49" customFormat="1" ht="30" x14ac:dyDescent="0.25">
      <c r="A28" s="65">
        <v>22</v>
      </c>
      <c r="B28" s="67" t="s">
        <v>767</v>
      </c>
      <c r="C28" s="69" t="s">
        <v>768</v>
      </c>
      <c r="D28" s="67" t="s">
        <v>723</v>
      </c>
      <c r="E28" s="68">
        <v>150</v>
      </c>
      <c r="F28" s="92"/>
      <c r="G28" s="92">
        <v>0</v>
      </c>
      <c r="H28" s="92"/>
      <c r="I28" s="92"/>
      <c r="J28" s="92"/>
      <c r="K28" s="92"/>
      <c r="L28" s="92"/>
      <c r="M28" s="91">
        <v>0</v>
      </c>
      <c r="N28" s="100">
        <v>91273</v>
      </c>
      <c r="O28" s="91">
        <v>13690950</v>
      </c>
      <c r="P28" s="91"/>
      <c r="Q28" s="91"/>
      <c r="R28" s="91"/>
      <c r="S28" s="91"/>
      <c r="T28" s="91"/>
      <c r="U28" s="91"/>
      <c r="V28" s="91">
        <v>88200</v>
      </c>
      <c r="W28" s="91">
        <v>13230000</v>
      </c>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130">
        <v>89736.5</v>
      </c>
      <c r="AY28" s="130">
        <v>89736.5</v>
      </c>
      <c r="AZ28" s="131">
        <v>2172.9391385862605</v>
      </c>
      <c r="BA28" s="137">
        <v>2.4214663359795184E-2</v>
      </c>
      <c r="BB28" s="133">
        <v>89737</v>
      </c>
      <c r="BC28" s="134">
        <v>13460550</v>
      </c>
      <c r="BD28" s="135" t="s">
        <v>319</v>
      </c>
      <c r="BE28" s="206"/>
      <c r="BF28" s="106"/>
    </row>
    <row r="29" spans="1:58" s="49" customFormat="1" ht="105" x14ac:dyDescent="0.25">
      <c r="A29" s="41">
        <v>23</v>
      </c>
      <c r="B29" s="68" t="s">
        <v>783</v>
      </c>
      <c r="C29" s="66" t="s">
        <v>784</v>
      </c>
      <c r="D29" s="67" t="s">
        <v>723</v>
      </c>
      <c r="E29" s="68">
        <v>90</v>
      </c>
      <c r="F29" s="92"/>
      <c r="G29" s="92">
        <v>0</v>
      </c>
      <c r="H29" s="92">
        <v>76500</v>
      </c>
      <c r="I29" s="92">
        <v>6885000</v>
      </c>
      <c r="J29" s="92"/>
      <c r="K29" s="92"/>
      <c r="L29" s="92"/>
      <c r="M29" s="91"/>
      <c r="N29" s="100">
        <v>92536.78</v>
      </c>
      <c r="O29" s="91">
        <v>8328310.2000000002</v>
      </c>
      <c r="P29" s="91"/>
      <c r="Q29" s="91"/>
      <c r="R29" s="91"/>
      <c r="S29" s="91"/>
      <c r="T29" s="91">
        <v>303660</v>
      </c>
      <c r="U29" s="91">
        <v>27329400</v>
      </c>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130">
        <v>84518.39</v>
      </c>
      <c r="AY29" s="130">
        <v>84518.39</v>
      </c>
      <c r="AZ29" s="131">
        <v>11339.7158863968</v>
      </c>
      <c r="BA29" s="137">
        <v>0.1341686216029056</v>
      </c>
      <c r="BB29" s="133">
        <v>84519</v>
      </c>
      <c r="BC29" s="134">
        <v>7606710</v>
      </c>
      <c r="BD29" s="135" t="s">
        <v>319</v>
      </c>
      <c r="BE29" s="206"/>
      <c r="BF29" s="106"/>
    </row>
    <row r="30" spans="1:58" s="193" customFormat="1" ht="60" x14ac:dyDescent="0.25">
      <c r="A30" s="41">
        <v>24</v>
      </c>
      <c r="B30" s="81" t="s">
        <v>761</v>
      </c>
      <c r="C30" s="76" t="s">
        <v>762</v>
      </c>
      <c r="D30" s="67" t="s">
        <v>723</v>
      </c>
      <c r="E30" s="68">
        <v>100</v>
      </c>
      <c r="F30" s="92"/>
      <c r="G30" s="92"/>
      <c r="H30" s="92"/>
      <c r="I30" s="92"/>
      <c r="J30" s="92"/>
      <c r="K30" s="92"/>
      <c r="L30" s="92"/>
      <c r="M30" s="91"/>
      <c r="N30" s="100"/>
      <c r="O30" s="97"/>
      <c r="P30" s="91"/>
      <c r="Q30" s="91"/>
      <c r="R30" s="91"/>
      <c r="S30" s="91"/>
      <c r="T30" s="91"/>
      <c r="U30" s="91"/>
      <c r="V30" s="91"/>
      <c r="W30" s="91"/>
      <c r="X30" s="91"/>
      <c r="Y30" s="91"/>
      <c r="Z30" s="91"/>
      <c r="AA30" s="91"/>
      <c r="AB30" s="91"/>
      <c r="AC30" s="91"/>
      <c r="AD30" s="91"/>
      <c r="AE30" s="91"/>
      <c r="AF30" s="91">
        <v>161892</v>
      </c>
      <c r="AG30" s="91">
        <f>+AF30*E30</f>
        <v>16189200</v>
      </c>
      <c r="AH30" s="91"/>
      <c r="AI30" s="91"/>
      <c r="AJ30" s="91">
        <v>318000</v>
      </c>
      <c r="AK30" s="91">
        <f t="shared" si="30"/>
        <v>31800000</v>
      </c>
      <c r="AL30" s="91"/>
      <c r="AM30" s="91"/>
      <c r="AN30" s="91"/>
      <c r="AO30" s="91"/>
      <c r="AP30" s="91"/>
      <c r="AQ30" s="91"/>
      <c r="AR30" s="91">
        <v>192672</v>
      </c>
      <c r="AS30" s="91">
        <f>+AR30*E30</f>
        <v>19267200</v>
      </c>
      <c r="AT30" s="91"/>
      <c r="AU30" s="91"/>
      <c r="AV30" s="91">
        <v>328000</v>
      </c>
      <c r="AW30" s="91">
        <f t="shared" si="31"/>
        <v>32800000</v>
      </c>
      <c r="AX30" s="130">
        <f>MEDIAN(AF30,AR30)</f>
        <v>177282</v>
      </c>
      <c r="AY30" s="130">
        <f>AVERAGE(AF30,AR30)</f>
        <v>177282</v>
      </c>
      <c r="AZ30" s="131">
        <f>STDEV(AF30,AR30)</f>
        <v>21764.746724921933</v>
      </c>
      <c r="BA30" s="137">
        <f t="shared" si="32"/>
        <v>0.12276907257884012</v>
      </c>
      <c r="BB30" s="133">
        <f t="shared" si="33"/>
        <v>177282</v>
      </c>
      <c r="BC30" s="134">
        <f t="shared" si="8"/>
        <v>17728200</v>
      </c>
      <c r="BD30" s="135" t="s">
        <v>351</v>
      </c>
      <c r="BE30" s="206"/>
      <c r="BF30" s="106"/>
    </row>
    <row r="31" spans="1:58" ht="53.25" customHeight="1" x14ac:dyDescent="0.25">
      <c r="A31" s="65">
        <v>25</v>
      </c>
      <c r="B31" s="77" t="s">
        <v>763</v>
      </c>
      <c r="C31" s="136" t="s">
        <v>764</v>
      </c>
      <c r="D31" s="77" t="s">
        <v>723</v>
      </c>
      <c r="E31" s="81">
        <v>150</v>
      </c>
      <c r="F31" s="92"/>
      <c r="G31" s="92"/>
      <c r="H31" s="96">
        <v>100000</v>
      </c>
      <c r="I31" s="96">
        <f t="shared" ref="I31:I35" si="34">+H31*E31</f>
        <v>15000000</v>
      </c>
      <c r="J31" s="96">
        <v>84800</v>
      </c>
      <c r="K31" s="96">
        <f t="shared" ref="K31" si="35">+J31*E31</f>
        <v>12720000</v>
      </c>
      <c r="L31" s="96"/>
      <c r="M31" s="97"/>
      <c r="N31" s="98">
        <v>161483</v>
      </c>
      <c r="O31" s="97">
        <f t="shared" ref="O31:O40" si="36">+N31*E31</f>
        <v>24222450</v>
      </c>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1"/>
      <c r="AW31" s="91"/>
      <c r="AX31" s="130">
        <f>MEDIAN(H31,J31)</f>
        <v>92400</v>
      </c>
      <c r="AY31" s="130">
        <f>AVERAGE(H31,J31)</f>
        <v>92400</v>
      </c>
      <c r="AZ31" s="131">
        <f>STDEV(H31,J31)</f>
        <v>10748.023074035522</v>
      </c>
      <c r="BA31" s="137">
        <f t="shared" si="32"/>
        <v>0.11632059603934547</v>
      </c>
      <c r="BB31" s="133">
        <f t="shared" si="33"/>
        <v>92400</v>
      </c>
      <c r="BC31" s="134">
        <f t="shared" si="8"/>
        <v>13860000</v>
      </c>
      <c r="BD31" s="135" t="s">
        <v>319</v>
      </c>
      <c r="BF31" s="106"/>
    </row>
    <row r="32" spans="1:58" s="49" customFormat="1" ht="60" x14ac:dyDescent="0.25">
      <c r="A32" s="65">
        <v>26</v>
      </c>
      <c r="B32" s="67" t="s">
        <v>765</v>
      </c>
      <c r="C32" s="69" t="s">
        <v>766</v>
      </c>
      <c r="D32" s="67" t="s">
        <v>723</v>
      </c>
      <c r="E32" s="68">
        <v>209</v>
      </c>
      <c r="F32" s="92"/>
      <c r="G32" s="92"/>
      <c r="H32" s="92">
        <v>310000</v>
      </c>
      <c r="I32" s="92">
        <f t="shared" si="34"/>
        <v>64790000</v>
      </c>
      <c r="J32" s="92"/>
      <c r="K32" s="92"/>
      <c r="L32" s="92"/>
      <c r="M32" s="91"/>
      <c r="N32" s="100">
        <v>379134</v>
      </c>
      <c r="O32" s="91">
        <f t="shared" si="36"/>
        <v>79239006</v>
      </c>
      <c r="P32" s="91"/>
      <c r="Q32" s="91"/>
      <c r="R32" s="91"/>
      <c r="S32" s="91"/>
      <c r="T32" s="91"/>
      <c r="U32" s="91"/>
      <c r="V32" s="91"/>
      <c r="W32" s="91"/>
      <c r="X32" s="91"/>
      <c r="Y32" s="91"/>
      <c r="Z32" s="91"/>
      <c r="AA32" s="91"/>
      <c r="AB32" s="91"/>
      <c r="AC32" s="91"/>
      <c r="AD32" s="91"/>
      <c r="AE32" s="91"/>
      <c r="AF32" s="91">
        <v>442692</v>
      </c>
      <c r="AG32" s="91">
        <f>+AF32*E32</f>
        <v>92522628</v>
      </c>
      <c r="AH32" s="91"/>
      <c r="AI32" s="91"/>
      <c r="AJ32" s="91"/>
      <c r="AK32" s="91"/>
      <c r="AL32" s="91"/>
      <c r="AM32" s="91"/>
      <c r="AN32" s="91"/>
      <c r="AO32" s="91"/>
      <c r="AP32" s="91"/>
      <c r="AQ32" s="91"/>
      <c r="AR32" s="91"/>
      <c r="AS32" s="91"/>
      <c r="AT32" s="91"/>
      <c r="AU32" s="91"/>
      <c r="AV32" s="91"/>
      <c r="AW32" s="91"/>
      <c r="AX32" s="130">
        <f>MEDIAN(N32,AF32)</f>
        <v>410913</v>
      </c>
      <c r="AY32" s="130">
        <f>AVERAGE(N32,AF32)</f>
        <v>410913</v>
      </c>
      <c r="AZ32" s="131">
        <f>STDEV(N32,AF32)</f>
        <v>44942.292798654591</v>
      </c>
      <c r="BA32" s="137">
        <f t="shared" si="32"/>
        <v>0.10937179597300302</v>
      </c>
      <c r="BB32" s="133">
        <f t="shared" si="33"/>
        <v>410913</v>
      </c>
      <c r="BC32" s="134">
        <f t="shared" si="8"/>
        <v>85880817</v>
      </c>
      <c r="BD32" s="135" t="s">
        <v>319</v>
      </c>
      <c r="BE32" s="206"/>
      <c r="BF32" s="106"/>
    </row>
    <row r="33" spans="1:58" s="49" customFormat="1" ht="30" x14ac:dyDescent="0.25">
      <c r="A33" s="65">
        <v>27</v>
      </c>
      <c r="B33" s="67" t="s">
        <v>769</v>
      </c>
      <c r="C33" s="69" t="s">
        <v>770</v>
      </c>
      <c r="D33" s="67" t="s">
        <v>723</v>
      </c>
      <c r="E33" s="68">
        <v>60</v>
      </c>
      <c r="F33" s="92">
        <v>110762</v>
      </c>
      <c r="G33" s="92">
        <f t="shared" ref="G33:G35" si="37">+F33*E33</f>
        <v>6645720</v>
      </c>
      <c r="H33" s="92">
        <v>24000</v>
      </c>
      <c r="I33" s="92">
        <f t="shared" si="34"/>
        <v>1440000</v>
      </c>
      <c r="J33" s="92"/>
      <c r="K33" s="92"/>
      <c r="L33" s="92">
        <v>23000</v>
      </c>
      <c r="M33" s="91">
        <f t="shared" ref="M33" si="38">+L33*E33</f>
        <v>1380000</v>
      </c>
      <c r="N33" s="100">
        <v>31734.92</v>
      </c>
      <c r="O33" s="91">
        <f t="shared" si="36"/>
        <v>1904095.2</v>
      </c>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130">
        <f>MEDIAN(H33,L33)</f>
        <v>23500</v>
      </c>
      <c r="AY33" s="130">
        <f>AVERAGE(H33,L33)</f>
        <v>23500</v>
      </c>
      <c r="AZ33" s="131">
        <f>STDEV(H33,L33)</f>
        <v>707.10678118654755</v>
      </c>
      <c r="BA33" s="137">
        <f t="shared" si="32"/>
        <v>3.0089650263257342E-2</v>
      </c>
      <c r="BB33" s="133">
        <f t="shared" si="33"/>
        <v>23500</v>
      </c>
      <c r="BC33" s="134">
        <f t="shared" si="8"/>
        <v>1410000</v>
      </c>
      <c r="BD33" s="135" t="s">
        <v>319</v>
      </c>
      <c r="BE33" s="206"/>
      <c r="BF33" s="106"/>
    </row>
    <row r="34" spans="1:58" s="49" customFormat="1" ht="30" x14ac:dyDescent="0.25">
      <c r="A34" s="65">
        <v>28</v>
      </c>
      <c r="B34" s="67" t="s">
        <v>771</v>
      </c>
      <c r="C34" s="69" t="s">
        <v>772</v>
      </c>
      <c r="D34" s="67" t="s">
        <v>723</v>
      </c>
      <c r="E34" s="68">
        <v>240</v>
      </c>
      <c r="F34" s="92"/>
      <c r="G34" s="92">
        <f t="shared" si="37"/>
        <v>0</v>
      </c>
      <c r="H34" s="92">
        <v>50000</v>
      </c>
      <c r="I34" s="92">
        <f t="shared" si="34"/>
        <v>12000000</v>
      </c>
      <c r="J34" s="92"/>
      <c r="K34" s="92"/>
      <c r="L34" s="92"/>
      <c r="M34" s="91"/>
      <c r="N34" s="100">
        <v>80881.919999999998</v>
      </c>
      <c r="O34" s="91">
        <f t="shared" si="36"/>
        <v>19411660.800000001</v>
      </c>
      <c r="P34" s="91"/>
      <c r="Q34" s="91"/>
      <c r="R34" s="91"/>
      <c r="S34" s="91"/>
      <c r="T34" s="91"/>
      <c r="U34" s="91"/>
      <c r="V34" s="91">
        <v>113400</v>
      </c>
      <c r="W34" s="91">
        <f>+V34*E34</f>
        <v>27216000</v>
      </c>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130">
        <f>MEDIAN(N34,V34)</f>
        <v>97140.959999999992</v>
      </c>
      <c r="AY34" s="130">
        <f>AVERAGE(N34,V34)</f>
        <v>97140.959999999992</v>
      </c>
      <c r="AZ34" s="131">
        <f>STDEV(N34,V34)</f>
        <v>22993.75487916671</v>
      </c>
      <c r="BA34" s="137">
        <f t="shared" si="32"/>
        <v>0.23670504058397931</v>
      </c>
      <c r="BB34" s="133">
        <f t="shared" si="33"/>
        <v>97141</v>
      </c>
      <c r="BC34" s="134">
        <f t="shared" si="8"/>
        <v>23313840</v>
      </c>
      <c r="BD34" s="135" t="s">
        <v>322</v>
      </c>
      <c r="BE34" s="206"/>
      <c r="BF34" s="106"/>
    </row>
    <row r="35" spans="1:58" s="49" customFormat="1" ht="71.25" customHeight="1" x14ac:dyDescent="0.25">
      <c r="A35" s="41">
        <v>29</v>
      </c>
      <c r="B35" s="67" t="s">
        <v>773</v>
      </c>
      <c r="C35" s="69" t="s">
        <v>774</v>
      </c>
      <c r="D35" s="67" t="s">
        <v>723</v>
      </c>
      <c r="E35" s="68">
        <v>60</v>
      </c>
      <c r="F35" s="92">
        <v>457692</v>
      </c>
      <c r="G35" s="92">
        <f t="shared" si="37"/>
        <v>27461520</v>
      </c>
      <c r="H35" s="92"/>
      <c r="I35" s="92">
        <f t="shared" si="34"/>
        <v>0</v>
      </c>
      <c r="J35" s="92"/>
      <c r="K35" s="92"/>
      <c r="L35" s="92"/>
      <c r="M35" s="91"/>
      <c r="N35" s="100">
        <v>293477.8</v>
      </c>
      <c r="O35" s="97">
        <f t="shared" si="36"/>
        <v>17608668</v>
      </c>
      <c r="P35" s="91"/>
      <c r="Q35" s="91"/>
      <c r="R35" s="91"/>
      <c r="S35" s="91"/>
      <c r="T35" s="91"/>
      <c r="U35" s="91"/>
      <c r="V35" s="91"/>
      <c r="W35" s="91"/>
      <c r="X35" s="91"/>
      <c r="Y35" s="91"/>
      <c r="Z35" s="91">
        <v>220000</v>
      </c>
      <c r="AA35" s="91">
        <f>+Z35*E35</f>
        <v>13200000</v>
      </c>
      <c r="AB35" s="91">
        <v>298500</v>
      </c>
      <c r="AC35" s="91">
        <f>+AB35*E35</f>
        <v>17910000</v>
      </c>
      <c r="AD35" s="91"/>
      <c r="AE35" s="91"/>
      <c r="AF35" s="91"/>
      <c r="AG35" s="91"/>
      <c r="AH35" s="91"/>
      <c r="AI35" s="91"/>
      <c r="AJ35" s="91"/>
      <c r="AK35" s="91"/>
      <c r="AL35" s="91"/>
      <c r="AM35" s="91"/>
      <c r="AN35" s="91"/>
      <c r="AO35" s="91"/>
      <c r="AP35" s="91"/>
      <c r="AQ35" s="91"/>
      <c r="AR35" s="91"/>
      <c r="AS35" s="91"/>
      <c r="AT35" s="91"/>
      <c r="AU35" s="91"/>
      <c r="AV35" s="91"/>
      <c r="AW35" s="91"/>
      <c r="AX35" s="130">
        <f>MEDIAN(N35,Z35)</f>
        <v>256738.9</v>
      </c>
      <c r="AY35" s="130">
        <f>AVERAGE(N35,Z35)</f>
        <v>256738.9</v>
      </c>
      <c r="AZ35" s="131">
        <f>STDEV(N35,Z35)</f>
        <v>51956.650646668881</v>
      </c>
      <c r="BA35" s="137">
        <f t="shared" si="32"/>
        <v>0.20237155587512792</v>
      </c>
      <c r="BB35" s="133">
        <f t="shared" si="33"/>
        <v>256739</v>
      </c>
      <c r="BC35" s="134">
        <f t="shared" si="8"/>
        <v>15404340</v>
      </c>
      <c r="BD35" s="135" t="s">
        <v>322</v>
      </c>
      <c r="BE35" s="206"/>
      <c r="BF35" s="106"/>
    </row>
    <row r="36" spans="1:58" s="49" customFormat="1" ht="129.75" customHeight="1" x14ac:dyDescent="0.25">
      <c r="A36" s="41">
        <v>30</v>
      </c>
      <c r="B36" s="67" t="s">
        <v>744</v>
      </c>
      <c r="C36" s="69" t="s">
        <v>745</v>
      </c>
      <c r="D36" s="67" t="s">
        <v>723</v>
      </c>
      <c r="E36" s="68">
        <v>60</v>
      </c>
      <c r="F36" s="92">
        <v>659059</v>
      </c>
      <c r="G36" s="92">
        <v>39543540</v>
      </c>
      <c r="H36" s="92"/>
      <c r="I36" s="92"/>
      <c r="J36" s="92">
        <v>25000</v>
      </c>
      <c r="K36" s="92">
        <v>1500000</v>
      </c>
      <c r="L36" s="92"/>
      <c r="M36" s="91"/>
      <c r="N36" s="100">
        <v>56027.579999999994</v>
      </c>
      <c r="O36" s="91">
        <v>3361654.8</v>
      </c>
      <c r="P36" s="91"/>
      <c r="Q36" s="91"/>
      <c r="R36" s="91"/>
      <c r="S36" s="91"/>
      <c r="T36" s="91"/>
      <c r="U36" s="91"/>
      <c r="V36" s="91">
        <v>64800</v>
      </c>
      <c r="W36" s="91">
        <v>3888000</v>
      </c>
      <c r="X36" s="91"/>
      <c r="Y36" s="91"/>
      <c r="Z36" s="91"/>
      <c r="AA36" s="91"/>
      <c r="AB36" s="91"/>
      <c r="AC36" s="91"/>
      <c r="AD36" s="91"/>
      <c r="AE36" s="91"/>
      <c r="AF36" s="91">
        <v>264600</v>
      </c>
      <c r="AG36" s="91">
        <v>15876000</v>
      </c>
      <c r="AH36" s="91"/>
      <c r="AI36" s="91"/>
      <c r="AJ36" s="91"/>
      <c r="AK36" s="91"/>
      <c r="AL36" s="91"/>
      <c r="AM36" s="91"/>
      <c r="AN36" s="91"/>
      <c r="AO36" s="91"/>
      <c r="AP36" s="91"/>
      <c r="AQ36" s="91"/>
      <c r="AR36" s="91"/>
      <c r="AS36" s="91"/>
      <c r="AT36" s="91"/>
      <c r="AU36" s="91"/>
      <c r="AV36" s="91"/>
      <c r="AW36" s="91"/>
      <c r="AX36" s="130">
        <v>60413.789999999994</v>
      </c>
      <c r="AY36" s="130">
        <v>60413.789999999994</v>
      </c>
      <c r="AZ36" s="131">
        <v>6203.037669416497</v>
      </c>
      <c r="BA36" s="137">
        <v>0.1026758571083936</v>
      </c>
      <c r="BB36" s="133">
        <v>60414</v>
      </c>
      <c r="BC36" s="134">
        <v>3624840</v>
      </c>
      <c r="BD36" s="135" t="s">
        <v>319</v>
      </c>
      <c r="BE36" s="206"/>
      <c r="BF36" s="106"/>
    </row>
    <row r="37" spans="1:58" s="49" customFormat="1" ht="129.75" customHeight="1" x14ac:dyDescent="0.25">
      <c r="A37" s="65">
        <v>31</v>
      </c>
      <c r="B37" s="67" t="s">
        <v>775</v>
      </c>
      <c r="C37" s="69" t="s">
        <v>776</v>
      </c>
      <c r="D37" s="67" t="s">
        <v>723</v>
      </c>
      <c r="E37" s="68">
        <v>20</v>
      </c>
      <c r="F37" s="92"/>
      <c r="G37" s="92"/>
      <c r="H37" s="92">
        <v>53000</v>
      </c>
      <c r="I37" s="92">
        <v>1060000</v>
      </c>
      <c r="J37" s="92"/>
      <c r="K37" s="92"/>
      <c r="L37" s="92"/>
      <c r="M37" s="91"/>
      <c r="N37" s="100">
        <v>36509.199999999997</v>
      </c>
      <c r="O37" s="91">
        <v>730184</v>
      </c>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130">
        <v>44754.6</v>
      </c>
      <c r="AY37" s="130">
        <v>44754.6</v>
      </c>
      <c r="AZ37" s="131">
        <v>11660.756507191125</v>
      </c>
      <c r="BA37" s="137">
        <v>0.26054878173843865</v>
      </c>
      <c r="BB37" s="133">
        <v>44755</v>
      </c>
      <c r="BC37" s="134">
        <v>895100</v>
      </c>
      <c r="BD37" s="135" t="s">
        <v>322</v>
      </c>
      <c r="BE37" s="206"/>
      <c r="BF37" s="106"/>
    </row>
    <row r="38" spans="1:58" s="49" customFormat="1" ht="45" x14ac:dyDescent="0.25">
      <c r="A38" s="65">
        <v>32</v>
      </c>
      <c r="B38" s="41" t="s">
        <v>808</v>
      </c>
      <c r="C38" s="69" t="s">
        <v>777</v>
      </c>
      <c r="D38" s="67" t="s">
        <v>723</v>
      </c>
      <c r="E38" s="68">
        <v>10</v>
      </c>
      <c r="F38" s="92"/>
      <c r="G38" s="92"/>
      <c r="H38" s="92"/>
      <c r="I38" s="92"/>
      <c r="J38" s="92">
        <v>25500</v>
      </c>
      <c r="K38" s="92">
        <f t="shared" ref="K38" si="39">+J38*E38</f>
        <v>255000</v>
      </c>
      <c r="L38" s="92"/>
      <c r="M38" s="91"/>
      <c r="N38" s="100">
        <v>65129.604399999989</v>
      </c>
      <c r="O38" s="97">
        <f t="shared" si="36"/>
        <v>651296.04399999988</v>
      </c>
      <c r="P38" s="91"/>
      <c r="Q38" s="91"/>
      <c r="R38" s="91"/>
      <c r="S38" s="91"/>
      <c r="T38" s="91"/>
      <c r="U38" s="91"/>
      <c r="V38" s="91"/>
      <c r="W38" s="91"/>
      <c r="X38" s="91"/>
      <c r="Y38" s="91"/>
      <c r="Z38" s="91"/>
      <c r="AA38" s="91"/>
      <c r="AB38" s="91">
        <v>39900</v>
      </c>
      <c r="AC38" s="91">
        <f>+AB38*E38</f>
        <v>399000</v>
      </c>
      <c r="AD38" s="91">
        <v>330000</v>
      </c>
      <c r="AE38" s="91">
        <f>+AD38*E38</f>
        <v>3300000</v>
      </c>
      <c r="AF38" s="91"/>
      <c r="AG38" s="91"/>
      <c r="AH38" s="91">
        <v>230000</v>
      </c>
      <c r="AI38" s="91">
        <f>+AH38*E38</f>
        <v>2300000</v>
      </c>
      <c r="AJ38" s="91"/>
      <c r="AK38" s="91"/>
      <c r="AL38" s="91"/>
      <c r="AM38" s="91"/>
      <c r="AN38" s="91"/>
      <c r="AO38" s="91"/>
      <c r="AP38" s="91"/>
      <c r="AQ38" s="91"/>
      <c r="AR38" s="91"/>
      <c r="AS38" s="91"/>
      <c r="AT38" s="91"/>
      <c r="AU38" s="91"/>
      <c r="AV38" s="91"/>
      <c r="AW38" s="91"/>
      <c r="AX38" s="130">
        <f>MEDIAN(AD38,AH38)</f>
        <v>280000</v>
      </c>
      <c r="AY38" s="130">
        <f>AVERAGE(AD38,AH38)</f>
        <v>280000</v>
      </c>
      <c r="AZ38" s="131">
        <f>STDEV(AD38,AH38)</f>
        <v>70710.67811865476</v>
      </c>
      <c r="BA38" s="137">
        <f t="shared" si="32"/>
        <v>0.2525381361380527</v>
      </c>
      <c r="BB38" s="133">
        <f t="shared" si="33"/>
        <v>280000</v>
      </c>
      <c r="BC38" s="134">
        <f t="shared" si="8"/>
        <v>2800000</v>
      </c>
      <c r="BD38" s="135" t="s">
        <v>322</v>
      </c>
      <c r="BE38" s="206"/>
      <c r="BF38" s="106"/>
    </row>
    <row r="39" spans="1:58" s="49" customFormat="1" ht="77.25" customHeight="1" x14ac:dyDescent="0.25">
      <c r="A39" s="41">
        <v>33</v>
      </c>
      <c r="B39" s="67" t="s">
        <v>778</v>
      </c>
      <c r="C39" s="69" t="s">
        <v>779</v>
      </c>
      <c r="D39" s="67" t="s">
        <v>723</v>
      </c>
      <c r="E39" s="68">
        <v>5</v>
      </c>
      <c r="F39" s="92"/>
      <c r="G39" s="92"/>
      <c r="H39" s="92"/>
      <c r="I39" s="92"/>
      <c r="J39" s="92"/>
      <c r="K39" s="92"/>
      <c r="L39" s="92"/>
      <c r="M39" s="91"/>
      <c r="N39" s="100">
        <v>56027.579999999994</v>
      </c>
      <c r="O39" s="91">
        <f t="shared" si="36"/>
        <v>280137.89999999997</v>
      </c>
      <c r="P39" s="91"/>
      <c r="Q39" s="91"/>
      <c r="R39" s="91"/>
      <c r="S39" s="91"/>
      <c r="T39" s="91"/>
      <c r="U39" s="91"/>
      <c r="V39" s="91">
        <v>94500</v>
      </c>
      <c r="W39" s="91">
        <f>+V39*E39</f>
        <v>472500</v>
      </c>
      <c r="X39" s="91"/>
      <c r="Y39" s="91"/>
      <c r="Z39" s="91"/>
      <c r="AA39" s="91"/>
      <c r="AB39" s="91">
        <v>352000</v>
      </c>
      <c r="AC39" s="91">
        <f t="shared" ref="AC39" si="40">+AB39*E39</f>
        <v>1760000</v>
      </c>
      <c r="AD39" s="91">
        <v>400000</v>
      </c>
      <c r="AE39" s="91">
        <f t="shared" ref="AE39:AE40" si="41">+AD39*E39</f>
        <v>2000000</v>
      </c>
      <c r="AF39" s="91"/>
      <c r="AG39" s="91"/>
      <c r="AH39" s="91">
        <v>250000</v>
      </c>
      <c r="AI39" s="91">
        <f>+AH39*E39</f>
        <v>1250000</v>
      </c>
      <c r="AJ39" s="91"/>
      <c r="AK39" s="91"/>
      <c r="AL39" s="91"/>
      <c r="AM39" s="91"/>
      <c r="AN39" s="91"/>
      <c r="AO39" s="91"/>
      <c r="AP39" s="91"/>
      <c r="AQ39" s="91"/>
      <c r="AR39" s="91"/>
      <c r="AS39" s="91"/>
      <c r="AT39" s="91"/>
      <c r="AU39" s="91"/>
      <c r="AV39" s="91"/>
      <c r="AW39" s="91"/>
      <c r="AX39" s="130">
        <f>MEDIAN(AB39,AD39)</f>
        <v>376000</v>
      </c>
      <c r="AY39" s="130">
        <f>AVERAGE(AB39,AD39)</f>
        <v>376000</v>
      </c>
      <c r="AZ39" s="131">
        <f>STDEV(AB39,AD39)</f>
        <v>33941.125496954279</v>
      </c>
      <c r="BA39" s="137">
        <f t="shared" si="32"/>
        <v>9.0268950789772012E-2</v>
      </c>
      <c r="BB39" s="133">
        <f t="shared" si="33"/>
        <v>376000</v>
      </c>
      <c r="BC39" s="134">
        <f t="shared" si="8"/>
        <v>1880000</v>
      </c>
      <c r="BD39" s="135" t="s">
        <v>319</v>
      </c>
      <c r="BE39" s="206"/>
      <c r="BF39" s="106"/>
    </row>
    <row r="40" spans="1:58" s="49" customFormat="1" ht="57" customHeight="1" x14ac:dyDescent="0.25">
      <c r="A40" s="41">
        <v>34</v>
      </c>
      <c r="B40" s="68" t="s">
        <v>780</v>
      </c>
      <c r="C40" s="69" t="s">
        <v>781</v>
      </c>
      <c r="D40" s="67" t="s">
        <v>723</v>
      </c>
      <c r="E40" s="68">
        <v>30</v>
      </c>
      <c r="F40" s="92"/>
      <c r="G40" s="92"/>
      <c r="H40" s="92"/>
      <c r="I40" s="92"/>
      <c r="J40" s="92">
        <v>74500</v>
      </c>
      <c r="K40" s="92">
        <f t="shared" ref="K40:K41" si="42">+J40*E40</f>
        <v>2235000</v>
      </c>
      <c r="L40" s="92">
        <v>37500</v>
      </c>
      <c r="M40" s="91">
        <f t="shared" ref="M40" si="43">+L40*E40</f>
        <v>1125000</v>
      </c>
      <c r="N40" s="100">
        <v>18491.909799999998</v>
      </c>
      <c r="O40" s="91">
        <f t="shared" si="36"/>
        <v>554757.29399999988</v>
      </c>
      <c r="P40" s="91"/>
      <c r="Q40" s="91"/>
      <c r="R40" s="91"/>
      <c r="S40" s="91"/>
      <c r="T40" s="91"/>
      <c r="U40" s="91"/>
      <c r="V40" s="91"/>
      <c r="W40" s="91"/>
      <c r="X40" s="91"/>
      <c r="Y40" s="91"/>
      <c r="Z40" s="91"/>
      <c r="AA40" s="91"/>
      <c r="AB40" s="91">
        <v>69000</v>
      </c>
      <c r="AC40" s="91">
        <f>+AB40*E40</f>
        <v>2070000</v>
      </c>
      <c r="AD40" s="91">
        <v>100000</v>
      </c>
      <c r="AE40" s="91">
        <f t="shared" si="41"/>
        <v>3000000</v>
      </c>
      <c r="AF40" s="91"/>
      <c r="AG40" s="91"/>
      <c r="AH40" s="91"/>
      <c r="AI40" s="91"/>
      <c r="AJ40" s="91"/>
      <c r="AK40" s="91"/>
      <c r="AL40" s="91"/>
      <c r="AM40" s="91"/>
      <c r="AN40" s="91"/>
      <c r="AO40" s="91"/>
      <c r="AP40" s="91"/>
      <c r="AQ40" s="91"/>
      <c r="AR40" s="91"/>
      <c r="AS40" s="91"/>
      <c r="AT40" s="91"/>
      <c r="AU40" s="91"/>
      <c r="AV40" s="91"/>
      <c r="AW40" s="91"/>
      <c r="AX40" s="130">
        <f>MEDIAN(J40,AB40,AD40)</f>
        <v>74500</v>
      </c>
      <c r="AY40" s="130">
        <f>AVERAGE(J40,AB40,AD40)</f>
        <v>81166.666666666672</v>
      </c>
      <c r="AZ40" s="131">
        <f>STDEV(J40,AB40,AD40)</f>
        <v>16540.354691884149</v>
      </c>
      <c r="BA40" s="137">
        <f t="shared" si="32"/>
        <v>0.20378260400678622</v>
      </c>
      <c r="BB40" s="133">
        <f t="shared" si="33"/>
        <v>74500</v>
      </c>
      <c r="BC40" s="134">
        <f t="shared" si="8"/>
        <v>2235000</v>
      </c>
      <c r="BD40" s="135" t="s">
        <v>322</v>
      </c>
      <c r="BE40" s="206"/>
      <c r="BF40" s="106"/>
    </row>
    <row r="41" spans="1:58" s="49" customFormat="1" ht="45" x14ac:dyDescent="0.25">
      <c r="A41" s="65">
        <v>35</v>
      </c>
      <c r="B41" s="67" t="s">
        <v>746</v>
      </c>
      <c r="C41" s="69" t="s">
        <v>747</v>
      </c>
      <c r="D41" s="67" t="s">
        <v>723</v>
      </c>
      <c r="E41" s="68">
        <v>60</v>
      </c>
      <c r="F41" s="92"/>
      <c r="G41" s="92"/>
      <c r="H41" s="92"/>
      <c r="I41" s="92"/>
      <c r="J41" s="92"/>
      <c r="K41" s="92">
        <f t="shared" si="42"/>
        <v>0</v>
      </c>
      <c r="L41" s="92"/>
      <c r="M41" s="91"/>
      <c r="N41" s="100"/>
      <c r="O41" s="97"/>
      <c r="P41" s="91">
        <v>207900</v>
      </c>
      <c r="Q41" s="91">
        <f>+P41*E41</f>
        <v>12474000</v>
      </c>
      <c r="R41" s="91">
        <v>59976</v>
      </c>
      <c r="S41" s="91">
        <f>+R41*E41</f>
        <v>3598560</v>
      </c>
      <c r="T41" s="91"/>
      <c r="U41" s="91"/>
      <c r="V41" s="91"/>
      <c r="W41" s="91"/>
      <c r="X41" s="91"/>
      <c r="Y41" s="91"/>
      <c r="Z41" s="91"/>
      <c r="AA41" s="91"/>
      <c r="AB41" s="91">
        <v>99000</v>
      </c>
      <c r="AC41" s="91">
        <f>+AB41*E41</f>
        <v>5940000</v>
      </c>
      <c r="AD41" s="91">
        <v>150000</v>
      </c>
      <c r="AE41" s="91">
        <f>+AD41*E41</f>
        <v>9000000</v>
      </c>
      <c r="AF41" s="91"/>
      <c r="AG41" s="97"/>
      <c r="AH41" s="91"/>
      <c r="AI41" s="91"/>
      <c r="AJ41" s="91"/>
      <c r="AK41" s="91"/>
      <c r="AL41" s="91"/>
      <c r="AM41" s="91"/>
      <c r="AN41" s="91"/>
      <c r="AO41" s="91"/>
      <c r="AP41" s="91"/>
      <c r="AQ41" s="91"/>
      <c r="AR41" s="91"/>
      <c r="AS41" s="91"/>
      <c r="AT41" s="91"/>
      <c r="AU41" s="91"/>
      <c r="AV41" s="91"/>
      <c r="AW41" s="91"/>
      <c r="AX41" s="130">
        <f>MEDIAN(P41,AD41)</f>
        <v>178950</v>
      </c>
      <c r="AY41" s="130">
        <f>AVERAGE(P41,AD41)</f>
        <v>178950</v>
      </c>
      <c r="AZ41" s="131">
        <f>STDEV(P41,AD41)</f>
        <v>40941.482630701103</v>
      </c>
      <c r="BA41" s="137">
        <f t="shared" si="32"/>
        <v>0.22878727371165747</v>
      </c>
      <c r="BB41" s="133">
        <f t="shared" si="33"/>
        <v>178950</v>
      </c>
      <c r="BC41" s="134">
        <f t="shared" si="8"/>
        <v>10737000</v>
      </c>
      <c r="BD41" s="135" t="s">
        <v>322</v>
      </c>
      <c r="BE41" s="206"/>
      <c r="BF41" s="106"/>
    </row>
    <row r="42" spans="1:58" s="49" customFormat="1" ht="150" x14ac:dyDescent="0.25">
      <c r="A42" s="65">
        <v>36</v>
      </c>
      <c r="B42" s="68" t="s">
        <v>785</v>
      </c>
      <c r="C42" s="66" t="s">
        <v>786</v>
      </c>
      <c r="D42" s="67" t="s">
        <v>723</v>
      </c>
      <c r="E42" s="68">
        <v>90</v>
      </c>
      <c r="F42" s="92"/>
      <c r="G42" s="92">
        <f t="shared" ref="G42" si="44">+F42*E42</f>
        <v>0</v>
      </c>
      <c r="H42" s="92">
        <v>119000</v>
      </c>
      <c r="I42" s="92">
        <f t="shared" ref="I42" si="45">+H42*E42</f>
        <v>10710000</v>
      </c>
      <c r="J42" s="92"/>
      <c r="K42" s="92"/>
      <c r="L42" s="92"/>
      <c r="M42" s="92"/>
      <c r="N42" s="100">
        <v>139015.79999999999</v>
      </c>
      <c r="O42" s="96">
        <f t="shared" ref="O42" si="46">+N42*E42</f>
        <v>12511421.999999998</v>
      </c>
      <c r="P42" s="92"/>
      <c r="Q42" s="92"/>
      <c r="R42" s="92"/>
      <c r="S42" s="92"/>
      <c r="T42" s="92"/>
      <c r="U42" s="92"/>
      <c r="V42" s="92">
        <v>390600</v>
      </c>
      <c r="W42" s="92">
        <f>+V42*E42</f>
        <v>35154000</v>
      </c>
      <c r="X42" s="92">
        <v>315000</v>
      </c>
      <c r="Y42" s="92">
        <f>+X42*E42</f>
        <v>28350000</v>
      </c>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130">
        <f>MEDIAN(H42,N42)</f>
        <v>129007.9</v>
      </c>
      <c r="AY42" s="130">
        <f>AVERAGE(H42,N42)</f>
        <v>129007.9</v>
      </c>
      <c r="AZ42" s="131">
        <f>STDEV(H42,N42)</f>
        <v>14153.307910873689</v>
      </c>
      <c r="BA42" s="137">
        <f t="shared" si="32"/>
        <v>0.10970884659678741</v>
      </c>
      <c r="BB42" s="133">
        <f t="shared" si="33"/>
        <v>129008</v>
      </c>
      <c r="BC42" s="134">
        <f t="shared" si="8"/>
        <v>11610720</v>
      </c>
      <c r="BD42" s="135" t="s">
        <v>319</v>
      </c>
      <c r="BE42" s="206"/>
      <c r="BF42" s="106"/>
    </row>
    <row r="43" spans="1:58" s="49" customFormat="1" ht="30" x14ac:dyDescent="0.25">
      <c r="A43" s="65">
        <v>37</v>
      </c>
      <c r="B43" s="67" t="s">
        <v>742</v>
      </c>
      <c r="C43" s="69" t="s">
        <v>743</v>
      </c>
      <c r="D43" s="67" t="s">
        <v>723</v>
      </c>
      <c r="E43" s="68">
        <v>115</v>
      </c>
      <c r="F43" s="92">
        <v>25448</v>
      </c>
      <c r="G43" s="92">
        <f t="shared" ref="G43" si="47">+F43*E43</f>
        <v>2926520</v>
      </c>
      <c r="H43" s="92"/>
      <c r="I43" s="92">
        <f t="shared" ref="I43" si="48">+H43*E43</f>
        <v>0</v>
      </c>
      <c r="J43" s="92">
        <v>6600</v>
      </c>
      <c r="K43" s="92">
        <f t="shared" ref="K43" si="49">+J43*E43</f>
        <v>759000</v>
      </c>
      <c r="L43" s="92"/>
      <c r="M43" s="91"/>
      <c r="N43" s="100">
        <v>4914.7</v>
      </c>
      <c r="O43" s="91">
        <f t="shared" ref="O43" si="50">+N43*E43</f>
        <v>565190.5</v>
      </c>
      <c r="P43" s="91"/>
      <c r="Q43" s="91"/>
      <c r="R43" s="91"/>
      <c r="S43" s="91"/>
      <c r="T43" s="91"/>
      <c r="U43" s="91"/>
      <c r="V43" s="91"/>
      <c r="W43" s="91"/>
      <c r="X43" s="91"/>
      <c r="Y43" s="91"/>
      <c r="Z43" s="91"/>
      <c r="AA43" s="91"/>
      <c r="AB43" s="91"/>
      <c r="AC43" s="91"/>
      <c r="AD43" s="91"/>
      <c r="AE43" s="91"/>
      <c r="AF43" s="91"/>
      <c r="AG43" s="91"/>
      <c r="AH43" s="91"/>
      <c r="AI43" s="91"/>
      <c r="AJ43" s="91">
        <v>2499</v>
      </c>
      <c r="AK43" s="91"/>
      <c r="AL43" s="91"/>
      <c r="AM43" s="91"/>
      <c r="AN43" s="91"/>
      <c r="AO43" s="91"/>
      <c r="AP43" s="91"/>
      <c r="AQ43" s="91"/>
      <c r="AR43" s="91"/>
      <c r="AS43" s="91"/>
      <c r="AT43" s="91"/>
      <c r="AU43" s="91"/>
      <c r="AV43" s="91">
        <v>4165</v>
      </c>
      <c r="AW43" s="91">
        <f>+AV43*E43</f>
        <v>478975</v>
      </c>
      <c r="AX43" s="130">
        <f>MEDIAN(J43,N43)</f>
        <v>5757.35</v>
      </c>
      <c r="AY43" s="130">
        <f>AVERAGE(J43,N43)</f>
        <v>5757.35</v>
      </c>
      <c r="AZ43" s="131">
        <f>STDEV(J43,N43)</f>
        <v>1191.6870583336861</v>
      </c>
      <c r="BA43" s="137">
        <f t="shared" ref="BA43" si="51">AZ43/AY43</f>
        <v>0.20698534192531043</v>
      </c>
      <c r="BB43" s="133">
        <f t="shared" ref="BB43:BB47" si="52">ROUNDUP(IF(BA43&lt;15%,AY43,AX43),0)</f>
        <v>5758</v>
      </c>
      <c r="BC43" s="134">
        <f t="shared" si="8"/>
        <v>662170</v>
      </c>
      <c r="BD43" s="135" t="s">
        <v>322</v>
      </c>
      <c r="BE43" s="206"/>
      <c r="BF43" s="106"/>
    </row>
    <row r="44" spans="1:58" ht="106.5" customHeight="1" x14ac:dyDescent="0.25">
      <c r="A44" s="65">
        <v>38</v>
      </c>
      <c r="B44" s="81" t="s">
        <v>789</v>
      </c>
      <c r="C44" s="69" t="s">
        <v>790</v>
      </c>
      <c r="D44" s="67" t="s">
        <v>466</v>
      </c>
      <c r="E44" s="143">
        <v>4</v>
      </c>
      <c r="F44" s="102"/>
      <c r="G44" s="102"/>
      <c r="H44" s="102"/>
      <c r="I44" s="102"/>
      <c r="J44" s="99"/>
      <c r="K44" s="99"/>
      <c r="L44" s="102"/>
      <c r="M44" s="102"/>
      <c r="N44" s="102"/>
      <c r="O44" s="102"/>
      <c r="P44" s="102"/>
      <c r="Q44" s="102"/>
      <c r="R44" s="102"/>
      <c r="S44" s="102"/>
      <c r="T44" s="102"/>
      <c r="U44" s="102"/>
      <c r="V44" s="102"/>
      <c r="W44" s="102"/>
      <c r="X44" s="102"/>
      <c r="Y44" s="102"/>
      <c r="Z44" s="102"/>
      <c r="AA44" s="102"/>
      <c r="AB44" s="102"/>
      <c r="AC44" s="102"/>
      <c r="AD44" s="102"/>
      <c r="AE44" s="102"/>
      <c r="AF44" s="102"/>
      <c r="AG44" s="102"/>
      <c r="AH44" s="102"/>
      <c r="AI44" s="102"/>
      <c r="AJ44" s="102">
        <v>309400</v>
      </c>
      <c r="AK44" s="102">
        <f t="shared" ref="AK44:AK47" si="53">+AJ44*E44</f>
        <v>1237600</v>
      </c>
      <c r="AL44" s="103"/>
      <c r="AM44" s="103"/>
      <c r="AN44" s="103"/>
      <c r="AO44" s="103"/>
      <c r="AP44" s="103"/>
      <c r="AQ44" s="103"/>
      <c r="AR44" s="103"/>
      <c r="AS44" s="103"/>
      <c r="AT44" s="103"/>
      <c r="AU44" s="103"/>
      <c r="AV44" s="107">
        <v>321300</v>
      </c>
      <c r="AW44" s="107">
        <f t="shared" ref="AW44:AW47" si="54">+AV44*E44</f>
        <v>1285200</v>
      </c>
      <c r="AX44" s="139">
        <f>MEDIAN(AJ44,AV44)</f>
        <v>315350</v>
      </c>
      <c r="AY44" s="139">
        <f>AVERAGE(AJ44,AV44)</f>
        <v>315350</v>
      </c>
      <c r="AZ44" s="140">
        <f>STDEV(AJ44,AV44)</f>
        <v>8414.5706961199157</v>
      </c>
      <c r="BA44" s="137">
        <f>AZ44/AY44</f>
        <v>2.6683274761756512E-2</v>
      </c>
      <c r="BB44" s="141">
        <f t="shared" si="52"/>
        <v>315350</v>
      </c>
      <c r="BC44" s="134">
        <f t="shared" si="8"/>
        <v>1261400</v>
      </c>
      <c r="BD44" s="135" t="s">
        <v>319</v>
      </c>
      <c r="BF44" s="106"/>
    </row>
    <row r="45" spans="1:58" ht="133.5" customHeight="1" x14ac:dyDescent="0.25">
      <c r="A45" s="41">
        <v>39</v>
      </c>
      <c r="B45" s="81" t="s">
        <v>791</v>
      </c>
      <c r="C45" s="69" t="s">
        <v>792</v>
      </c>
      <c r="D45" s="67" t="s">
        <v>466</v>
      </c>
      <c r="E45" s="143">
        <v>4</v>
      </c>
      <c r="F45" s="102"/>
      <c r="G45" s="102"/>
      <c r="H45" s="102"/>
      <c r="I45" s="102"/>
      <c r="J45" s="99"/>
      <c r="K45" s="99"/>
      <c r="L45" s="102"/>
      <c r="M45" s="102"/>
      <c r="N45" s="102"/>
      <c r="O45" s="102"/>
      <c r="P45" s="102"/>
      <c r="Q45" s="102"/>
      <c r="R45" s="102"/>
      <c r="S45" s="102"/>
      <c r="T45" s="102"/>
      <c r="U45" s="102"/>
      <c r="V45" s="102"/>
      <c r="W45" s="102"/>
      <c r="X45" s="102"/>
      <c r="Y45" s="102"/>
      <c r="Z45" s="102"/>
      <c r="AA45" s="102"/>
      <c r="AB45" s="102"/>
      <c r="AC45" s="102"/>
      <c r="AD45" s="102"/>
      <c r="AE45" s="102"/>
      <c r="AF45" s="102"/>
      <c r="AG45" s="102"/>
      <c r="AH45" s="102"/>
      <c r="AI45" s="102"/>
      <c r="AJ45" s="102">
        <v>690200</v>
      </c>
      <c r="AK45" s="102">
        <f t="shared" si="53"/>
        <v>2760800</v>
      </c>
      <c r="AL45" s="103"/>
      <c r="AM45" s="103"/>
      <c r="AN45" s="103"/>
      <c r="AO45" s="103"/>
      <c r="AP45" s="103"/>
      <c r="AQ45" s="103"/>
      <c r="AR45" s="103"/>
      <c r="AS45" s="103"/>
      <c r="AT45" s="103"/>
      <c r="AU45" s="103"/>
      <c r="AV45" s="107">
        <v>725900</v>
      </c>
      <c r="AW45" s="107">
        <f t="shared" si="54"/>
        <v>2903600</v>
      </c>
      <c r="AX45" s="139">
        <f>MEDIAN(AJ45,AV45)</f>
        <v>708050</v>
      </c>
      <c r="AY45" s="139">
        <f>AVERAGE(AJ45,AV45)</f>
        <v>708050</v>
      </c>
      <c r="AZ45" s="140">
        <f>STDEV(AJ44,AV44)</f>
        <v>8414.5706961199157</v>
      </c>
      <c r="BA45" s="137">
        <f t="shared" ref="BA45:BA47" si="55">AZ45/AY45</f>
        <v>1.1884147582967186E-2</v>
      </c>
      <c r="BB45" s="141">
        <f t="shared" si="52"/>
        <v>708050</v>
      </c>
      <c r="BC45" s="134">
        <f t="shared" si="8"/>
        <v>2832200</v>
      </c>
      <c r="BD45" s="135" t="s">
        <v>319</v>
      </c>
      <c r="BF45" s="106"/>
    </row>
    <row r="46" spans="1:58" ht="161.25" customHeight="1" x14ac:dyDescent="0.25">
      <c r="A46" s="41">
        <v>40</v>
      </c>
      <c r="B46" s="81" t="s">
        <v>793</v>
      </c>
      <c r="C46" s="69" t="s">
        <v>794</v>
      </c>
      <c r="D46" s="67" t="s">
        <v>175</v>
      </c>
      <c r="E46" s="143">
        <v>10</v>
      </c>
      <c r="F46" s="99"/>
      <c r="G46" s="99"/>
      <c r="H46" s="99"/>
      <c r="I46" s="99"/>
      <c r="J46" s="99"/>
      <c r="K46" s="99"/>
      <c r="L46" s="102"/>
      <c r="M46" s="102"/>
      <c r="N46" s="102"/>
      <c r="O46" s="102"/>
      <c r="P46" s="102"/>
      <c r="Q46" s="102"/>
      <c r="R46" s="102"/>
      <c r="S46" s="102"/>
      <c r="T46" s="102"/>
      <c r="U46" s="102"/>
      <c r="V46" s="102"/>
      <c r="W46" s="102"/>
      <c r="X46" s="102"/>
      <c r="Y46" s="102"/>
      <c r="Z46" s="102"/>
      <c r="AA46" s="102"/>
      <c r="AB46" s="102"/>
      <c r="AC46" s="102"/>
      <c r="AD46" s="102"/>
      <c r="AE46" s="102"/>
      <c r="AF46" s="102"/>
      <c r="AG46" s="102"/>
      <c r="AH46" s="102"/>
      <c r="AI46" s="102"/>
      <c r="AJ46" s="102">
        <v>48700</v>
      </c>
      <c r="AK46" s="102">
        <f t="shared" si="53"/>
        <v>487000</v>
      </c>
      <c r="AL46" s="103"/>
      <c r="AM46" s="103"/>
      <c r="AN46" s="103"/>
      <c r="AO46" s="103"/>
      <c r="AP46" s="103"/>
      <c r="AQ46" s="103"/>
      <c r="AR46" s="103"/>
      <c r="AS46" s="103"/>
      <c r="AT46" s="103"/>
      <c r="AU46" s="103"/>
      <c r="AV46" s="107">
        <v>53550</v>
      </c>
      <c r="AW46" s="107">
        <f t="shared" si="54"/>
        <v>535500</v>
      </c>
      <c r="AX46" s="139">
        <f>MEDIAN(AJ46,AV46)</f>
        <v>51125</v>
      </c>
      <c r="AY46" s="139">
        <f>AVERAGE(AJ46,AV46)</f>
        <v>51125</v>
      </c>
      <c r="AZ46" s="140">
        <f>STDEV(AJ46,AV46)</f>
        <v>3429.4678887547557</v>
      </c>
      <c r="BA46" s="137">
        <f t="shared" si="55"/>
        <v>6.7080056503760505E-2</v>
      </c>
      <c r="BB46" s="141">
        <f t="shared" si="52"/>
        <v>51125</v>
      </c>
      <c r="BC46" s="134">
        <f t="shared" si="8"/>
        <v>511250</v>
      </c>
      <c r="BD46" s="135" t="s">
        <v>319</v>
      </c>
      <c r="BF46" s="106"/>
    </row>
    <row r="47" spans="1:58" s="49" customFormat="1" ht="75" x14ac:dyDescent="0.25">
      <c r="A47" s="65">
        <v>41</v>
      </c>
      <c r="B47" s="68" t="s">
        <v>795</v>
      </c>
      <c r="C47" s="69" t="s">
        <v>796</v>
      </c>
      <c r="D47" s="67" t="s">
        <v>175</v>
      </c>
      <c r="E47" s="143">
        <v>2</v>
      </c>
      <c r="F47" s="94"/>
      <c r="G47" s="94"/>
      <c r="H47" s="94"/>
      <c r="I47" s="94"/>
      <c r="J47" s="94"/>
      <c r="K47" s="94"/>
      <c r="L47" s="104"/>
      <c r="M47" s="104"/>
      <c r="N47" s="104"/>
      <c r="O47" s="104"/>
      <c r="P47" s="104"/>
      <c r="Q47" s="104"/>
      <c r="R47" s="104"/>
      <c r="S47" s="104"/>
      <c r="T47" s="104"/>
      <c r="U47" s="104"/>
      <c r="V47" s="104"/>
      <c r="W47" s="104"/>
      <c r="X47" s="104"/>
      <c r="Y47" s="104"/>
      <c r="Z47" s="104"/>
      <c r="AA47" s="104"/>
      <c r="AB47" s="104"/>
      <c r="AC47" s="104"/>
      <c r="AD47" s="104"/>
      <c r="AE47" s="104"/>
      <c r="AF47" s="104"/>
      <c r="AG47" s="104"/>
      <c r="AH47" s="104"/>
      <c r="AI47" s="104"/>
      <c r="AJ47" s="104">
        <v>1309000</v>
      </c>
      <c r="AK47" s="104">
        <f t="shared" si="53"/>
        <v>2618000</v>
      </c>
      <c r="AL47" s="194"/>
      <c r="AM47" s="194"/>
      <c r="AN47" s="194"/>
      <c r="AO47" s="194"/>
      <c r="AP47" s="194"/>
      <c r="AQ47" s="194"/>
      <c r="AR47" s="194"/>
      <c r="AS47" s="194"/>
      <c r="AT47" s="194"/>
      <c r="AU47" s="194"/>
      <c r="AV47" s="107">
        <v>1428000</v>
      </c>
      <c r="AW47" s="107">
        <f t="shared" si="54"/>
        <v>2856000</v>
      </c>
      <c r="AX47" s="139">
        <f>MEDIAN(AJ47,AV47)</f>
        <v>1368500</v>
      </c>
      <c r="AY47" s="139">
        <f>AVERAGE(AJ47,AV47)</f>
        <v>1368500</v>
      </c>
      <c r="AZ47" s="140">
        <f>STDEV(AJ47,AV47)</f>
        <v>84145.706961199161</v>
      </c>
      <c r="BA47" s="137">
        <f t="shared" si="55"/>
        <v>6.1487546190134572E-2</v>
      </c>
      <c r="BB47" s="141">
        <f t="shared" si="52"/>
        <v>1368500</v>
      </c>
      <c r="BC47" s="134">
        <f t="shared" si="8"/>
        <v>2737000</v>
      </c>
      <c r="BD47" s="135" t="s">
        <v>319</v>
      </c>
      <c r="BE47" s="206"/>
      <c r="BF47" s="106"/>
    </row>
    <row r="48" spans="1:58" ht="22.5" customHeight="1" x14ac:dyDescent="0.25">
      <c r="A48" s="273" t="s">
        <v>396</v>
      </c>
      <c r="B48" s="274"/>
      <c r="C48" s="274"/>
      <c r="D48" s="274"/>
      <c r="E48" s="275"/>
      <c r="F48" s="108">
        <f t="shared" ref="F48:K48" si="56">+SUM(F7:F47)</f>
        <v>3694039.7846153849</v>
      </c>
      <c r="G48" s="108">
        <f t="shared" si="56"/>
        <v>293174894.46153843</v>
      </c>
      <c r="H48" s="108">
        <f t="shared" si="56"/>
        <v>1246000</v>
      </c>
      <c r="I48" s="108">
        <f t="shared" si="56"/>
        <v>175874600</v>
      </c>
      <c r="J48" s="108">
        <f t="shared" si="56"/>
        <v>791951</v>
      </c>
      <c r="K48" s="108">
        <f t="shared" si="56"/>
        <v>129034674</v>
      </c>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08"/>
      <c r="AQ48" s="108"/>
      <c r="AR48" s="108"/>
      <c r="AS48" s="108"/>
      <c r="AT48" s="108"/>
      <c r="AU48" s="108"/>
      <c r="AV48" s="108"/>
      <c r="AW48" s="108"/>
      <c r="AX48" s="88"/>
      <c r="AY48" s="88"/>
      <c r="AZ48" s="88"/>
      <c r="BA48" s="88"/>
      <c r="BB48" s="89">
        <f>+SUM(BB7:BB47)</f>
        <v>7184571</v>
      </c>
      <c r="BC48" s="89">
        <f>+SUM(BC7:BC47)</f>
        <v>407996703</v>
      </c>
      <c r="BD48" s="88"/>
      <c r="BF48" s="106"/>
    </row>
    <row r="50" spans="1:56" x14ac:dyDescent="0.25">
      <c r="A50" s="272" t="s">
        <v>397</v>
      </c>
      <c r="B50" s="272"/>
      <c r="C50" s="272"/>
      <c r="D50" s="272"/>
      <c r="E50" s="272"/>
      <c r="F50" s="272"/>
      <c r="G50" s="272"/>
      <c r="H50" s="272"/>
      <c r="I50" s="272"/>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row>
    <row r="51" spans="1:56" x14ac:dyDescent="0.25">
      <c r="A51" s="272"/>
      <c r="B51" s="272"/>
      <c r="C51" s="272"/>
      <c r="D51" s="272"/>
      <c r="E51" s="272"/>
      <c r="F51" s="272"/>
      <c r="G51" s="272"/>
      <c r="H51" s="272"/>
      <c r="I51" s="272"/>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BC51" s="106"/>
    </row>
    <row r="52" spans="1:56" x14ac:dyDescent="0.25">
      <c r="A52" s="272"/>
      <c r="B52" s="272"/>
      <c r="C52" s="272"/>
      <c r="D52" s="272"/>
      <c r="E52" s="272"/>
      <c r="F52" s="272"/>
      <c r="G52" s="272"/>
      <c r="H52" s="272"/>
      <c r="I52" s="272"/>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BD52" s="106"/>
    </row>
    <row r="53" spans="1:56" x14ac:dyDescent="0.25">
      <c r="A53" s="272"/>
      <c r="B53" s="272"/>
      <c r="C53" s="272"/>
      <c r="D53" s="272"/>
      <c r="E53" s="272"/>
      <c r="F53" s="272"/>
      <c r="G53" s="272"/>
      <c r="H53" s="272"/>
      <c r="I53" s="272"/>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BC53" s="106"/>
    </row>
    <row r="54" spans="1:56" x14ac:dyDescent="0.25">
      <c r="A54" s="272"/>
      <c r="B54" s="272"/>
      <c r="C54" s="272"/>
      <c r="D54" s="272"/>
      <c r="E54" s="272"/>
      <c r="F54" s="272"/>
      <c r="G54" s="272"/>
      <c r="H54" s="272"/>
      <c r="I54" s="272"/>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row>
    <row r="55" spans="1:56" x14ac:dyDescent="0.25">
      <c r="A55" s="272"/>
      <c r="B55" s="272"/>
      <c r="C55" s="272"/>
      <c r="D55" s="272"/>
      <c r="E55" s="272"/>
      <c r="F55" s="272"/>
      <c r="G55" s="272"/>
      <c r="H55" s="272"/>
      <c r="I55" s="272"/>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row>
    <row r="56" spans="1:56" x14ac:dyDescent="0.25">
      <c r="A56" s="272"/>
      <c r="B56" s="272"/>
      <c r="C56" s="272"/>
      <c r="D56" s="272"/>
      <c r="E56" s="272"/>
      <c r="F56" s="272"/>
      <c r="G56" s="272"/>
      <c r="H56" s="272"/>
      <c r="I56" s="272"/>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row>
    <row r="57" spans="1:56" x14ac:dyDescent="0.25">
      <c r="A57" s="272"/>
      <c r="B57" s="272"/>
      <c r="C57" s="272"/>
      <c r="D57" s="272"/>
      <c r="E57" s="272"/>
      <c r="F57" s="272"/>
      <c r="G57" s="272"/>
      <c r="H57" s="272"/>
      <c r="I57" s="272"/>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row>
    <row r="58" spans="1:56" x14ac:dyDescent="0.25">
      <c r="A58" s="272"/>
      <c r="B58" s="272"/>
      <c r="C58" s="272"/>
      <c r="D58" s="272"/>
      <c r="E58" s="272"/>
      <c r="F58" s="272"/>
      <c r="G58" s="272"/>
      <c r="H58" s="272"/>
      <c r="I58" s="272"/>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row>
    <row r="59" spans="1:56" x14ac:dyDescent="0.25">
      <c r="A59" s="272"/>
      <c r="B59" s="272"/>
      <c r="C59" s="272"/>
      <c r="D59" s="272"/>
      <c r="E59" s="272"/>
      <c r="F59" s="272"/>
      <c r="G59" s="272"/>
      <c r="H59" s="272"/>
      <c r="I59" s="272"/>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row>
    <row r="60" spans="1:56" x14ac:dyDescent="0.25">
      <c r="A60" s="272"/>
      <c r="B60" s="272"/>
      <c r="C60" s="272"/>
      <c r="D60" s="272"/>
      <c r="E60" s="272"/>
      <c r="F60" s="272"/>
      <c r="G60" s="272"/>
      <c r="H60" s="272"/>
      <c r="I60" s="272"/>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row>
    <row r="61" spans="1:56" x14ac:dyDescent="0.25">
      <c r="A61" s="272"/>
      <c r="B61" s="272"/>
      <c r="C61" s="272"/>
      <c r="D61" s="272"/>
      <c r="E61" s="272"/>
      <c r="F61" s="272"/>
      <c r="G61" s="272"/>
      <c r="H61" s="272"/>
      <c r="I61" s="272"/>
    </row>
    <row r="62" spans="1:56" x14ac:dyDescent="0.25">
      <c r="A62" s="272"/>
      <c r="B62" s="272"/>
      <c r="C62" s="272"/>
      <c r="D62" s="272"/>
      <c r="E62" s="272"/>
      <c r="F62" s="272"/>
      <c r="G62" s="272"/>
      <c r="H62" s="272"/>
      <c r="I62" s="272"/>
    </row>
  </sheetData>
  <autoFilter ref="A2:BF48" xr:uid="{00000000-0009-0000-0000-000002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filterColumn colId="42" showButton="0"/>
    <filterColumn colId="43" showButton="0"/>
    <filterColumn colId="44" showButton="0"/>
    <filterColumn colId="45" showButton="0"/>
    <filterColumn colId="46" showButton="0"/>
    <filterColumn colId="47" showButton="0"/>
    <filterColumn colId="48" showButton="0"/>
    <filterColumn colId="49" showButton="0"/>
    <filterColumn colId="50" showButton="0"/>
    <filterColumn colId="51" showButton="0"/>
    <filterColumn colId="52" showButton="0"/>
    <filterColumn colId="53" showButton="0"/>
    <filterColumn colId="54" showButton="0"/>
  </autoFilter>
  <mergeCells count="29">
    <mergeCell ref="A2:BD2"/>
    <mergeCell ref="A3:BD3"/>
    <mergeCell ref="AV4:AW5"/>
    <mergeCell ref="AX4:BA5"/>
    <mergeCell ref="BB4:BD5"/>
    <mergeCell ref="AR4:AS5"/>
    <mergeCell ref="AT4:AU5"/>
    <mergeCell ref="AN4:AO5"/>
    <mergeCell ref="AP4:AQ5"/>
    <mergeCell ref="T4:U5"/>
    <mergeCell ref="V4:W5"/>
    <mergeCell ref="X4:Y5"/>
    <mergeCell ref="Z4:AA5"/>
    <mergeCell ref="AB4:AC5"/>
    <mergeCell ref="AD4:AE5"/>
    <mergeCell ref="AF4:AG5"/>
    <mergeCell ref="AH4:AI5"/>
    <mergeCell ref="AJ4:AK5"/>
    <mergeCell ref="AL4:AM5"/>
    <mergeCell ref="A50:I62"/>
    <mergeCell ref="A48:E48"/>
    <mergeCell ref="N4:O5"/>
    <mergeCell ref="P4:Q5"/>
    <mergeCell ref="R4:S5"/>
    <mergeCell ref="A4:E5"/>
    <mergeCell ref="F4:G5"/>
    <mergeCell ref="H4:I5"/>
    <mergeCell ref="J4:K5"/>
    <mergeCell ref="L4:M5"/>
  </mergeCells>
  <conditionalFormatting sqref="BA7:BA47">
    <cfRule type="cellIs" dxfId="2" priority="1" operator="greaterThan">
      <formula>0.3</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EX141"/>
  <sheetViews>
    <sheetView topLeftCell="EO124" zoomScale="84" zoomScaleNormal="75" workbookViewId="0">
      <selection activeCell="ET129" sqref="ET129"/>
    </sheetView>
  </sheetViews>
  <sheetFormatPr baseColWidth="10" defaultColWidth="10.85546875" defaultRowHeight="15" x14ac:dyDescent="0.25"/>
  <cols>
    <col min="1" max="1" width="10.28515625" style="24" customWidth="1"/>
    <col min="2" max="2" width="18.28515625" style="24" customWidth="1"/>
    <col min="3" max="3" width="76.5703125" style="90" customWidth="1"/>
    <col min="4" max="4" width="10.85546875" style="24"/>
    <col min="5" max="5" width="14" style="24" customWidth="1"/>
    <col min="6" max="118" width="17.28515625" style="64" customWidth="1"/>
    <col min="119" max="145" width="17.7109375" style="64" customWidth="1"/>
    <col min="146" max="146" width="19.42578125" style="45" customWidth="1"/>
    <col min="147" max="147" width="20.42578125" style="45" customWidth="1"/>
    <col min="148" max="148" width="16.7109375" style="45" customWidth="1"/>
    <col min="149" max="149" width="27.85546875" style="45" customWidth="1"/>
    <col min="150" max="150" width="14.85546875" style="45" customWidth="1"/>
    <col min="151" max="151" width="20.140625" style="45" customWidth="1"/>
    <col min="152" max="152" width="51.42578125" style="45" customWidth="1"/>
    <col min="153" max="16384" width="10.85546875" style="45"/>
  </cols>
  <sheetData>
    <row r="2" spans="1:153" s="2" customFormat="1" ht="18" customHeight="1" x14ac:dyDescent="0.25">
      <c r="A2" s="279" t="s">
        <v>233</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280"/>
      <c r="BY2" s="280"/>
      <c r="BZ2" s="280"/>
      <c r="CA2" s="280"/>
      <c r="CB2" s="280"/>
      <c r="CC2" s="280"/>
      <c r="CD2" s="280"/>
      <c r="CE2" s="280"/>
      <c r="CF2" s="280"/>
      <c r="CG2" s="280"/>
      <c r="CH2" s="280"/>
      <c r="CI2" s="280"/>
      <c r="CJ2" s="280"/>
      <c r="CK2" s="280"/>
      <c r="CL2" s="280"/>
      <c r="CM2" s="280"/>
      <c r="CN2" s="280"/>
      <c r="CO2" s="280"/>
      <c r="CP2" s="280"/>
      <c r="CQ2" s="280"/>
      <c r="CR2" s="280"/>
      <c r="CS2" s="280"/>
      <c r="CT2" s="280"/>
      <c r="CU2" s="280"/>
      <c r="CV2" s="280"/>
      <c r="CW2" s="280"/>
      <c r="CX2" s="280"/>
      <c r="CY2" s="280"/>
      <c r="CZ2" s="280"/>
      <c r="DA2" s="280"/>
      <c r="DB2" s="280"/>
      <c r="DC2" s="280"/>
      <c r="DD2" s="280"/>
      <c r="DE2" s="280"/>
      <c r="DF2" s="280"/>
      <c r="DG2" s="280"/>
      <c r="DH2" s="280"/>
      <c r="DI2" s="280"/>
      <c r="DJ2" s="280"/>
      <c r="DK2" s="280"/>
      <c r="DL2" s="280"/>
      <c r="DM2" s="280"/>
      <c r="DN2" s="280"/>
      <c r="DO2" s="280"/>
      <c r="DP2" s="280"/>
      <c r="DQ2" s="280"/>
      <c r="DR2" s="280"/>
      <c r="DS2" s="280"/>
      <c r="DT2" s="280"/>
      <c r="DU2" s="280"/>
      <c r="DV2" s="280"/>
      <c r="DW2" s="280"/>
      <c r="DX2" s="280"/>
      <c r="DY2" s="280"/>
      <c r="DZ2" s="280"/>
      <c r="EA2" s="280"/>
      <c r="EB2" s="280"/>
      <c r="EC2" s="280"/>
      <c r="ED2" s="280"/>
      <c r="EE2" s="280"/>
      <c r="EF2" s="280"/>
      <c r="EG2" s="280"/>
      <c r="EH2" s="280"/>
      <c r="EI2" s="280"/>
      <c r="EJ2" s="280"/>
      <c r="EK2" s="280"/>
      <c r="EL2" s="280"/>
      <c r="EM2" s="280"/>
      <c r="EN2" s="280"/>
      <c r="EO2" s="280"/>
      <c r="EP2" s="280"/>
      <c r="EQ2" s="280"/>
      <c r="ER2" s="280"/>
      <c r="ES2" s="280"/>
      <c r="ET2" s="280"/>
      <c r="EU2" s="280"/>
      <c r="EV2" s="280"/>
    </row>
    <row r="3" spans="1:153" s="2" customFormat="1" ht="18" customHeight="1" x14ac:dyDescent="0.25">
      <c r="A3" s="281" t="s">
        <v>799</v>
      </c>
      <c r="B3" s="282"/>
      <c r="C3" s="282"/>
      <c r="D3" s="282"/>
      <c r="E3" s="282"/>
      <c r="F3" s="282"/>
      <c r="G3" s="282"/>
      <c r="H3" s="282"/>
      <c r="I3" s="282"/>
      <c r="J3" s="282"/>
      <c r="K3" s="282"/>
      <c r="L3" s="282"/>
      <c r="M3" s="282"/>
      <c r="N3" s="282"/>
      <c r="O3" s="282"/>
      <c r="P3" s="282"/>
      <c r="Q3" s="282"/>
      <c r="R3" s="282"/>
      <c r="S3" s="282"/>
      <c r="T3" s="282"/>
      <c r="U3" s="282"/>
      <c r="V3" s="282"/>
      <c r="W3" s="282"/>
      <c r="X3" s="282"/>
      <c r="Y3" s="282"/>
      <c r="Z3" s="282"/>
      <c r="AA3" s="282"/>
      <c r="AB3" s="282"/>
      <c r="AC3" s="282"/>
      <c r="AD3" s="282"/>
      <c r="AE3" s="282"/>
      <c r="AF3" s="282"/>
      <c r="AG3" s="282"/>
      <c r="AH3" s="282"/>
      <c r="AI3" s="282"/>
      <c r="AJ3" s="282"/>
      <c r="AK3" s="282"/>
      <c r="AL3" s="282"/>
      <c r="AM3" s="282"/>
      <c r="AN3" s="282"/>
      <c r="AO3" s="282"/>
      <c r="AP3" s="282"/>
      <c r="AQ3" s="282"/>
      <c r="AR3" s="282"/>
      <c r="AS3" s="282"/>
      <c r="AT3" s="282"/>
      <c r="AU3" s="282"/>
      <c r="AV3" s="282"/>
      <c r="AW3" s="282"/>
      <c r="AX3" s="282"/>
      <c r="AY3" s="282"/>
      <c r="AZ3" s="282"/>
      <c r="BA3" s="282"/>
      <c r="BB3" s="282"/>
      <c r="BC3" s="282"/>
      <c r="BD3" s="282"/>
      <c r="BE3" s="282"/>
      <c r="BF3" s="282"/>
      <c r="BG3" s="282"/>
      <c r="BH3" s="282"/>
      <c r="BI3" s="282"/>
      <c r="BJ3" s="282"/>
      <c r="BK3" s="282"/>
      <c r="BL3" s="282"/>
      <c r="BM3" s="282"/>
      <c r="BN3" s="282"/>
      <c r="BO3" s="282"/>
      <c r="BP3" s="282"/>
      <c r="BQ3" s="282"/>
      <c r="BR3" s="282"/>
      <c r="BS3" s="282"/>
      <c r="BT3" s="282"/>
      <c r="BU3" s="282"/>
      <c r="BV3" s="282"/>
      <c r="BW3" s="282"/>
      <c r="BX3" s="282"/>
      <c r="BY3" s="282"/>
      <c r="BZ3" s="282"/>
      <c r="CA3" s="282"/>
      <c r="CB3" s="282"/>
      <c r="CC3" s="282"/>
      <c r="CD3" s="282"/>
      <c r="CE3" s="282"/>
      <c r="CF3" s="282"/>
      <c r="CG3" s="282"/>
      <c r="CH3" s="282"/>
      <c r="CI3" s="282"/>
      <c r="CJ3" s="282"/>
      <c r="CK3" s="282"/>
      <c r="CL3" s="282"/>
      <c r="CM3" s="282"/>
      <c r="CN3" s="282"/>
      <c r="CO3" s="282"/>
      <c r="CP3" s="282"/>
      <c r="CQ3" s="282"/>
      <c r="CR3" s="282"/>
      <c r="CS3" s="282"/>
      <c r="CT3" s="282"/>
      <c r="CU3" s="282"/>
      <c r="CV3" s="282"/>
      <c r="CW3" s="282"/>
      <c r="CX3" s="282"/>
      <c r="CY3" s="282"/>
      <c r="CZ3" s="282"/>
      <c r="DA3" s="282"/>
      <c r="DB3" s="282"/>
      <c r="DC3" s="282"/>
      <c r="DD3" s="282"/>
      <c r="DE3" s="282"/>
      <c r="DF3" s="282"/>
      <c r="DG3" s="282"/>
      <c r="DH3" s="282"/>
      <c r="DI3" s="282"/>
      <c r="DJ3" s="282"/>
      <c r="DK3" s="282"/>
      <c r="DL3" s="282"/>
      <c r="DM3" s="282"/>
      <c r="DN3" s="282"/>
      <c r="DO3" s="282"/>
      <c r="DP3" s="282"/>
      <c r="DQ3" s="282"/>
      <c r="DR3" s="282"/>
      <c r="DS3" s="282"/>
      <c r="DT3" s="282"/>
      <c r="DU3" s="282"/>
      <c r="DV3" s="282"/>
      <c r="DW3" s="282"/>
      <c r="DX3" s="282"/>
      <c r="DY3" s="282"/>
      <c r="DZ3" s="282"/>
      <c r="EA3" s="282"/>
      <c r="EB3" s="282"/>
      <c r="EC3" s="282"/>
      <c r="ED3" s="282"/>
      <c r="EE3" s="282"/>
      <c r="EF3" s="282"/>
      <c r="EG3" s="282"/>
      <c r="EH3" s="282"/>
      <c r="EI3" s="282"/>
      <c r="EJ3" s="282"/>
      <c r="EK3" s="282"/>
      <c r="EL3" s="282"/>
      <c r="EM3" s="282"/>
      <c r="EN3" s="282"/>
      <c r="EO3" s="282"/>
      <c r="EP3" s="282"/>
      <c r="EQ3" s="282"/>
      <c r="ER3" s="282"/>
      <c r="ES3" s="282"/>
      <c r="ET3" s="282"/>
      <c r="EU3" s="282"/>
      <c r="EV3" s="282"/>
    </row>
    <row r="4" spans="1:153" ht="42.75" customHeight="1" x14ac:dyDescent="0.25">
      <c r="A4" s="224" t="s">
        <v>811</v>
      </c>
      <c r="B4" s="225"/>
      <c r="C4" s="225"/>
      <c r="D4" s="225"/>
      <c r="E4" s="226"/>
      <c r="F4" s="302" t="s">
        <v>398</v>
      </c>
      <c r="G4" s="302"/>
      <c r="H4" s="304" t="s">
        <v>399</v>
      </c>
      <c r="I4" s="305"/>
      <c r="J4" s="307" t="s">
        <v>803</v>
      </c>
      <c r="K4" s="307"/>
      <c r="L4" s="309" t="s">
        <v>400</v>
      </c>
      <c r="M4" s="309"/>
      <c r="N4" s="302" t="s">
        <v>401</v>
      </c>
      <c r="O4" s="311"/>
      <c r="P4" s="313" t="s">
        <v>402</v>
      </c>
      <c r="Q4" s="313"/>
      <c r="R4" s="307" t="s">
        <v>403</v>
      </c>
      <c r="S4" s="307"/>
      <c r="T4" s="309" t="s">
        <v>404</v>
      </c>
      <c r="U4" s="309"/>
      <c r="V4" s="302" t="s">
        <v>405</v>
      </c>
      <c r="W4" s="302"/>
      <c r="X4" s="322" t="s">
        <v>406</v>
      </c>
      <c r="Y4" s="322"/>
      <c r="Z4" s="307" t="s">
        <v>407</v>
      </c>
      <c r="AA4" s="307"/>
      <c r="AB4" s="309" t="s">
        <v>408</v>
      </c>
      <c r="AC4" s="309"/>
      <c r="AD4" s="320" t="s">
        <v>280</v>
      </c>
      <c r="AE4" s="320"/>
      <c r="AF4" s="304" t="s">
        <v>409</v>
      </c>
      <c r="AG4" s="304"/>
      <c r="AH4" s="316" t="s">
        <v>410</v>
      </c>
      <c r="AI4" s="316"/>
      <c r="AJ4" s="318" t="s">
        <v>411</v>
      </c>
      <c r="AK4" s="318"/>
      <c r="AL4" s="320" t="s">
        <v>412</v>
      </c>
      <c r="AM4" s="320"/>
      <c r="AN4" s="304" t="s">
        <v>413</v>
      </c>
      <c r="AO4" s="304"/>
      <c r="AP4" s="316" t="s">
        <v>414</v>
      </c>
      <c r="AQ4" s="316"/>
      <c r="AR4" s="318" t="s">
        <v>415</v>
      </c>
      <c r="AS4" s="318"/>
      <c r="AT4" s="324" t="s">
        <v>416</v>
      </c>
      <c r="AU4" s="325"/>
      <c r="AV4" s="328" t="s">
        <v>417</v>
      </c>
      <c r="AW4" s="329"/>
      <c r="AX4" s="332" t="s">
        <v>418</v>
      </c>
      <c r="AY4" s="333"/>
      <c r="AZ4" s="318" t="s">
        <v>419</v>
      </c>
      <c r="BA4" s="318"/>
      <c r="BB4" s="320" t="s">
        <v>420</v>
      </c>
      <c r="BC4" s="320"/>
      <c r="BD4" s="304" t="s">
        <v>421</v>
      </c>
      <c r="BE4" s="304"/>
      <c r="BF4" s="316" t="s">
        <v>422</v>
      </c>
      <c r="BG4" s="316"/>
      <c r="BH4" s="318" t="s">
        <v>423</v>
      </c>
      <c r="BI4" s="318"/>
      <c r="BJ4" s="320" t="s">
        <v>424</v>
      </c>
      <c r="BK4" s="320"/>
      <c r="BL4" s="304" t="s">
        <v>425</v>
      </c>
      <c r="BM4" s="304"/>
      <c r="BN4" s="316" t="s">
        <v>426</v>
      </c>
      <c r="BO4" s="316"/>
      <c r="BP4" s="318" t="s">
        <v>427</v>
      </c>
      <c r="BQ4" s="318"/>
      <c r="BR4" s="320" t="s">
        <v>428</v>
      </c>
      <c r="BS4" s="320"/>
      <c r="BT4" s="304" t="s">
        <v>429</v>
      </c>
      <c r="BU4" s="304"/>
      <c r="BV4" s="316" t="s">
        <v>430</v>
      </c>
      <c r="BW4" s="316"/>
      <c r="BX4" s="318" t="s">
        <v>431</v>
      </c>
      <c r="BY4" s="318"/>
      <c r="BZ4" s="320" t="s">
        <v>432</v>
      </c>
      <c r="CA4" s="320"/>
      <c r="CB4" s="304" t="s">
        <v>433</v>
      </c>
      <c r="CC4" s="304"/>
      <c r="CD4" s="316" t="s">
        <v>434</v>
      </c>
      <c r="CE4" s="316"/>
      <c r="CF4" s="318" t="s">
        <v>435</v>
      </c>
      <c r="CG4" s="318"/>
      <c r="CH4" s="320" t="s">
        <v>436</v>
      </c>
      <c r="CI4" s="320"/>
      <c r="CJ4" s="304" t="s">
        <v>437</v>
      </c>
      <c r="CK4" s="304"/>
      <c r="CL4" s="316" t="s">
        <v>438</v>
      </c>
      <c r="CM4" s="316"/>
      <c r="CN4" s="318" t="s">
        <v>439</v>
      </c>
      <c r="CO4" s="318"/>
      <c r="CP4" s="320" t="s">
        <v>440</v>
      </c>
      <c r="CQ4" s="320"/>
      <c r="CR4" s="304" t="s">
        <v>441</v>
      </c>
      <c r="CS4" s="304"/>
      <c r="CT4" s="346" t="s">
        <v>306</v>
      </c>
      <c r="CU4" s="346"/>
      <c r="CV4" s="348" t="s">
        <v>442</v>
      </c>
      <c r="CW4" s="348"/>
      <c r="CX4" s="340" t="s">
        <v>307</v>
      </c>
      <c r="CY4" s="340"/>
      <c r="CZ4" s="350" t="s">
        <v>443</v>
      </c>
      <c r="DA4" s="350"/>
      <c r="DB4" s="346" t="s">
        <v>444</v>
      </c>
      <c r="DC4" s="346"/>
      <c r="DD4" s="336" t="s">
        <v>445</v>
      </c>
      <c r="DE4" s="337"/>
      <c r="DF4" s="340" t="s">
        <v>446</v>
      </c>
      <c r="DG4" s="340"/>
      <c r="DH4" s="342" t="s">
        <v>447</v>
      </c>
      <c r="DI4" s="343"/>
      <c r="DJ4" s="332" t="s">
        <v>448</v>
      </c>
      <c r="DK4" s="333"/>
      <c r="DL4" s="367" t="s">
        <v>449</v>
      </c>
      <c r="DM4" s="367"/>
      <c r="DN4" s="354" t="s">
        <v>300</v>
      </c>
      <c r="DO4" s="354"/>
      <c r="DP4" s="356" t="s">
        <v>450</v>
      </c>
      <c r="DQ4" s="356"/>
      <c r="DR4" s="365" t="s">
        <v>451</v>
      </c>
      <c r="DS4" s="365"/>
      <c r="DT4" s="352" t="s">
        <v>452</v>
      </c>
      <c r="DU4" s="352"/>
      <c r="DV4" s="354" t="s">
        <v>453</v>
      </c>
      <c r="DW4" s="354"/>
      <c r="DX4" s="356" t="s">
        <v>454</v>
      </c>
      <c r="DY4" s="356"/>
      <c r="DZ4" s="365" t="s">
        <v>455</v>
      </c>
      <c r="EA4" s="365"/>
      <c r="EB4" s="352" t="s">
        <v>456</v>
      </c>
      <c r="EC4" s="352"/>
      <c r="ED4" s="369" t="s">
        <v>289</v>
      </c>
      <c r="EE4" s="369"/>
      <c r="EF4" s="356" t="s">
        <v>457</v>
      </c>
      <c r="EG4" s="356"/>
      <c r="EH4" s="365" t="s">
        <v>458</v>
      </c>
      <c r="EI4" s="365"/>
      <c r="EJ4" s="352" t="s">
        <v>459</v>
      </c>
      <c r="EK4" s="352"/>
      <c r="EL4" s="354" t="s">
        <v>460</v>
      </c>
      <c r="EM4" s="354"/>
      <c r="EN4" s="356" t="s">
        <v>461</v>
      </c>
      <c r="EO4" s="356"/>
      <c r="EP4" s="285" t="s">
        <v>0</v>
      </c>
      <c r="EQ4" s="285"/>
      <c r="ER4" s="285"/>
      <c r="ES4" s="286"/>
      <c r="ET4" s="289" t="s">
        <v>1</v>
      </c>
      <c r="EU4" s="290"/>
      <c r="EV4" s="291"/>
    </row>
    <row r="5" spans="1:153" ht="42.75" customHeight="1" x14ac:dyDescent="0.25">
      <c r="A5" s="227"/>
      <c r="B5" s="228"/>
      <c r="C5" s="228"/>
      <c r="D5" s="228"/>
      <c r="E5" s="229"/>
      <c r="F5" s="303"/>
      <c r="G5" s="303"/>
      <c r="H5" s="306"/>
      <c r="I5" s="306"/>
      <c r="J5" s="308"/>
      <c r="K5" s="308"/>
      <c r="L5" s="310"/>
      <c r="M5" s="310"/>
      <c r="N5" s="312"/>
      <c r="O5" s="312"/>
      <c r="P5" s="314"/>
      <c r="Q5" s="314"/>
      <c r="R5" s="308"/>
      <c r="S5" s="308"/>
      <c r="T5" s="310"/>
      <c r="U5" s="310"/>
      <c r="V5" s="303"/>
      <c r="W5" s="303"/>
      <c r="X5" s="323"/>
      <c r="Y5" s="323"/>
      <c r="Z5" s="308"/>
      <c r="AA5" s="308"/>
      <c r="AB5" s="310"/>
      <c r="AC5" s="310"/>
      <c r="AD5" s="321"/>
      <c r="AE5" s="321"/>
      <c r="AF5" s="315"/>
      <c r="AG5" s="315"/>
      <c r="AH5" s="317"/>
      <c r="AI5" s="317"/>
      <c r="AJ5" s="319"/>
      <c r="AK5" s="319"/>
      <c r="AL5" s="321"/>
      <c r="AM5" s="321"/>
      <c r="AN5" s="315"/>
      <c r="AO5" s="315"/>
      <c r="AP5" s="317"/>
      <c r="AQ5" s="317"/>
      <c r="AR5" s="319"/>
      <c r="AS5" s="319"/>
      <c r="AT5" s="326"/>
      <c r="AU5" s="327"/>
      <c r="AV5" s="330"/>
      <c r="AW5" s="331"/>
      <c r="AX5" s="334"/>
      <c r="AY5" s="335"/>
      <c r="AZ5" s="319"/>
      <c r="BA5" s="319"/>
      <c r="BB5" s="321"/>
      <c r="BC5" s="321"/>
      <c r="BD5" s="315"/>
      <c r="BE5" s="315"/>
      <c r="BF5" s="317"/>
      <c r="BG5" s="317"/>
      <c r="BH5" s="319"/>
      <c r="BI5" s="319"/>
      <c r="BJ5" s="321"/>
      <c r="BK5" s="321"/>
      <c r="BL5" s="315"/>
      <c r="BM5" s="315"/>
      <c r="BN5" s="317"/>
      <c r="BO5" s="317"/>
      <c r="BP5" s="319"/>
      <c r="BQ5" s="319"/>
      <c r="BR5" s="321"/>
      <c r="BS5" s="321"/>
      <c r="BT5" s="315"/>
      <c r="BU5" s="315"/>
      <c r="BV5" s="317"/>
      <c r="BW5" s="317"/>
      <c r="BX5" s="319"/>
      <c r="BY5" s="319"/>
      <c r="BZ5" s="321"/>
      <c r="CA5" s="321"/>
      <c r="CB5" s="315"/>
      <c r="CC5" s="315"/>
      <c r="CD5" s="317"/>
      <c r="CE5" s="317"/>
      <c r="CF5" s="319"/>
      <c r="CG5" s="319"/>
      <c r="CH5" s="321"/>
      <c r="CI5" s="321"/>
      <c r="CJ5" s="315"/>
      <c r="CK5" s="315"/>
      <c r="CL5" s="317"/>
      <c r="CM5" s="317"/>
      <c r="CN5" s="319"/>
      <c r="CO5" s="319"/>
      <c r="CP5" s="321"/>
      <c r="CQ5" s="321"/>
      <c r="CR5" s="315"/>
      <c r="CS5" s="315"/>
      <c r="CT5" s="347"/>
      <c r="CU5" s="347"/>
      <c r="CV5" s="349"/>
      <c r="CW5" s="349"/>
      <c r="CX5" s="341"/>
      <c r="CY5" s="341"/>
      <c r="CZ5" s="351"/>
      <c r="DA5" s="351"/>
      <c r="DB5" s="347"/>
      <c r="DC5" s="347"/>
      <c r="DD5" s="338"/>
      <c r="DE5" s="339"/>
      <c r="DF5" s="341"/>
      <c r="DG5" s="341"/>
      <c r="DH5" s="344"/>
      <c r="DI5" s="345"/>
      <c r="DJ5" s="334"/>
      <c r="DK5" s="335"/>
      <c r="DL5" s="368"/>
      <c r="DM5" s="368"/>
      <c r="DN5" s="354"/>
      <c r="DO5" s="354"/>
      <c r="DP5" s="357"/>
      <c r="DQ5" s="357"/>
      <c r="DR5" s="366"/>
      <c r="DS5" s="366"/>
      <c r="DT5" s="353"/>
      <c r="DU5" s="353"/>
      <c r="DV5" s="355"/>
      <c r="DW5" s="355"/>
      <c r="DX5" s="357"/>
      <c r="DY5" s="357"/>
      <c r="DZ5" s="366"/>
      <c r="EA5" s="366"/>
      <c r="EB5" s="353"/>
      <c r="EC5" s="353"/>
      <c r="ED5" s="370"/>
      <c r="EE5" s="370"/>
      <c r="EF5" s="357"/>
      <c r="EG5" s="357"/>
      <c r="EH5" s="366"/>
      <c r="EI5" s="366"/>
      <c r="EJ5" s="353"/>
      <c r="EK5" s="353"/>
      <c r="EL5" s="355"/>
      <c r="EM5" s="355"/>
      <c r="EN5" s="357"/>
      <c r="EO5" s="357"/>
      <c r="EP5" s="358"/>
      <c r="EQ5" s="358"/>
      <c r="ER5" s="358"/>
      <c r="ES5" s="359"/>
      <c r="ET5" s="360"/>
      <c r="EU5" s="361"/>
      <c r="EV5" s="362"/>
    </row>
    <row r="6" spans="1:153" s="49" customFormat="1" ht="58.5" customHeight="1" x14ac:dyDescent="0.25">
      <c r="A6" s="144" t="s">
        <v>312</v>
      </c>
      <c r="B6" s="144" t="s">
        <v>2</v>
      </c>
      <c r="C6" s="199" t="s">
        <v>3</v>
      </c>
      <c r="D6" s="145" t="s">
        <v>4</v>
      </c>
      <c r="E6" s="145" t="s">
        <v>313</v>
      </c>
      <c r="F6" s="188" t="s">
        <v>314</v>
      </c>
      <c r="G6" s="188" t="s">
        <v>462</v>
      </c>
      <c r="H6" s="188" t="s">
        <v>314</v>
      </c>
      <c r="I6" s="188" t="s">
        <v>462</v>
      </c>
      <c r="J6" s="188" t="s">
        <v>314</v>
      </c>
      <c r="K6" s="188" t="s">
        <v>462</v>
      </c>
      <c r="L6" s="188" t="s">
        <v>314</v>
      </c>
      <c r="M6" s="188" t="s">
        <v>462</v>
      </c>
      <c r="N6" s="188" t="s">
        <v>314</v>
      </c>
      <c r="O6" s="188" t="s">
        <v>462</v>
      </c>
      <c r="P6" s="188" t="s">
        <v>314</v>
      </c>
      <c r="Q6" s="188" t="s">
        <v>462</v>
      </c>
      <c r="R6" s="188" t="s">
        <v>314</v>
      </c>
      <c r="S6" s="188" t="s">
        <v>462</v>
      </c>
      <c r="T6" s="188" t="s">
        <v>314</v>
      </c>
      <c r="U6" s="188" t="s">
        <v>462</v>
      </c>
      <c r="V6" s="188" t="s">
        <v>314</v>
      </c>
      <c r="W6" s="188" t="s">
        <v>462</v>
      </c>
      <c r="X6" s="188" t="s">
        <v>314</v>
      </c>
      <c r="Y6" s="188" t="s">
        <v>462</v>
      </c>
      <c r="Z6" s="188" t="s">
        <v>314</v>
      </c>
      <c r="AA6" s="188" t="s">
        <v>462</v>
      </c>
      <c r="AB6" s="188" t="s">
        <v>314</v>
      </c>
      <c r="AC6" s="188" t="s">
        <v>462</v>
      </c>
      <c r="AD6" s="188" t="s">
        <v>314</v>
      </c>
      <c r="AE6" s="188" t="s">
        <v>462</v>
      </c>
      <c r="AF6" s="188" t="s">
        <v>314</v>
      </c>
      <c r="AG6" s="188" t="s">
        <v>462</v>
      </c>
      <c r="AH6" s="188" t="s">
        <v>314</v>
      </c>
      <c r="AI6" s="188" t="s">
        <v>462</v>
      </c>
      <c r="AJ6" s="188" t="s">
        <v>314</v>
      </c>
      <c r="AK6" s="188" t="s">
        <v>462</v>
      </c>
      <c r="AL6" s="188" t="s">
        <v>314</v>
      </c>
      <c r="AM6" s="188" t="s">
        <v>462</v>
      </c>
      <c r="AN6" s="188" t="s">
        <v>314</v>
      </c>
      <c r="AO6" s="188" t="s">
        <v>462</v>
      </c>
      <c r="AP6" s="188" t="s">
        <v>314</v>
      </c>
      <c r="AQ6" s="188" t="s">
        <v>462</v>
      </c>
      <c r="AR6" s="188" t="s">
        <v>314</v>
      </c>
      <c r="AS6" s="188" t="s">
        <v>462</v>
      </c>
      <c r="AT6" s="188" t="s">
        <v>314</v>
      </c>
      <c r="AU6" s="188" t="s">
        <v>462</v>
      </c>
      <c r="AV6" s="188" t="s">
        <v>314</v>
      </c>
      <c r="AW6" s="188" t="s">
        <v>462</v>
      </c>
      <c r="AX6" s="188" t="s">
        <v>314</v>
      </c>
      <c r="AY6" s="188" t="s">
        <v>462</v>
      </c>
      <c r="AZ6" s="188" t="s">
        <v>314</v>
      </c>
      <c r="BA6" s="188" t="s">
        <v>462</v>
      </c>
      <c r="BB6" s="188" t="s">
        <v>314</v>
      </c>
      <c r="BC6" s="188" t="s">
        <v>462</v>
      </c>
      <c r="BD6" s="188" t="s">
        <v>314</v>
      </c>
      <c r="BE6" s="188" t="s">
        <v>462</v>
      </c>
      <c r="BF6" s="188" t="s">
        <v>314</v>
      </c>
      <c r="BG6" s="188" t="s">
        <v>462</v>
      </c>
      <c r="BH6" s="188" t="s">
        <v>314</v>
      </c>
      <c r="BI6" s="188" t="s">
        <v>462</v>
      </c>
      <c r="BJ6" s="188" t="s">
        <v>314</v>
      </c>
      <c r="BK6" s="188" t="s">
        <v>462</v>
      </c>
      <c r="BL6" s="188" t="s">
        <v>314</v>
      </c>
      <c r="BM6" s="188" t="s">
        <v>462</v>
      </c>
      <c r="BN6" s="188" t="s">
        <v>314</v>
      </c>
      <c r="BO6" s="188" t="s">
        <v>462</v>
      </c>
      <c r="BP6" s="188" t="s">
        <v>314</v>
      </c>
      <c r="BQ6" s="188" t="s">
        <v>462</v>
      </c>
      <c r="BR6" s="188" t="s">
        <v>314</v>
      </c>
      <c r="BS6" s="188" t="s">
        <v>462</v>
      </c>
      <c r="BT6" s="188" t="s">
        <v>314</v>
      </c>
      <c r="BU6" s="188" t="s">
        <v>462</v>
      </c>
      <c r="BV6" s="188" t="s">
        <v>314</v>
      </c>
      <c r="BW6" s="188" t="s">
        <v>462</v>
      </c>
      <c r="BX6" s="188" t="s">
        <v>314</v>
      </c>
      <c r="BY6" s="188" t="s">
        <v>462</v>
      </c>
      <c r="BZ6" s="188" t="s">
        <v>314</v>
      </c>
      <c r="CA6" s="188" t="s">
        <v>462</v>
      </c>
      <c r="CB6" s="188" t="s">
        <v>314</v>
      </c>
      <c r="CC6" s="188" t="s">
        <v>462</v>
      </c>
      <c r="CD6" s="188" t="s">
        <v>314</v>
      </c>
      <c r="CE6" s="188" t="s">
        <v>462</v>
      </c>
      <c r="CF6" s="188" t="s">
        <v>314</v>
      </c>
      <c r="CG6" s="188" t="s">
        <v>462</v>
      </c>
      <c r="CH6" s="188" t="s">
        <v>314</v>
      </c>
      <c r="CI6" s="188" t="s">
        <v>462</v>
      </c>
      <c r="CJ6" s="188" t="s">
        <v>314</v>
      </c>
      <c r="CK6" s="188" t="s">
        <v>462</v>
      </c>
      <c r="CL6" s="188" t="s">
        <v>314</v>
      </c>
      <c r="CM6" s="188" t="s">
        <v>462</v>
      </c>
      <c r="CN6" s="188" t="s">
        <v>314</v>
      </c>
      <c r="CO6" s="188" t="s">
        <v>462</v>
      </c>
      <c r="CP6" s="188" t="s">
        <v>314</v>
      </c>
      <c r="CQ6" s="188" t="s">
        <v>462</v>
      </c>
      <c r="CR6" s="188" t="s">
        <v>314</v>
      </c>
      <c r="CS6" s="188" t="s">
        <v>462</v>
      </c>
      <c r="CT6" s="188" t="s">
        <v>314</v>
      </c>
      <c r="CU6" s="188" t="s">
        <v>462</v>
      </c>
      <c r="CV6" s="188" t="s">
        <v>314</v>
      </c>
      <c r="CW6" s="188" t="s">
        <v>462</v>
      </c>
      <c r="CX6" s="188" t="s">
        <v>314</v>
      </c>
      <c r="CY6" s="188" t="s">
        <v>462</v>
      </c>
      <c r="CZ6" s="188" t="s">
        <v>314</v>
      </c>
      <c r="DA6" s="188" t="s">
        <v>462</v>
      </c>
      <c r="DB6" s="188" t="s">
        <v>314</v>
      </c>
      <c r="DC6" s="188" t="s">
        <v>462</v>
      </c>
      <c r="DD6" s="188" t="s">
        <v>314</v>
      </c>
      <c r="DE6" s="188" t="s">
        <v>462</v>
      </c>
      <c r="DF6" s="188" t="s">
        <v>314</v>
      </c>
      <c r="DG6" s="188" t="s">
        <v>462</v>
      </c>
      <c r="DH6" s="188" t="s">
        <v>314</v>
      </c>
      <c r="DI6" s="188" t="s">
        <v>462</v>
      </c>
      <c r="DJ6" s="188" t="s">
        <v>314</v>
      </c>
      <c r="DK6" s="188" t="s">
        <v>462</v>
      </c>
      <c r="DL6" s="188" t="s">
        <v>314</v>
      </c>
      <c r="DM6" s="188" t="s">
        <v>462</v>
      </c>
      <c r="DN6" s="188" t="s">
        <v>314</v>
      </c>
      <c r="DO6" s="189" t="s">
        <v>462</v>
      </c>
      <c r="DP6" s="188" t="s">
        <v>314</v>
      </c>
      <c r="DQ6" s="189" t="s">
        <v>462</v>
      </c>
      <c r="DR6" s="188" t="s">
        <v>314</v>
      </c>
      <c r="DS6" s="189" t="s">
        <v>462</v>
      </c>
      <c r="DT6" s="188" t="s">
        <v>314</v>
      </c>
      <c r="DU6" s="189" t="s">
        <v>462</v>
      </c>
      <c r="DV6" s="188" t="s">
        <v>314</v>
      </c>
      <c r="DW6" s="189" t="s">
        <v>462</v>
      </c>
      <c r="DX6" s="188" t="s">
        <v>314</v>
      </c>
      <c r="DY6" s="189" t="s">
        <v>462</v>
      </c>
      <c r="DZ6" s="188" t="s">
        <v>314</v>
      </c>
      <c r="EA6" s="189" t="s">
        <v>462</v>
      </c>
      <c r="EB6" s="188" t="s">
        <v>314</v>
      </c>
      <c r="EC6" s="189" t="s">
        <v>462</v>
      </c>
      <c r="ED6" s="188" t="s">
        <v>314</v>
      </c>
      <c r="EE6" s="189" t="s">
        <v>462</v>
      </c>
      <c r="EF6" s="188" t="s">
        <v>314</v>
      </c>
      <c r="EG6" s="189" t="s">
        <v>462</v>
      </c>
      <c r="EH6" s="188" t="s">
        <v>314</v>
      </c>
      <c r="EI6" s="189" t="s">
        <v>462</v>
      </c>
      <c r="EJ6" s="188" t="s">
        <v>314</v>
      </c>
      <c r="EK6" s="189" t="s">
        <v>462</v>
      </c>
      <c r="EL6" s="188" t="s">
        <v>314</v>
      </c>
      <c r="EM6" s="189" t="s">
        <v>462</v>
      </c>
      <c r="EN6" s="188" t="s">
        <v>314</v>
      </c>
      <c r="EO6" s="189" t="s">
        <v>462</v>
      </c>
      <c r="EP6" s="187" t="s">
        <v>463</v>
      </c>
      <c r="EQ6" s="187" t="s">
        <v>9</v>
      </c>
      <c r="ER6" s="187" t="s">
        <v>10</v>
      </c>
      <c r="ES6" s="190" t="s">
        <v>315</v>
      </c>
      <c r="ET6" s="191" t="s">
        <v>316</v>
      </c>
      <c r="EU6" s="191" t="s">
        <v>11</v>
      </c>
      <c r="EV6" s="191" t="s">
        <v>12</v>
      </c>
    </row>
    <row r="7" spans="1:153" s="49" customFormat="1" ht="75.75" customHeight="1" x14ac:dyDescent="0.25">
      <c r="A7" s="65">
        <v>1</v>
      </c>
      <c r="B7" s="200" t="s">
        <v>464</v>
      </c>
      <c r="C7" s="66" t="s">
        <v>465</v>
      </c>
      <c r="D7" s="67" t="s">
        <v>466</v>
      </c>
      <c r="E7" s="68">
        <v>100</v>
      </c>
      <c r="F7" s="146">
        <v>585000</v>
      </c>
      <c r="G7" s="146">
        <f>+F7*E7</f>
        <v>58500000</v>
      </c>
      <c r="H7" s="146"/>
      <c r="I7" s="146"/>
      <c r="J7" s="146"/>
      <c r="K7" s="146"/>
      <c r="L7" s="53"/>
      <c r="M7" s="53"/>
      <c r="N7" s="53"/>
      <c r="O7" s="53"/>
      <c r="P7" s="53"/>
      <c r="Q7" s="53"/>
      <c r="R7" s="53"/>
      <c r="S7" s="53"/>
      <c r="T7" s="53"/>
      <c r="U7" s="53"/>
      <c r="V7" s="53"/>
      <c r="W7" s="53"/>
      <c r="X7" s="53"/>
      <c r="Y7" s="53"/>
      <c r="Z7" s="53"/>
      <c r="AA7" s="53"/>
      <c r="AB7" s="53"/>
      <c r="AC7" s="53"/>
      <c r="AD7" s="146"/>
      <c r="AE7" s="53"/>
      <c r="AF7" s="53"/>
      <c r="AG7" s="53"/>
      <c r="AH7" s="53"/>
      <c r="AI7" s="53"/>
      <c r="AJ7" s="53"/>
      <c r="AK7" s="53"/>
      <c r="AL7" s="53">
        <v>262100</v>
      </c>
      <c r="AM7" s="53">
        <f>+AL7*E7</f>
        <v>26210000</v>
      </c>
      <c r="AN7" s="53">
        <v>213000</v>
      </c>
      <c r="AO7" s="53">
        <f>+AN7*E7</f>
        <v>21300000</v>
      </c>
      <c r="AP7" s="53"/>
      <c r="AQ7" s="53"/>
      <c r="AR7" s="53"/>
      <c r="AS7" s="53"/>
      <c r="AT7" s="53"/>
      <c r="AU7" s="53"/>
      <c r="AV7" s="53"/>
      <c r="AW7" s="53"/>
      <c r="AX7" s="53"/>
      <c r="AY7" s="53"/>
      <c r="AZ7" s="53"/>
      <c r="BA7" s="53"/>
      <c r="BB7" s="53"/>
      <c r="BC7" s="53"/>
      <c r="BD7" s="53"/>
      <c r="BE7" s="53"/>
      <c r="BF7" s="53"/>
      <c r="BG7" s="53"/>
      <c r="BH7" s="53"/>
      <c r="BI7" s="53"/>
      <c r="BJ7" s="53"/>
      <c r="BK7" s="53"/>
      <c r="BL7" s="53"/>
      <c r="BM7" s="53"/>
      <c r="BN7" s="53"/>
      <c r="BO7" s="53"/>
      <c r="BP7" s="53"/>
      <c r="BQ7" s="53"/>
      <c r="BR7" s="53">
        <v>52600</v>
      </c>
      <c r="BS7" s="53">
        <f>+BR7*E7</f>
        <v>5260000</v>
      </c>
      <c r="BT7" s="53">
        <v>97000</v>
      </c>
      <c r="BU7" s="53">
        <f>+BT7*E7</f>
        <v>9700000</v>
      </c>
      <c r="BV7" s="53"/>
      <c r="BW7" s="53"/>
      <c r="BX7" s="53"/>
      <c r="BY7" s="53"/>
      <c r="BZ7" s="53"/>
      <c r="CA7" s="53"/>
      <c r="CB7" s="53"/>
      <c r="CC7" s="53"/>
      <c r="CD7" s="53"/>
      <c r="CE7" s="53"/>
      <c r="CF7" s="53"/>
      <c r="CG7" s="53"/>
      <c r="CH7" s="53"/>
      <c r="CI7" s="53"/>
      <c r="CJ7" s="53"/>
      <c r="CK7" s="53"/>
      <c r="CL7" s="53"/>
      <c r="CM7" s="53"/>
      <c r="CN7" s="53"/>
      <c r="CO7" s="53"/>
      <c r="CP7" s="53"/>
      <c r="CQ7" s="53"/>
      <c r="CR7" s="53"/>
      <c r="CS7" s="53"/>
      <c r="CT7" s="53"/>
      <c r="CU7" s="53"/>
      <c r="CV7" s="53"/>
      <c r="CW7" s="53"/>
      <c r="CX7" s="53"/>
      <c r="CY7" s="53"/>
      <c r="CZ7" s="53"/>
      <c r="DA7" s="53"/>
      <c r="DB7" s="53"/>
      <c r="DC7" s="53"/>
      <c r="DD7" s="53"/>
      <c r="DE7" s="53"/>
      <c r="DF7" s="53"/>
      <c r="DG7" s="53"/>
      <c r="DH7" s="53"/>
      <c r="DI7" s="53"/>
      <c r="DJ7" s="53"/>
      <c r="DK7" s="53"/>
      <c r="DL7" s="53"/>
      <c r="DM7" s="53"/>
      <c r="DN7" s="53"/>
      <c r="DO7" s="53"/>
      <c r="DP7" s="46"/>
      <c r="DQ7" s="46"/>
      <c r="DR7" s="46"/>
      <c r="DS7" s="46"/>
      <c r="DT7" s="46"/>
      <c r="DU7" s="46"/>
      <c r="DV7" s="46"/>
      <c r="DW7" s="46"/>
      <c r="DX7" s="46"/>
      <c r="DY7" s="46"/>
      <c r="DZ7" s="46"/>
      <c r="EA7" s="46"/>
      <c r="EB7" s="46"/>
      <c r="EC7" s="46"/>
      <c r="ED7" s="46"/>
      <c r="EE7" s="46"/>
      <c r="EF7" s="46"/>
      <c r="EG7" s="46"/>
      <c r="EH7" s="46"/>
      <c r="EI7" s="46"/>
      <c r="EJ7" s="46">
        <v>552000</v>
      </c>
      <c r="EK7" s="46">
        <f>+EJ7*E7</f>
        <v>55200000</v>
      </c>
      <c r="EL7" s="46"/>
      <c r="EM7" s="46"/>
      <c r="EN7" s="46"/>
      <c r="EO7" s="46"/>
      <c r="EP7" s="147">
        <f>MEDIAN(F7,EJ7)</f>
        <v>568500</v>
      </c>
      <c r="EQ7" s="147">
        <f>AVERAGE(F7,EJ7)</f>
        <v>568500</v>
      </c>
      <c r="ER7" s="148">
        <f>STDEV(F7,EJ7)</f>
        <v>23334.523779156068</v>
      </c>
      <c r="ES7" s="149">
        <f>ER7/EQ7</f>
        <v>4.1045776216633363E-2</v>
      </c>
      <c r="ET7" s="150">
        <f>ROUNDUP(IF(ES7&lt;15%,EQ7,EP7),0)</f>
        <v>568500</v>
      </c>
      <c r="EU7" s="150">
        <f t="shared" ref="EU7:EU16" si="0">+ET7*E7</f>
        <v>56850000</v>
      </c>
      <c r="EV7" s="148" t="s">
        <v>319</v>
      </c>
      <c r="EW7" s="192"/>
    </row>
    <row r="8" spans="1:153" s="49" customFormat="1" ht="75.75" customHeight="1" x14ac:dyDescent="0.25">
      <c r="A8" s="65">
        <v>2</v>
      </c>
      <c r="B8" s="200" t="s">
        <v>467</v>
      </c>
      <c r="C8" s="66" t="s">
        <v>468</v>
      </c>
      <c r="D8" s="67" t="s">
        <v>466</v>
      </c>
      <c r="E8" s="68">
        <v>550</v>
      </c>
      <c r="F8" s="146"/>
      <c r="G8" s="146"/>
      <c r="H8" s="146"/>
      <c r="I8" s="146"/>
      <c r="J8" s="146"/>
      <c r="K8" s="146"/>
      <c r="L8" s="53"/>
      <c r="M8" s="53"/>
      <c r="N8" s="53"/>
      <c r="O8" s="53"/>
      <c r="P8" s="53"/>
      <c r="Q8" s="53"/>
      <c r="R8" s="53"/>
      <c r="S8" s="53"/>
      <c r="T8" s="53"/>
      <c r="U8" s="53"/>
      <c r="V8" s="53"/>
      <c r="W8" s="53"/>
      <c r="X8" s="53"/>
      <c r="Y8" s="53"/>
      <c r="Z8" s="53"/>
      <c r="AA8" s="53"/>
      <c r="AB8" s="53"/>
      <c r="AC8" s="53"/>
      <c r="AD8" s="146"/>
      <c r="AE8" s="53"/>
      <c r="AF8" s="53"/>
      <c r="AG8" s="53"/>
      <c r="AH8" s="53"/>
      <c r="AI8" s="53"/>
      <c r="AJ8" s="53"/>
      <c r="AK8" s="53"/>
      <c r="AL8" s="53"/>
      <c r="AM8" s="53"/>
      <c r="AN8" s="53"/>
      <c r="AO8" s="53"/>
      <c r="AP8" s="53"/>
      <c r="AQ8" s="53"/>
      <c r="AR8" s="53"/>
      <c r="AS8" s="53"/>
      <c r="AT8" s="53"/>
      <c r="AU8" s="53"/>
      <c r="AV8" s="53">
        <v>104860</v>
      </c>
      <c r="AW8" s="53">
        <f t="shared" ref="AW8:AW15" si="1">+AV8*E8</f>
        <v>57673000</v>
      </c>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c r="DC8" s="53"/>
      <c r="DD8" s="53"/>
      <c r="DE8" s="53"/>
      <c r="DF8" s="53"/>
      <c r="DG8" s="53"/>
      <c r="DH8" s="53"/>
      <c r="DI8" s="53"/>
      <c r="DJ8" s="53"/>
      <c r="DK8" s="53"/>
      <c r="DL8" s="53"/>
      <c r="DM8" s="53"/>
      <c r="DN8" s="53"/>
      <c r="DO8" s="53"/>
      <c r="DP8" s="46"/>
      <c r="DQ8" s="46"/>
      <c r="DR8" s="46"/>
      <c r="DS8" s="46"/>
      <c r="DT8" s="46"/>
      <c r="DU8" s="46"/>
      <c r="DV8" s="46"/>
      <c r="DW8" s="46"/>
      <c r="DX8" s="46"/>
      <c r="DY8" s="46"/>
      <c r="DZ8" s="46"/>
      <c r="EA8" s="46"/>
      <c r="EB8" s="46"/>
      <c r="EC8" s="46"/>
      <c r="ED8" s="46"/>
      <c r="EE8" s="46"/>
      <c r="EF8" s="46"/>
      <c r="EG8" s="46"/>
      <c r="EH8" s="46">
        <v>104860</v>
      </c>
      <c r="EI8" s="46">
        <f>+EH8*E8</f>
        <v>57673000</v>
      </c>
      <c r="EJ8" s="46"/>
      <c r="EK8" s="46"/>
      <c r="EL8" s="46"/>
      <c r="EM8" s="46"/>
      <c r="EN8" s="46"/>
      <c r="EO8" s="46"/>
      <c r="EP8" s="147">
        <f>MEDIAN(AV8,EH8)</f>
        <v>104860</v>
      </c>
      <c r="EQ8" s="147">
        <f>AVERAGE(AV8,EH8)</f>
        <v>104860</v>
      </c>
      <c r="ER8" s="148">
        <f>STDEV(AV8,EH8)</f>
        <v>0</v>
      </c>
      <c r="ES8" s="149">
        <f t="shared" ref="ES8:ES10" si="2">ER8/EQ8</f>
        <v>0</v>
      </c>
      <c r="ET8" s="150">
        <f t="shared" ref="ET8:ET10" si="3">ROUNDUP(IF(ES8&lt;15%,EQ8,EP8),0)</f>
        <v>104860</v>
      </c>
      <c r="EU8" s="150">
        <f t="shared" si="0"/>
        <v>57673000</v>
      </c>
      <c r="EV8" s="148" t="s">
        <v>319</v>
      </c>
      <c r="EW8" s="192"/>
    </row>
    <row r="9" spans="1:153" s="49" customFormat="1" ht="75.75" customHeight="1" x14ac:dyDescent="0.25">
      <c r="A9" s="65">
        <v>3</v>
      </c>
      <c r="B9" s="200" t="s">
        <v>469</v>
      </c>
      <c r="C9" s="66" t="s">
        <v>470</v>
      </c>
      <c r="D9" s="67" t="s">
        <v>466</v>
      </c>
      <c r="E9" s="68">
        <v>550</v>
      </c>
      <c r="F9" s="146"/>
      <c r="G9" s="146"/>
      <c r="H9" s="146"/>
      <c r="I9" s="146"/>
      <c r="J9" s="146"/>
      <c r="K9" s="146"/>
      <c r="L9" s="53"/>
      <c r="M9" s="53"/>
      <c r="N9" s="53"/>
      <c r="O9" s="53"/>
      <c r="P9" s="53"/>
      <c r="Q9" s="53"/>
      <c r="R9" s="53"/>
      <c r="S9" s="53"/>
      <c r="T9" s="53"/>
      <c r="U9" s="53"/>
      <c r="V9" s="53"/>
      <c r="W9" s="53"/>
      <c r="X9" s="53"/>
      <c r="Y9" s="53"/>
      <c r="Z9" s="53"/>
      <c r="AA9" s="53"/>
      <c r="AB9" s="53"/>
      <c r="AC9" s="53"/>
      <c r="AD9" s="146"/>
      <c r="AE9" s="53"/>
      <c r="AF9" s="53"/>
      <c r="AG9" s="53"/>
      <c r="AH9" s="53"/>
      <c r="AI9" s="53"/>
      <c r="AJ9" s="53"/>
      <c r="AK9" s="53"/>
      <c r="AL9" s="53"/>
      <c r="AM9" s="53"/>
      <c r="AN9" s="53"/>
      <c r="AO9" s="53"/>
      <c r="AP9" s="53"/>
      <c r="AQ9" s="53"/>
      <c r="AR9" s="53"/>
      <c r="AS9" s="53"/>
      <c r="AT9" s="53"/>
      <c r="AU9" s="53"/>
      <c r="AV9" s="53">
        <v>30495</v>
      </c>
      <c r="AW9" s="53">
        <f t="shared" si="1"/>
        <v>16772250</v>
      </c>
      <c r="AX9" s="53"/>
      <c r="AY9" s="53"/>
      <c r="AZ9" s="53"/>
      <c r="BA9" s="53"/>
      <c r="BB9" s="53"/>
      <c r="BC9" s="53"/>
      <c r="BD9" s="53"/>
      <c r="BE9" s="53"/>
      <c r="BF9" s="53"/>
      <c r="BG9" s="53"/>
      <c r="BH9" s="53"/>
      <c r="BI9" s="53"/>
      <c r="BJ9" s="53"/>
      <c r="BK9" s="53"/>
      <c r="BL9" s="53"/>
      <c r="BM9" s="53"/>
      <c r="BN9" s="53"/>
      <c r="BO9" s="53"/>
      <c r="BP9" s="53"/>
      <c r="BQ9" s="53"/>
      <c r="BR9" s="53"/>
      <c r="BS9" s="53"/>
      <c r="BT9" s="53"/>
      <c r="BU9" s="53"/>
      <c r="BV9" s="53"/>
      <c r="BW9" s="53"/>
      <c r="BX9" s="53"/>
      <c r="BY9" s="53"/>
      <c r="BZ9" s="53"/>
      <c r="CA9" s="53"/>
      <c r="CB9" s="53"/>
      <c r="CC9" s="53"/>
      <c r="CD9" s="53"/>
      <c r="CE9" s="53"/>
      <c r="CF9" s="53"/>
      <c r="CG9" s="53"/>
      <c r="CH9" s="53"/>
      <c r="CI9" s="53"/>
      <c r="CJ9" s="53"/>
      <c r="CK9" s="53"/>
      <c r="CL9" s="53"/>
      <c r="CM9" s="53"/>
      <c r="CN9" s="53"/>
      <c r="CO9" s="53"/>
      <c r="CP9" s="53"/>
      <c r="CQ9" s="53"/>
      <c r="CR9" s="53"/>
      <c r="CS9" s="53"/>
      <c r="CT9" s="53"/>
      <c r="CU9" s="53"/>
      <c r="CV9" s="53"/>
      <c r="CW9" s="53"/>
      <c r="CX9" s="53"/>
      <c r="CY9" s="53"/>
      <c r="CZ9" s="53"/>
      <c r="DA9" s="53"/>
      <c r="DB9" s="53"/>
      <c r="DC9" s="53"/>
      <c r="DD9" s="53"/>
      <c r="DE9" s="53"/>
      <c r="DF9" s="53"/>
      <c r="DG9" s="53"/>
      <c r="DH9" s="53"/>
      <c r="DI9" s="53"/>
      <c r="DJ9" s="53"/>
      <c r="DK9" s="53"/>
      <c r="DL9" s="53"/>
      <c r="DM9" s="53"/>
      <c r="DN9" s="53"/>
      <c r="DO9" s="53"/>
      <c r="DP9" s="46"/>
      <c r="DQ9" s="46"/>
      <c r="DR9" s="46"/>
      <c r="DS9" s="46"/>
      <c r="DT9" s="46"/>
      <c r="DU9" s="46"/>
      <c r="DV9" s="46"/>
      <c r="DW9" s="46"/>
      <c r="DX9" s="46"/>
      <c r="DY9" s="46"/>
      <c r="DZ9" s="46"/>
      <c r="EA9" s="46"/>
      <c r="EB9" s="46"/>
      <c r="EC9" s="46"/>
      <c r="ED9" s="46"/>
      <c r="EE9" s="46"/>
      <c r="EF9" s="46"/>
      <c r="EG9" s="46"/>
      <c r="EH9" s="46">
        <v>30495</v>
      </c>
      <c r="EI9" s="46">
        <f>+EH9*E9</f>
        <v>16772250</v>
      </c>
      <c r="EJ9" s="46"/>
      <c r="EK9" s="46"/>
      <c r="EL9" s="46"/>
      <c r="EM9" s="46"/>
      <c r="EN9" s="46"/>
      <c r="EO9" s="46"/>
      <c r="EP9" s="147">
        <f>MEDIAN(AV9,EH9)</f>
        <v>30495</v>
      </c>
      <c r="EQ9" s="147">
        <f>AVERAGE(AV9,EH9)</f>
        <v>30495</v>
      </c>
      <c r="ER9" s="148">
        <f>STDEV(AV9,EH9)</f>
        <v>0</v>
      </c>
      <c r="ES9" s="149">
        <f t="shared" si="2"/>
        <v>0</v>
      </c>
      <c r="ET9" s="150">
        <f t="shared" si="3"/>
        <v>30495</v>
      </c>
      <c r="EU9" s="150">
        <f t="shared" si="0"/>
        <v>16772250</v>
      </c>
      <c r="EV9" s="148" t="s">
        <v>319</v>
      </c>
      <c r="EW9" s="192"/>
    </row>
    <row r="10" spans="1:153" s="49" customFormat="1" ht="75.75" customHeight="1" x14ac:dyDescent="0.25">
      <c r="A10" s="65">
        <v>4</v>
      </c>
      <c r="B10" s="67" t="s">
        <v>471</v>
      </c>
      <c r="C10" s="69" t="s">
        <v>472</v>
      </c>
      <c r="D10" s="67" t="s">
        <v>466</v>
      </c>
      <c r="E10" s="68">
        <v>550</v>
      </c>
      <c r="F10" s="146"/>
      <c r="G10" s="146"/>
      <c r="H10" s="146"/>
      <c r="I10" s="146"/>
      <c r="J10" s="146"/>
      <c r="K10" s="146"/>
      <c r="L10" s="53"/>
      <c r="M10" s="53"/>
      <c r="N10" s="53"/>
      <c r="O10" s="53"/>
      <c r="P10" s="53"/>
      <c r="Q10" s="53"/>
      <c r="R10" s="53"/>
      <c r="S10" s="53"/>
      <c r="T10" s="53"/>
      <c r="U10" s="53"/>
      <c r="V10" s="53"/>
      <c r="W10" s="53"/>
      <c r="X10" s="53"/>
      <c r="Y10" s="53"/>
      <c r="Z10" s="53"/>
      <c r="AA10" s="53"/>
      <c r="AB10" s="53"/>
      <c r="AC10" s="53"/>
      <c r="AD10" s="146"/>
      <c r="AE10" s="53"/>
      <c r="AF10" s="53"/>
      <c r="AG10" s="53"/>
      <c r="AH10" s="53"/>
      <c r="AI10" s="53"/>
      <c r="AJ10" s="53"/>
      <c r="AK10" s="53"/>
      <c r="AL10" s="53"/>
      <c r="AM10" s="53"/>
      <c r="AN10" s="53"/>
      <c r="AO10" s="53"/>
      <c r="AP10" s="53"/>
      <c r="AQ10" s="53"/>
      <c r="AR10" s="53"/>
      <c r="AS10" s="53"/>
      <c r="AT10" s="53"/>
      <c r="AU10" s="53"/>
      <c r="AV10" s="53">
        <v>22470</v>
      </c>
      <c r="AW10" s="53">
        <f t="shared" si="1"/>
        <v>12358500</v>
      </c>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46"/>
      <c r="DQ10" s="46"/>
      <c r="DR10" s="46"/>
      <c r="DS10" s="46"/>
      <c r="DT10" s="46"/>
      <c r="DU10" s="46"/>
      <c r="DV10" s="46"/>
      <c r="DW10" s="46"/>
      <c r="DX10" s="46"/>
      <c r="DY10" s="46"/>
      <c r="DZ10" s="46"/>
      <c r="EA10" s="46"/>
      <c r="EB10" s="46"/>
      <c r="EC10" s="46"/>
      <c r="ED10" s="46"/>
      <c r="EE10" s="46"/>
      <c r="EF10" s="46"/>
      <c r="EG10" s="46"/>
      <c r="EH10" s="46">
        <v>22470</v>
      </c>
      <c r="EI10" s="46">
        <f>+EH10*E10</f>
        <v>12358500</v>
      </c>
      <c r="EJ10" s="46"/>
      <c r="EK10" s="46"/>
      <c r="EL10" s="46"/>
      <c r="EM10" s="46"/>
      <c r="EN10" s="46"/>
      <c r="EO10" s="46"/>
      <c r="EP10" s="147">
        <f>MEDIAN(AV10,EH10)</f>
        <v>22470</v>
      </c>
      <c r="EQ10" s="147">
        <f>AVERAGE(AV10,EH10)</f>
        <v>22470</v>
      </c>
      <c r="ER10" s="148">
        <f>STDEV(AV10,EH10)</f>
        <v>0</v>
      </c>
      <c r="ES10" s="149">
        <f t="shared" si="2"/>
        <v>0</v>
      </c>
      <c r="ET10" s="150">
        <f t="shared" si="3"/>
        <v>22470</v>
      </c>
      <c r="EU10" s="150">
        <f t="shared" si="0"/>
        <v>12358500</v>
      </c>
      <c r="EV10" s="148" t="s">
        <v>319</v>
      </c>
      <c r="EW10" s="192"/>
    </row>
    <row r="11" spans="1:153" s="49" customFormat="1" ht="71.25" customHeight="1" x14ac:dyDescent="0.25">
      <c r="A11" s="65">
        <v>5</v>
      </c>
      <c r="B11" s="200" t="s">
        <v>473</v>
      </c>
      <c r="C11" s="66" t="s">
        <v>474</v>
      </c>
      <c r="D11" s="67" t="s">
        <v>466</v>
      </c>
      <c r="E11" s="68">
        <v>550</v>
      </c>
      <c r="F11" s="146"/>
      <c r="G11" s="146"/>
      <c r="H11" s="146"/>
      <c r="I11" s="146"/>
      <c r="J11" s="146"/>
      <c r="K11" s="146"/>
      <c r="L11" s="53"/>
      <c r="M11" s="53"/>
      <c r="N11" s="53"/>
      <c r="O11" s="53"/>
      <c r="P11" s="53"/>
      <c r="Q11" s="53"/>
      <c r="R11" s="53"/>
      <c r="S11" s="53"/>
      <c r="T11" s="53"/>
      <c r="U11" s="53"/>
      <c r="V11" s="53"/>
      <c r="W11" s="53"/>
      <c r="X11" s="53"/>
      <c r="Y11" s="53"/>
      <c r="Z11" s="53"/>
      <c r="AA11" s="53"/>
      <c r="AB11" s="53"/>
      <c r="AC11" s="53"/>
      <c r="AD11" s="146">
        <v>182546</v>
      </c>
      <c r="AE11" s="53">
        <f>+AD11*E11</f>
        <v>100400300</v>
      </c>
      <c r="AF11" s="53"/>
      <c r="AG11" s="53"/>
      <c r="AH11" s="53">
        <v>148000</v>
      </c>
      <c r="AI11" s="53">
        <f>+AH11*E11</f>
        <v>81400000</v>
      </c>
      <c r="AJ11" s="53"/>
      <c r="AK11" s="53"/>
      <c r="AL11" s="53"/>
      <c r="AM11" s="53"/>
      <c r="AN11" s="53"/>
      <c r="AO11" s="53"/>
      <c r="AP11" s="53"/>
      <c r="AQ11" s="53"/>
      <c r="AR11" s="53"/>
      <c r="AS11" s="53"/>
      <c r="AT11" s="53"/>
      <c r="AU11" s="53"/>
      <c r="AV11" s="53">
        <v>154700</v>
      </c>
      <c r="AW11" s="53">
        <f t="shared" si="1"/>
        <v>85085000</v>
      </c>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130">
        <f>MEDIAN(AD11,AH11)</f>
        <v>165273</v>
      </c>
      <c r="EQ11" s="130">
        <f>AVERAGE(AD11,AH11)</f>
        <v>165273</v>
      </c>
      <c r="ER11" s="131">
        <f>STDEV(AD11,AH11)</f>
        <v>24427.71086287047</v>
      </c>
      <c r="ES11" s="132">
        <f>ER11/EQ11</f>
        <v>0.14780218706546422</v>
      </c>
      <c r="ET11" s="151">
        <f>ROUNDUP(IF(ES11&lt;15%,EQ11,EP11),0)</f>
        <v>165273</v>
      </c>
      <c r="EU11" s="150">
        <f t="shared" si="0"/>
        <v>90900150</v>
      </c>
      <c r="EV11" s="148" t="s">
        <v>319</v>
      </c>
      <c r="EW11" s="192"/>
    </row>
    <row r="12" spans="1:153" s="49" customFormat="1" ht="102.75" customHeight="1" x14ac:dyDescent="0.25">
      <c r="A12" s="65">
        <v>6</v>
      </c>
      <c r="B12" s="200" t="s">
        <v>475</v>
      </c>
      <c r="C12" s="66" t="s">
        <v>476</v>
      </c>
      <c r="D12" s="67" t="s">
        <v>466</v>
      </c>
      <c r="E12" s="68">
        <v>550</v>
      </c>
      <c r="F12" s="146"/>
      <c r="G12" s="146"/>
      <c r="H12" s="146"/>
      <c r="I12" s="146"/>
      <c r="J12" s="146"/>
      <c r="K12" s="146"/>
      <c r="L12" s="53"/>
      <c r="M12" s="53"/>
      <c r="N12" s="53"/>
      <c r="O12" s="53"/>
      <c r="P12" s="53"/>
      <c r="Q12" s="53"/>
      <c r="R12" s="53"/>
      <c r="S12" s="53"/>
      <c r="T12" s="53"/>
      <c r="U12" s="53"/>
      <c r="V12" s="53"/>
      <c r="W12" s="53"/>
      <c r="X12" s="53"/>
      <c r="Y12" s="53"/>
      <c r="Z12" s="53"/>
      <c r="AA12" s="53"/>
      <c r="AB12" s="53"/>
      <c r="AC12" s="53"/>
      <c r="AD12" s="146">
        <v>67401.599999999991</v>
      </c>
      <c r="AE12" s="53">
        <f t="shared" ref="AE12:AE22" si="4">+AD12*E12</f>
        <v>37070879.999999993</v>
      </c>
      <c r="AF12" s="53"/>
      <c r="AG12" s="53"/>
      <c r="AH12" s="53">
        <v>72000</v>
      </c>
      <c r="AI12" s="53">
        <f t="shared" ref="AI12:AI19" si="5">+AH12*E12</f>
        <v>39600000</v>
      </c>
      <c r="AJ12" s="53"/>
      <c r="AK12" s="53"/>
      <c r="AL12" s="53"/>
      <c r="AM12" s="53"/>
      <c r="AN12" s="53"/>
      <c r="AO12" s="53"/>
      <c r="AP12" s="53"/>
      <c r="AQ12" s="53"/>
      <c r="AR12" s="53"/>
      <c r="AS12" s="53"/>
      <c r="AT12" s="53"/>
      <c r="AU12" s="53"/>
      <c r="AV12" s="53">
        <v>51360</v>
      </c>
      <c r="AW12" s="53">
        <f t="shared" si="1"/>
        <v>28248000</v>
      </c>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130">
        <f>MEDIAN(AD12,AH12,AV12)</f>
        <v>67401.599999999991</v>
      </c>
      <c r="EQ12" s="130">
        <f>AVERAGE(AD12,AH12,AV12)</f>
        <v>63587.19999999999</v>
      </c>
      <c r="ER12" s="131">
        <f>STDEV(AD12,AH12,AV12)</f>
        <v>10835.80340906942</v>
      </c>
      <c r="ES12" s="132">
        <f>ER12/EQ12</f>
        <v>0.17040856350129305</v>
      </c>
      <c r="ET12" s="151">
        <f t="shared" ref="ET12:ET22" si="6">ROUNDUP(IF(ES12&lt;15%,EQ12,EP12),0)</f>
        <v>67402</v>
      </c>
      <c r="EU12" s="150">
        <f t="shared" si="0"/>
        <v>37071100</v>
      </c>
      <c r="EV12" s="148" t="s">
        <v>322</v>
      </c>
      <c r="EW12" s="192"/>
    </row>
    <row r="13" spans="1:153" s="49" customFormat="1" ht="103.5" customHeight="1" x14ac:dyDescent="0.25">
      <c r="A13" s="65">
        <v>7</v>
      </c>
      <c r="B13" s="200" t="s">
        <v>477</v>
      </c>
      <c r="C13" s="66" t="s">
        <v>478</v>
      </c>
      <c r="D13" s="67" t="s">
        <v>466</v>
      </c>
      <c r="E13" s="68">
        <v>550</v>
      </c>
      <c r="F13" s="146"/>
      <c r="G13" s="146"/>
      <c r="H13" s="146"/>
      <c r="I13" s="146"/>
      <c r="J13" s="146"/>
      <c r="K13" s="146"/>
      <c r="L13" s="53"/>
      <c r="M13" s="53"/>
      <c r="N13" s="53"/>
      <c r="O13" s="53"/>
      <c r="P13" s="53"/>
      <c r="Q13" s="53"/>
      <c r="R13" s="53"/>
      <c r="S13" s="53"/>
      <c r="T13" s="53"/>
      <c r="U13" s="53"/>
      <c r="V13" s="53"/>
      <c r="W13" s="53"/>
      <c r="X13" s="53"/>
      <c r="Y13" s="53"/>
      <c r="Z13" s="53"/>
      <c r="AA13" s="53"/>
      <c r="AB13" s="53"/>
      <c r="AC13" s="53"/>
      <c r="AD13" s="146">
        <v>21063</v>
      </c>
      <c r="AE13" s="53">
        <f t="shared" si="4"/>
        <v>11584650</v>
      </c>
      <c r="AF13" s="53"/>
      <c r="AG13" s="53"/>
      <c r="AH13" s="53">
        <v>133000</v>
      </c>
      <c r="AI13" s="53">
        <f t="shared" si="5"/>
        <v>73150000</v>
      </c>
      <c r="AJ13" s="53"/>
      <c r="AK13" s="53"/>
      <c r="AL13" s="53"/>
      <c r="AM13" s="53"/>
      <c r="AN13" s="53"/>
      <c r="AO13" s="53"/>
      <c r="AP13" s="53"/>
      <c r="AQ13" s="53"/>
      <c r="AR13" s="53"/>
      <c r="AS13" s="53"/>
      <c r="AT13" s="53"/>
      <c r="AU13" s="53"/>
      <c r="AV13" s="53">
        <v>95230</v>
      </c>
      <c r="AW13" s="53">
        <f t="shared" si="1"/>
        <v>52376500</v>
      </c>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130">
        <f>MEDIAN(AH13,AV13,)</f>
        <v>95230</v>
      </c>
      <c r="EQ13" s="130">
        <f>AVERAGE(AH13,AV13)</f>
        <v>114115</v>
      </c>
      <c r="ER13" s="131">
        <f>STDEV(AH13,AV13)</f>
        <v>26707.423125415899</v>
      </c>
      <c r="ES13" s="132">
        <f t="shared" ref="ES13:ES22" si="7">ER13/EQ13</f>
        <v>0.23403954892359374</v>
      </c>
      <c r="ET13" s="151">
        <f t="shared" si="6"/>
        <v>95230</v>
      </c>
      <c r="EU13" s="150">
        <f t="shared" si="0"/>
        <v>52376500</v>
      </c>
      <c r="EV13" s="148" t="s">
        <v>322</v>
      </c>
      <c r="EW13" s="192"/>
    </row>
    <row r="14" spans="1:153" s="49" customFormat="1" ht="51.75" customHeight="1" x14ac:dyDescent="0.25">
      <c r="A14" s="65">
        <v>8</v>
      </c>
      <c r="B14" s="200" t="s">
        <v>479</v>
      </c>
      <c r="C14" s="66" t="s">
        <v>480</v>
      </c>
      <c r="D14" s="67" t="s">
        <v>466</v>
      </c>
      <c r="E14" s="68">
        <v>550</v>
      </c>
      <c r="F14" s="146"/>
      <c r="G14" s="146"/>
      <c r="H14" s="146"/>
      <c r="I14" s="146"/>
      <c r="J14" s="146"/>
      <c r="K14" s="146"/>
      <c r="L14" s="53"/>
      <c r="M14" s="53"/>
      <c r="N14" s="53"/>
      <c r="O14" s="53"/>
      <c r="P14" s="53"/>
      <c r="Q14" s="53"/>
      <c r="R14" s="53"/>
      <c r="S14" s="53"/>
      <c r="T14" s="53"/>
      <c r="U14" s="53"/>
      <c r="V14" s="53"/>
      <c r="W14" s="53"/>
      <c r="X14" s="53"/>
      <c r="Y14" s="53"/>
      <c r="Z14" s="53"/>
      <c r="AA14" s="53"/>
      <c r="AB14" s="53"/>
      <c r="AC14" s="53"/>
      <c r="AD14" s="146">
        <v>39317.599999999999</v>
      </c>
      <c r="AE14" s="53">
        <f t="shared" si="4"/>
        <v>21624680</v>
      </c>
      <c r="AF14" s="53"/>
      <c r="AG14" s="53"/>
      <c r="AH14" s="53">
        <f>+(28000*26)+28000</f>
        <v>756000</v>
      </c>
      <c r="AI14" s="53">
        <f t="shared" si="5"/>
        <v>415800000</v>
      </c>
      <c r="AJ14" s="53"/>
      <c r="AK14" s="53"/>
      <c r="AL14" s="53"/>
      <c r="AM14" s="53"/>
      <c r="AN14" s="53"/>
      <c r="AO14" s="53"/>
      <c r="AP14" s="53"/>
      <c r="AQ14" s="53"/>
      <c r="AR14" s="53"/>
      <c r="AS14" s="53"/>
      <c r="AT14" s="53"/>
      <c r="AU14" s="53"/>
      <c r="AV14" s="53">
        <v>35280</v>
      </c>
      <c r="AW14" s="53">
        <f t="shared" si="1"/>
        <v>19404000</v>
      </c>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130">
        <f>MEDIAN(AD14,AV14)</f>
        <v>37298.800000000003</v>
      </c>
      <c r="EQ14" s="130">
        <f>AVERAGE(AD14,AV14)</f>
        <v>37298.800000000003</v>
      </c>
      <c r="ER14" s="131">
        <f>STDEV(AD14,AV14)</f>
        <v>2855.0143397188031</v>
      </c>
      <c r="ES14" s="132">
        <f t="shared" si="7"/>
        <v>7.6544401957135424E-2</v>
      </c>
      <c r="ET14" s="151">
        <f t="shared" si="6"/>
        <v>37299</v>
      </c>
      <c r="EU14" s="150">
        <f t="shared" si="0"/>
        <v>20514450</v>
      </c>
      <c r="EV14" s="148" t="s">
        <v>319</v>
      </c>
      <c r="EW14" s="192"/>
    </row>
    <row r="15" spans="1:153" s="49" customFormat="1" ht="77.25" customHeight="1" x14ac:dyDescent="0.25">
      <c r="A15" s="65">
        <v>9</v>
      </c>
      <c r="B15" s="200" t="s">
        <v>481</v>
      </c>
      <c r="C15" s="66" t="s">
        <v>482</v>
      </c>
      <c r="D15" s="67" t="s">
        <v>466</v>
      </c>
      <c r="E15" s="68">
        <v>550</v>
      </c>
      <c r="F15" s="146"/>
      <c r="G15" s="146"/>
      <c r="H15" s="146"/>
      <c r="I15" s="146"/>
      <c r="J15" s="146"/>
      <c r="K15" s="146"/>
      <c r="L15" s="53"/>
      <c r="M15" s="53"/>
      <c r="N15" s="53"/>
      <c r="O15" s="53"/>
      <c r="P15" s="53"/>
      <c r="Q15" s="53"/>
      <c r="R15" s="53"/>
      <c r="S15" s="53"/>
      <c r="T15" s="53"/>
      <c r="U15" s="53"/>
      <c r="V15" s="53"/>
      <c r="W15" s="53"/>
      <c r="X15" s="53"/>
      <c r="Y15" s="53"/>
      <c r="Z15" s="53"/>
      <c r="AA15" s="53"/>
      <c r="AB15" s="53"/>
      <c r="AC15" s="53"/>
      <c r="AD15" s="146">
        <v>23169.3</v>
      </c>
      <c r="AE15" s="53">
        <f t="shared" si="4"/>
        <v>12743115</v>
      </c>
      <c r="AF15" s="53"/>
      <c r="AG15" s="53"/>
      <c r="AH15" s="53">
        <v>25000</v>
      </c>
      <c r="AI15" s="53">
        <f t="shared" si="5"/>
        <v>13750000</v>
      </c>
      <c r="AJ15" s="53"/>
      <c r="AK15" s="53"/>
      <c r="AL15" s="53"/>
      <c r="AM15" s="53"/>
      <c r="AN15" s="53"/>
      <c r="AO15" s="53"/>
      <c r="AP15" s="53"/>
      <c r="AQ15" s="53"/>
      <c r="AR15" s="53"/>
      <c r="AS15" s="53"/>
      <c r="AT15" s="53"/>
      <c r="AU15" s="53"/>
      <c r="AV15" s="53">
        <f>+(18900*7%)+18900</f>
        <v>20223</v>
      </c>
      <c r="AW15" s="53">
        <f t="shared" si="1"/>
        <v>11122650</v>
      </c>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130">
        <f>MEDIAN(AD15,AH15)</f>
        <v>24084.65</v>
      </c>
      <c r="EQ15" s="130">
        <f>AVERAGE(AD15,AH15)</f>
        <v>24084.65</v>
      </c>
      <c r="ER15" s="131">
        <f>STDEV(AD15,AH15)</f>
        <v>1294.500384318213</v>
      </c>
      <c r="ES15" s="132">
        <f t="shared" si="7"/>
        <v>5.3747942540921828E-2</v>
      </c>
      <c r="ET15" s="151">
        <f t="shared" si="6"/>
        <v>24085</v>
      </c>
      <c r="EU15" s="150">
        <f t="shared" si="0"/>
        <v>13246750</v>
      </c>
      <c r="EV15" s="148" t="s">
        <v>319</v>
      </c>
      <c r="EW15" s="192"/>
    </row>
    <row r="16" spans="1:153" s="49" customFormat="1" ht="32.450000000000003" customHeight="1" x14ac:dyDescent="0.25">
      <c r="A16" s="65">
        <v>10</v>
      </c>
      <c r="B16" s="200" t="s">
        <v>483</v>
      </c>
      <c r="C16" s="66" t="s">
        <v>484</v>
      </c>
      <c r="D16" s="67" t="s">
        <v>466</v>
      </c>
      <c r="E16" s="68">
        <v>550</v>
      </c>
      <c r="F16" s="146"/>
      <c r="G16" s="146"/>
      <c r="H16" s="146"/>
      <c r="I16" s="146"/>
      <c r="J16" s="146"/>
      <c r="K16" s="146"/>
      <c r="L16" s="53"/>
      <c r="M16" s="53"/>
      <c r="N16" s="53"/>
      <c r="O16" s="53"/>
      <c r="P16" s="53"/>
      <c r="Q16" s="53"/>
      <c r="R16" s="53"/>
      <c r="S16" s="53"/>
      <c r="T16" s="53"/>
      <c r="U16" s="53"/>
      <c r="V16" s="53"/>
      <c r="W16" s="53"/>
      <c r="X16" s="53"/>
      <c r="Y16" s="53"/>
      <c r="Z16" s="53"/>
      <c r="AA16" s="53"/>
      <c r="AB16" s="53"/>
      <c r="AC16" s="53"/>
      <c r="AD16" s="146">
        <v>81443.599999999991</v>
      </c>
      <c r="AE16" s="53">
        <f t="shared" si="4"/>
        <v>44793979.999999993</v>
      </c>
      <c r="AF16" s="53"/>
      <c r="AG16" s="53"/>
      <c r="AH16" s="53">
        <v>87000</v>
      </c>
      <c r="AI16" s="53">
        <f t="shared" si="5"/>
        <v>47850000</v>
      </c>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130">
        <f>MEDIAN(AD16,AH16)</f>
        <v>84221.799999999988</v>
      </c>
      <c r="EQ16" s="130">
        <f>AVERAGE(AD16,AH16)</f>
        <v>84221.799999999988</v>
      </c>
      <c r="ER16" s="131">
        <f>STDEV(AD16,AH16)</f>
        <v>3928.9681189849389</v>
      </c>
      <c r="ES16" s="137">
        <f t="shared" si="7"/>
        <v>4.665025111057873E-2</v>
      </c>
      <c r="ET16" s="151">
        <f t="shared" si="6"/>
        <v>84222</v>
      </c>
      <c r="EU16" s="150">
        <f t="shared" si="0"/>
        <v>46322100</v>
      </c>
      <c r="EV16" s="148" t="s">
        <v>319</v>
      </c>
      <c r="EW16" s="192"/>
    </row>
    <row r="17" spans="1:154" s="49" customFormat="1" ht="32.450000000000003" customHeight="1" x14ac:dyDescent="0.25">
      <c r="A17" s="65">
        <v>11</v>
      </c>
      <c r="B17" s="200" t="s">
        <v>485</v>
      </c>
      <c r="C17" s="66" t="s">
        <v>486</v>
      </c>
      <c r="D17" s="67" t="s">
        <v>466</v>
      </c>
      <c r="E17" s="68">
        <v>550</v>
      </c>
      <c r="F17" s="146"/>
      <c r="G17" s="146"/>
      <c r="H17" s="146"/>
      <c r="I17" s="146"/>
      <c r="J17" s="146"/>
      <c r="K17" s="146"/>
      <c r="L17" s="53"/>
      <c r="M17" s="53"/>
      <c r="N17" s="53"/>
      <c r="O17" s="53"/>
      <c r="P17" s="53"/>
      <c r="Q17" s="53"/>
      <c r="R17" s="53"/>
      <c r="S17" s="53"/>
      <c r="T17" s="53"/>
      <c r="U17" s="53"/>
      <c r="V17" s="53"/>
      <c r="W17" s="53"/>
      <c r="X17" s="53"/>
      <c r="Y17" s="53"/>
      <c r="Z17" s="53"/>
      <c r="AA17" s="53"/>
      <c r="AB17" s="53"/>
      <c r="AC17" s="53"/>
      <c r="AD17" s="146">
        <v>26679.8</v>
      </c>
      <c r="AE17" s="53">
        <f t="shared" si="4"/>
        <v>14673890</v>
      </c>
      <c r="AF17" s="53"/>
      <c r="AG17" s="53"/>
      <c r="AH17" s="53">
        <v>29000</v>
      </c>
      <c r="AI17" s="53">
        <f t="shared" si="5"/>
        <v>15950000</v>
      </c>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130">
        <f>MEDIAN(AD17,AH17)</f>
        <v>27839.9</v>
      </c>
      <c r="EQ17" s="130">
        <f>AVERAGE(AD17,AH17)</f>
        <v>27839.9</v>
      </c>
      <c r="ER17" s="131">
        <f>STDEV(AD17,AH17)</f>
        <v>1640.6291537090281</v>
      </c>
      <c r="ES17" s="137">
        <f t="shared" si="7"/>
        <v>5.8930856565901024E-2</v>
      </c>
      <c r="ET17" s="151">
        <f t="shared" si="6"/>
        <v>27840</v>
      </c>
      <c r="EU17" s="150">
        <f t="shared" ref="EU17:EU20" si="8">+ET17*E17</f>
        <v>15312000</v>
      </c>
      <c r="EV17" s="148" t="s">
        <v>319</v>
      </c>
      <c r="EW17" s="192"/>
    </row>
    <row r="18" spans="1:154" s="49" customFormat="1" ht="32.450000000000003" customHeight="1" x14ac:dyDescent="0.25">
      <c r="A18" s="65">
        <v>12</v>
      </c>
      <c r="B18" s="200" t="s">
        <v>487</v>
      </c>
      <c r="C18" s="66" t="s">
        <v>488</v>
      </c>
      <c r="D18" s="67" t="s">
        <v>466</v>
      </c>
      <c r="E18" s="68">
        <v>550</v>
      </c>
      <c r="F18" s="146"/>
      <c r="G18" s="146"/>
      <c r="H18" s="146"/>
      <c r="I18" s="146"/>
      <c r="J18" s="146"/>
      <c r="K18" s="146"/>
      <c r="L18" s="53"/>
      <c r="M18" s="53"/>
      <c r="N18" s="53"/>
      <c r="O18" s="53"/>
      <c r="P18" s="53"/>
      <c r="Q18" s="53"/>
      <c r="R18" s="53"/>
      <c r="S18" s="53"/>
      <c r="T18" s="53"/>
      <c r="U18" s="53"/>
      <c r="V18" s="53"/>
      <c r="W18" s="53"/>
      <c r="X18" s="53"/>
      <c r="Y18" s="53"/>
      <c r="Z18" s="53"/>
      <c r="AA18" s="53"/>
      <c r="AB18" s="53"/>
      <c r="AC18" s="53"/>
      <c r="AD18" s="146">
        <v>68805.8</v>
      </c>
      <c r="AE18" s="53">
        <f t="shared" si="4"/>
        <v>37843190</v>
      </c>
      <c r="AF18" s="53"/>
      <c r="AG18" s="53"/>
      <c r="AH18" s="53">
        <v>74000</v>
      </c>
      <c r="AI18" s="53">
        <f t="shared" si="5"/>
        <v>40700000</v>
      </c>
      <c r="AJ18" s="53"/>
      <c r="AK18" s="53"/>
      <c r="AL18" s="53"/>
      <c r="AM18" s="53"/>
      <c r="AN18" s="53"/>
      <c r="AO18" s="53"/>
      <c r="AP18" s="53"/>
      <c r="AQ18" s="53"/>
      <c r="AR18" s="53"/>
      <c r="AS18" s="53"/>
      <c r="AT18" s="53"/>
      <c r="AU18" s="53"/>
      <c r="AV18" s="53">
        <v>37450</v>
      </c>
      <c r="AW18" s="53">
        <f>+AV18*E18</f>
        <v>20597500</v>
      </c>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130">
        <f t="shared" ref="EP18" si="9">MEDIAN(AD18,AH18)</f>
        <v>71402.899999999994</v>
      </c>
      <c r="EQ18" s="130">
        <f>AVERAGE(AD18,AH18)</f>
        <v>71402.899999999994</v>
      </c>
      <c r="ER18" s="131">
        <f>STDEV(AD18,AH18)</f>
        <v>3672.854042839163</v>
      </c>
      <c r="ES18" s="137">
        <f t="shared" si="7"/>
        <v>5.1438443576369633E-2</v>
      </c>
      <c r="ET18" s="151">
        <f t="shared" si="6"/>
        <v>71403</v>
      </c>
      <c r="EU18" s="150">
        <f t="shared" si="8"/>
        <v>39271650</v>
      </c>
      <c r="EV18" s="148" t="s">
        <v>319</v>
      </c>
      <c r="EW18" s="192"/>
    </row>
    <row r="19" spans="1:154" s="49" customFormat="1" ht="48" customHeight="1" x14ac:dyDescent="0.25">
      <c r="A19" s="65">
        <v>13</v>
      </c>
      <c r="B19" s="200" t="s">
        <v>489</v>
      </c>
      <c r="C19" s="66" t="s">
        <v>490</v>
      </c>
      <c r="D19" s="67" t="s">
        <v>466</v>
      </c>
      <c r="E19" s="68">
        <v>550</v>
      </c>
      <c r="F19" s="146"/>
      <c r="G19" s="146"/>
      <c r="H19" s="146"/>
      <c r="I19" s="146"/>
      <c r="J19" s="146"/>
      <c r="K19" s="146"/>
      <c r="L19" s="53"/>
      <c r="M19" s="53"/>
      <c r="N19" s="53"/>
      <c r="O19" s="53"/>
      <c r="P19" s="53"/>
      <c r="Q19" s="53"/>
      <c r="R19" s="53"/>
      <c r="S19" s="53"/>
      <c r="T19" s="53"/>
      <c r="U19" s="53"/>
      <c r="V19" s="53"/>
      <c r="W19" s="53"/>
      <c r="X19" s="53"/>
      <c r="Y19" s="53"/>
      <c r="Z19" s="53"/>
      <c r="AA19" s="53"/>
      <c r="AB19" s="53"/>
      <c r="AC19" s="53"/>
      <c r="AD19" s="146">
        <v>82847.8</v>
      </c>
      <c r="AE19" s="53">
        <f t="shared" si="4"/>
        <v>45566290</v>
      </c>
      <c r="AF19" s="53"/>
      <c r="AG19" s="53"/>
      <c r="AH19" s="53">
        <v>58000</v>
      </c>
      <c r="AI19" s="53">
        <f t="shared" si="5"/>
        <v>31900000</v>
      </c>
      <c r="AJ19" s="53"/>
      <c r="AK19" s="53"/>
      <c r="AL19" s="53"/>
      <c r="AM19" s="53"/>
      <c r="AN19" s="53"/>
      <c r="AO19" s="53"/>
      <c r="AP19" s="53"/>
      <c r="AQ19" s="53"/>
      <c r="AR19" s="53"/>
      <c r="AS19" s="53"/>
      <c r="AT19" s="53"/>
      <c r="AU19" s="53"/>
      <c r="AV19" s="53">
        <v>74340</v>
      </c>
      <c r="AW19" s="53">
        <f>+AV19*E19</f>
        <v>40887000</v>
      </c>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130">
        <f>MEDIAN(AD19,AV19)</f>
        <v>78593.899999999994</v>
      </c>
      <c r="EQ19" s="130">
        <f>AVERAGE(AD19,AV19)</f>
        <v>78593.899999999994</v>
      </c>
      <c r="ER19" s="131">
        <f>STDEV(AD19,AV19)</f>
        <v>6015.9230729789115</v>
      </c>
      <c r="ES19" s="137">
        <f t="shared" si="7"/>
        <v>7.6544401957135508E-2</v>
      </c>
      <c r="ET19" s="151">
        <f t="shared" si="6"/>
        <v>78594</v>
      </c>
      <c r="EU19" s="150">
        <f t="shared" si="8"/>
        <v>43226700</v>
      </c>
      <c r="EV19" s="148" t="s">
        <v>319</v>
      </c>
      <c r="EW19" s="192"/>
    </row>
    <row r="20" spans="1:154" s="73" customFormat="1" ht="96" customHeight="1" x14ac:dyDescent="0.25">
      <c r="A20" s="65">
        <v>14</v>
      </c>
      <c r="B20" s="201" t="s">
        <v>491</v>
      </c>
      <c r="C20" s="70" t="s">
        <v>492</v>
      </c>
      <c r="D20" s="71" t="s">
        <v>493</v>
      </c>
      <c r="E20" s="68">
        <v>15</v>
      </c>
      <c r="F20" s="152"/>
      <c r="G20" s="152"/>
      <c r="H20" s="152"/>
      <c r="I20" s="152"/>
      <c r="J20" s="152"/>
      <c r="K20" s="152"/>
      <c r="L20" s="72">
        <v>7500</v>
      </c>
      <c r="M20" s="72">
        <f>+L20*E20</f>
        <v>112500</v>
      </c>
      <c r="N20" s="72"/>
      <c r="O20" s="72"/>
      <c r="P20" s="72"/>
      <c r="Q20" s="72"/>
      <c r="R20" s="72"/>
      <c r="S20" s="72"/>
      <c r="T20" s="72"/>
      <c r="U20" s="72"/>
      <c r="V20" s="72"/>
      <c r="W20" s="53"/>
      <c r="X20" s="72"/>
      <c r="Y20" s="53"/>
      <c r="Z20" s="53"/>
      <c r="AA20" s="53"/>
      <c r="AB20" s="53"/>
      <c r="AC20" s="53"/>
      <c r="AD20" s="153">
        <v>11472.314</v>
      </c>
      <c r="AE20" s="53">
        <f t="shared" si="4"/>
        <v>172084.71</v>
      </c>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v>11500</v>
      </c>
      <c r="CU20" s="53">
        <f>+CT20*E20</f>
        <v>172500</v>
      </c>
      <c r="CV20" s="53"/>
      <c r="CW20" s="53"/>
      <c r="CX20" s="53">
        <v>12400</v>
      </c>
      <c r="CY20" s="53">
        <f>+CX20*E20</f>
        <v>186000</v>
      </c>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130">
        <f>MEDIAN(CT20,CX20)</f>
        <v>11950</v>
      </c>
      <c r="EQ20" s="130">
        <f>AVERAGE(CT20,CX20)</f>
        <v>11950</v>
      </c>
      <c r="ER20" s="131">
        <f>STDEV(CT20,CX20)</f>
        <v>636.3961030678928</v>
      </c>
      <c r="ES20" s="137">
        <f t="shared" si="7"/>
        <v>5.3254904022417809E-2</v>
      </c>
      <c r="ET20" s="151">
        <f t="shared" si="6"/>
        <v>11950</v>
      </c>
      <c r="EU20" s="150">
        <f t="shared" si="8"/>
        <v>179250</v>
      </c>
      <c r="EV20" s="148" t="s">
        <v>319</v>
      </c>
      <c r="EW20" s="192"/>
      <c r="EX20" s="73">
        <v>5</v>
      </c>
    </row>
    <row r="21" spans="1:154" s="49" customFormat="1" ht="32.450000000000003" customHeight="1" x14ac:dyDescent="0.25">
      <c r="A21" s="65">
        <v>15</v>
      </c>
      <c r="B21" s="200" t="s">
        <v>494</v>
      </c>
      <c r="C21" s="66" t="s">
        <v>495</v>
      </c>
      <c r="D21" s="67" t="s">
        <v>493</v>
      </c>
      <c r="E21" s="68">
        <v>167</v>
      </c>
      <c r="F21" s="146"/>
      <c r="G21" s="146"/>
      <c r="H21" s="146"/>
      <c r="I21" s="146"/>
      <c r="J21" s="146"/>
      <c r="K21" s="146"/>
      <c r="L21" s="53">
        <v>18000</v>
      </c>
      <c r="M21" s="53">
        <f>+L21*E21</f>
        <v>3006000</v>
      </c>
      <c r="N21" s="53"/>
      <c r="O21" s="53"/>
      <c r="P21" s="53"/>
      <c r="Q21" s="53"/>
      <c r="R21" s="53"/>
      <c r="S21" s="53"/>
      <c r="T21" s="53"/>
      <c r="U21" s="53"/>
      <c r="V21" s="53"/>
      <c r="W21" s="53"/>
      <c r="X21" s="53"/>
      <c r="Y21" s="53"/>
      <c r="Z21" s="53"/>
      <c r="AA21" s="53"/>
      <c r="AB21" s="53"/>
      <c r="AC21" s="53"/>
      <c r="AD21" s="146">
        <v>16850.399999999998</v>
      </c>
      <c r="AE21" s="53">
        <f t="shared" si="4"/>
        <v>2814016.8</v>
      </c>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v>11000</v>
      </c>
      <c r="CW21" s="53">
        <f>+CV21*E21</f>
        <v>1837000</v>
      </c>
      <c r="CX21" s="53">
        <v>10520</v>
      </c>
      <c r="CY21" s="53">
        <f t="shared" ref="CY21" si="10">+CX21*E21</f>
        <v>1756840</v>
      </c>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130">
        <f>MEDIAN(L21,AD21)</f>
        <v>17425.199999999997</v>
      </c>
      <c r="EQ21" s="130">
        <f>AVERAGE(L21,AD21)</f>
        <v>17425.199999999997</v>
      </c>
      <c r="ER21" s="131">
        <f>STDEV(L21,AD21)</f>
        <v>812.88995565205653</v>
      </c>
      <c r="ES21" s="137">
        <f t="shared" si="7"/>
        <v>4.6650251110578737E-2</v>
      </c>
      <c r="ET21" s="151">
        <f t="shared" si="6"/>
        <v>17426</v>
      </c>
      <c r="EU21" s="150">
        <f>+ET21*E21</f>
        <v>2910142</v>
      </c>
      <c r="EV21" s="148" t="s">
        <v>319</v>
      </c>
      <c r="EW21" s="192"/>
      <c r="EX21" s="49">
        <v>5</v>
      </c>
    </row>
    <row r="22" spans="1:154" s="49" customFormat="1" ht="32.450000000000003" customHeight="1" x14ac:dyDescent="0.25">
      <c r="A22" s="65">
        <v>16</v>
      </c>
      <c r="B22" s="200" t="s">
        <v>79</v>
      </c>
      <c r="C22" s="66" t="s">
        <v>496</v>
      </c>
      <c r="D22" s="67" t="s">
        <v>466</v>
      </c>
      <c r="E22" s="68">
        <v>1000</v>
      </c>
      <c r="F22" s="146"/>
      <c r="G22" s="146"/>
      <c r="H22" s="146"/>
      <c r="I22" s="146"/>
      <c r="J22" s="146"/>
      <c r="K22" s="146"/>
      <c r="L22" s="53"/>
      <c r="M22" s="53"/>
      <c r="N22" s="53"/>
      <c r="O22" s="53"/>
      <c r="P22" s="53"/>
      <c r="Q22" s="53"/>
      <c r="R22" s="53"/>
      <c r="S22" s="53"/>
      <c r="T22" s="53"/>
      <c r="U22" s="53"/>
      <c r="V22" s="53"/>
      <c r="W22" s="53"/>
      <c r="X22" s="53"/>
      <c r="Y22" s="53"/>
      <c r="Z22" s="53"/>
      <c r="AA22" s="53"/>
      <c r="AB22" s="53"/>
      <c r="AC22" s="53"/>
      <c r="AD22" s="146">
        <v>1995.3681999999999</v>
      </c>
      <c r="AE22" s="53">
        <f t="shared" si="4"/>
        <v>1995368.2</v>
      </c>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v>3767</v>
      </c>
      <c r="CS22" s="53">
        <f>+CR22*E22</f>
        <v>3767000</v>
      </c>
      <c r="CT22" s="53">
        <f>+(3000*26%)+3000</f>
        <v>3780</v>
      </c>
      <c r="CU22" s="53">
        <f t="shared" ref="CU22" si="11">+CT22*E22</f>
        <v>3780000</v>
      </c>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130">
        <f>MEDIAN(CR22,CT22)</f>
        <v>3773.5</v>
      </c>
      <c r="EQ22" s="130">
        <f>AVERAGE(CR22,CT22)</f>
        <v>3773.5</v>
      </c>
      <c r="ER22" s="131">
        <f>STDEV(CR22,CT22)</f>
        <v>9.1923881554251174</v>
      </c>
      <c r="ES22" s="137">
        <f t="shared" si="7"/>
        <v>2.4360376720352771E-3</v>
      </c>
      <c r="ET22" s="151">
        <f t="shared" si="6"/>
        <v>3774</v>
      </c>
      <c r="EU22" s="150">
        <f>+ET22*E22</f>
        <v>3774000</v>
      </c>
      <c r="EV22" s="148" t="s">
        <v>319</v>
      </c>
      <c r="EW22" s="192"/>
      <c r="EX22" s="49">
        <v>5</v>
      </c>
    </row>
    <row r="23" spans="1:154" s="49" customFormat="1" ht="32.450000000000003" customHeight="1" x14ac:dyDescent="0.25">
      <c r="A23" s="65">
        <v>17</v>
      </c>
      <c r="B23" s="200" t="s">
        <v>497</v>
      </c>
      <c r="C23" s="66" t="s">
        <v>498</v>
      </c>
      <c r="D23" s="67" t="s">
        <v>493</v>
      </c>
      <c r="E23" s="68">
        <v>167</v>
      </c>
      <c r="F23" s="146"/>
      <c r="G23" s="146"/>
      <c r="H23" s="146"/>
      <c r="I23" s="146"/>
      <c r="J23" s="146"/>
      <c r="K23" s="146"/>
      <c r="L23" s="53"/>
      <c r="M23" s="53"/>
      <c r="N23" s="53"/>
      <c r="O23" s="53"/>
      <c r="P23" s="53"/>
      <c r="Q23" s="53"/>
      <c r="R23" s="53"/>
      <c r="S23" s="53"/>
      <c r="T23" s="53"/>
      <c r="U23" s="53"/>
      <c r="V23" s="53"/>
      <c r="W23" s="53"/>
      <c r="X23" s="53"/>
      <c r="Y23" s="53"/>
      <c r="Z23" s="53"/>
      <c r="AA23" s="53"/>
      <c r="AB23" s="53"/>
      <c r="AC23" s="53"/>
      <c r="AD23" s="146">
        <v>47181.119999999995</v>
      </c>
      <c r="AE23" s="53">
        <f>+AD23*E23</f>
        <v>7879247.0399999991</v>
      </c>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v>52800</v>
      </c>
      <c r="DI23" s="53">
        <f>+DH23*E23</f>
        <v>8817600</v>
      </c>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130">
        <f>MEDIAN(AD23,DH23)</f>
        <v>49990.559999999998</v>
      </c>
      <c r="EQ23" s="130">
        <f>AVERAGE(AD23,DH23)</f>
        <v>49990.559999999998</v>
      </c>
      <c r="ER23" s="131">
        <f>STDEV(AD23,DH23)</f>
        <v>3973.1481506734713</v>
      </c>
      <c r="ES23" s="137">
        <f>ER23/EQ23</f>
        <v>7.9477968453913528E-2</v>
      </c>
      <c r="ET23" s="151">
        <f>ROUNDUP(IF(ES23&lt;15%,EQ23,EP23),0)</f>
        <v>49991</v>
      </c>
      <c r="EU23" s="150">
        <f>+ET23*E23</f>
        <v>8348497</v>
      </c>
      <c r="EV23" s="148" t="s">
        <v>319</v>
      </c>
      <c r="EW23" s="192"/>
      <c r="EX23" s="49">
        <v>5</v>
      </c>
    </row>
    <row r="24" spans="1:154" s="49" customFormat="1" ht="32.450000000000003" customHeight="1" x14ac:dyDescent="0.25">
      <c r="A24" s="65">
        <v>18</v>
      </c>
      <c r="B24" s="200" t="s">
        <v>499</v>
      </c>
      <c r="C24" s="66" t="s">
        <v>500</v>
      </c>
      <c r="D24" s="67" t="s">
        <v>466</v>
      </c>
      <c r="E24" s="65">
        <v>100</v>
      </c>
      <c r="F24" s="146"/>
      <c r="G24" s="146"/>
      <c r="H24" s="146"/>
      <c r="I24" s="146"/>
      <c r="J24" s="146"/>
      <c r="K24" s="146"/>
      <c r="L24" s="53"/>
      <c r="M24" s="53"/>
      <c r="N24" s="53"/>
      <c r="O24" s="53"/>
      <c r="P24" s="53"/>
      <c r="Q24" s="53"/>
      <c r="R24" s="53"/>
      <c r="S24" s="53"/>
      <c r="T24" s="53"/>
      <c r="U24" s="53"/>
      <c r="V24" s="53"/>
      <c r="W24" s="53"/>
      <c r="X24" s="53"/>
      <c r="Y24" s="53"/>
      <c r="Z24" s="53"/>
      <c r="AA24" s="53"/>
      <c r="AB24" s="53"/>
      <c r="AC24" s="53"/>
      <c r="AD24" s="146">
        <v>18382.3822</v>
      </c>
      <c r="AE24" s="53">
        <f>+AD24*E24</f>
        <v>1838238.22</v>
      </c>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v>15876</v>
      </c>
      <c r="CS24" s="53">
        <f t="shared" ref="CS24" si="12">+CR24*E24</f>
        <v>1587600</v>
      </c>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130">
        <f>MEDIAN(AD24,CR24)</f>
        <v>17129.1911</v>
      </c>
      <c r="EQ24" s="130">
        <f>AVERAGE(AD24,CR24)</f>
        <v>17129.1911</v>
      </c>
      <c r="ER24" s="131">
        <f>STDEV(AD24,CR24)</f>
        <v>1772.2798498652576</v>
      </c>
      <c r="ES24" s="137">
        <f t="shared" ref="ES24" si="13">ER24/EQ24</f>
        <v>0.10346547245101712</v>
      </c>
      <c r="ET24" s="151">
        <f t="shared" ref="ET24" si="14">ROUNDUP(IF(ES24&lt;15%,EQ24,EP24),0)</f>
        <v>17130</v>
      </c>
      <c r="EU24" s="150">
        <f>+ET24*E24</f>
        <v>1713000</v>
      </c>
      <c r="EV24" s="148" t="s">
        <v>319</v>
      </c>
      <c r="EW24" s="192"/>
      <c r="EX24" s="49">
        <v>4</v>
      </c>
    </row>
    <row r="25" spans="1:154" s="49" customFormat="1" ht="32.450000000000003" customHeight="1" x14ac:dyDescent="0.25">
      <c r="A25" s="65">
        <v>19</v>
      </c>
      <c r="B25" s="202" t="s">
        <v>501</v>
      </c>
      <c r="C25" s="66" t="s">
        <v>502</v>
      </c>
      <c r="D25" s="67" t="s">
        <v>466</v>
      </c>
      <c r="E25" s="65">
        <v>700</v>
      </c>
      <c r="F25" s="146"/>
      <c r="G25" s="146"/>
      <c r="H25" s="146"/>
      <c r="I25" s="146"/>
      <c r="J25" s="146"/>
      <c r="K25" s="146"/>
      <c r="L25" s="53"/>
      <c r="M25" s="53"/>
      <c r="N25" s="53"/>
      <c r="O25" s="53"/>
      <c r="P25" s="53"/>
      <c r="Q25" s="53"/>
      <c r="R25" s="53"/>
      <c r="S25" s="53"/>
      <c r="T25" s="53"/>
      <c r="U25" s="53"/>
      <c r="V25" s="53"/>
      <c r="W25" s="53"/>
      <c r="X25" s="53">
        <v>14000</v>
      </c>
      <c r="Y25" s="53">
        <f t="shared" ref="Y25:Y32" si="15">+X25*E25</f>
        <v>9800000</v>
      </c>
      <c r="Z25" s="53"/>
      <c r="AA25" s="53"/>
      <c r="AB25" s="53"/>
      <c r="AC25" s="53"/>
      <c r="AD25" s="146">
        <v>30751.98</v>
      </c>
      <c r="AE25" s="53">
        <f t="shared" ref="AE25:AE34" si="16">+AD25*E25</f>
        <v>21526386</v>
      </c>
      <c r="AF25" s="53"/>
      <c r="AG25" s="53"/>
      <c r="AH25" s="53"/>
      <c r="AI25" s="53"/>
      <c r="AJ25" s="53">
        <v>10000</v>
      </c>
      <c r="AK25" s="53">
        <f>+AJ25*E25</f>
        <v>7000000</v>
      </c>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v>10261</v>
      </c>
      <c r="CS25" s="53">
        <f>+CR25*E25</f>
        <v>7182700</v>
      </c>
      <c r="CT25" s="53"/>
      <c r="CU25" s="53"/>
      <c r="CV25" s="53">
        <v>11500</v>
      </c>
      <c r="CW25" s="53">
        <f>+CV25</f>
        <v>11500</v>
      </c>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v>17500</v>
      </c>
      <c r="EK25" s="53">
        <f>+EJ25*E25</f>
        <v>12250000</v>
      </c>
      <c r="EL25" s="53"/>
      <c r="EM25" s="53"/>
      <c r="EN25" s="53"/>
      <c r="EO25" s="53"/>
      <c r="EP25" s="130">
        <f>MEDIAN(X25,AJ25,CV25)</f>
        <v>11500</v>
      </c>
      <c r="EQ25" s="130">
        <f>AVERAGE(X25,AJ25,CV25)</f>
        <v>11833.333333333334</v>
      </c>
      <c r="ER25" s="131">
        <f>STDEV(X25,AJ25,CV25)</f>
        <v>2020.7259421636927</v>
      </c>
      <c r="ES25" s="137">
        <f t="shared" ref="ES25:ES89" si="17">ER25/EQ25</f>
        <v>0.17076557257721345</v>
      </c>
      <c r="ET25" s="151">
        <f t="shared" ref="ET25:ET89" si="18">ROUNDUP(IF(ES25&lt;15%,EQ25,EP25),0)</f>
        <v>11500</v>
      </c>
      <c r="EU25" s="150">
        <f>+ET25*E25</f>
        <v>8050000</v>
      </c>
      <c r="EV25" s="148" t="s">
        <v>322</v>
      </c>
      <c r="EW25" s="192"/>
    </row>
    <row r="26" spans="1:154" s="49" customFormat="1" ht="32.450000000000003" customHeight="1" x14ac:dyDescent="0.25">
      <c r="A26" s="65">
        <v>20</v>
      </c>
      <c r="B26" s="200" t="s">
        <v>503</v>
      </c>
      <c r="C26" s="66" t="s">
        <v>504</v>
      </c>
      <c r="D26" s="67" t="s">
        <v>466</v>
      </c>
      <c r="E26" s="65">
        <v>120</v>
      </c>
      <c r="F26" s="146"/>
      <c r="G26" s="146"/>
      <c r="H26" s="146"/>
      <c r="I26" s="146"/>
      <c r="J26" s="146"/>
      <c r="K26" s="146"/>
      <c r="L26" s="53"/>
      <c r="M26" s="53"/>
      <c r="N26" s="53"/>
      <c r="O26" s="53"/>
      <c r="P26" s="53"/>
      <c r="Q26" s="53"/>
      <c r="R26" s="53"/>
      <c r="S26" s="53"/>
      <c r="T26" s="53"/>
      <c r="U26" s="53"/>
      <c r="V26" s="53">
        <v>20000</v>
      </c>
      <c r="W26" s="53">
        <f t="shared" ref="W26:W32" si="19">+V26*E26</f>
        <v>2400000</v>
      </c>
      <c r="X26" s="53">
        <v>28000</v>
      </c>
      <c r="Y26" s="53">
        <f t="shared" si="15"/>
        <v>3360000</v>
      </c>
      <c r="Z26" s="53"/>
      <c r="AA26" s="53"/>
      <c r="AB26" s="53"/>
      <c r="AC26" s="53"/>
      <c r="AD26" s="146">
        <v>224672</v>
      </c>
      <c r="AE26" s="53">
        <f t="shared" si="16"/>
        <v>26960640</v>
      </c>
      <c r="AF26" s="53"/>
      <c r="AG26" s="53"/>
      <c r="AH26" s="53"/>
      <c r="AI26" s="53"/>
      <c r="AJ26" s="53">
        <v>60000</v>
      </c>
      <c r="AK26" s="53">
        <f t="shared" ref="AK26:AK27" si="20">+AJ26*E26</f>
        <v>7200000</v>
      </c>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v>45000</v>
      </c>
      <c r="BU26" s="53">
        <f>+BT26*E26</f>
        <v>5400000</v>
      </c>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130">
        <f>MEDIAN(V26,X26,)</f>
        <v>20000</v>
      </c>
      <c r="EQ26" s="130">
        <f>AVERAGE(V26,X26)</f>
        <v>24000</v>
      </c>
      <c r="ER26" s="131">
        <f>STDEV(V26,X26)</f>
        <v>5656.8542494923804</v>
      </c>
      <c r="ES26" s="137">
        <f t="shared" si="17"/>
        <v>0.23570226039551584</v>
      </c>
      <c r="ET26" s="151">
        <f t="shared" si="18"/>
        <v>20000</v>
      </c>
      <c r="EU26" s="150">
        <f t="shared" ref="EU26:EU89" si="21">+ET26*E26</f>
        <v>2400000</v>
      </c>
      <c r="EV26" s="148" t="s">
        <v>322</v>
      </c>
      <c r="EW26" s="192"/>
    </row>
    <row r="27" spans="1:154" s="49" customFormat="1" ht="32.450000000000003" customHeight="1" x14ac:dyDescent="0.25">
      <c r="A27" s="65">
        <v>21</v>
      </c>
      <c r="B27" s="200" t="s">
        <v>64</v>
      </c>
      <c r="C27" s="66" t="s">
        <v>505</v>
      </c>
      <c r="D27" s="67" t="s">
        <v>466</v>
      </c>
      <c r="E27" s="71">
        <v>220</v>
      </c>
      <c r="F27" s="146"/>
      <c r="G27" s="146"/>
      <c r="H27" s="146"/>
      <c r="I27" s="146"/>
      <c r="J27" s="146"/>
      <c r="K27" s="146"/>
      <c r="L27" s="53"/>
      <c r="M27" s="53"/>
      <c r="N27" s="53"/>
      <c r="O27" s="53"/>
      <c r="P27" s="53"/>
      <c r="Q27" s="53"/>
      <c r="R27" s="53"/>
      <c r="S27" s="53"/>
      <c r="T27" s="53"/>
      <c r="U27" s="53"/>
      <c r="V27" s="53"/>
      <c r="W27" s="53">
        <f t="shared" si="19"/>
        <v>0</v>
      </c>
      <c r="X27" s="53">
        <v>13000</v>
      </c>
      <c r="Y27" s="53">
        <f t="shared" si="15"/>
        <v>2860000</v>
      </c>
      <c r="Z27" s="53"/>
      <c r="AA27" s="53"/>
      <c r="AB27" s="53"/>
      <c r="AC27" s="53"/>
      <c r="AD27" s="146">
        <v>13643.207199999999</v>
      </c>
      <c r="AE27" s="53">
        <f t="shared" si="16"/>
        <v>3001505.5839999998</v>
      </c>
      <c r="AF27" s="53"/>
      <c r="AG27" s="53"/>
      <c r="AH27" s="53"/>
      <c r="AI27" s="53"/>
      <c r="AJ27" s="53">
        <v>25000</v>
      </c>
      <c r="AK27" s="53">
        <f t="shared" si="20"/>
        <v>5500000</v>
      </c>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f>+(15000*8%)+15000</f>
        <v>16200</v>
      </c>
      <c r="CU27" s="53">
        <f>+CT27*E27</f>
        <v>3564000</v>
      </c>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v>30000</v>
      </c>
      <c r="EK27" s="53">
        <f>+EJ27*E27</f>
        <v>6600000</v>
      </c>
      <c r="EL27" s="53"/>
      <c r="EM27" s="53"/>
      <c r="EN27" s="53"/>
      <c r="EO27" s="53"/>
      <c r="EP27" s="130">
        <f>MEDIAN(AD27,CT27)</f>
        <v>14921.603599999999</v>
      </c>
      <c r="EQ27" s="130">
        <f>AVERAGE(AD27,CT27)</f>
        <v>14921.603599999999</v>
      </c>
      <c r="ER27" s="131">
        <f>STDEV(AD27,CT27)</f>
        <v>1807.9255269689409</v>
      </c>
      <c r="ES27" s="137">
        <f t="shared" si="17"/>
        <v>0.12116161073793309</v>
      </c>
      <c r="ET27" s="151">
        <f t="shared" si="18"/>
        <v>14922</v>
      </c>
      <c r="EU27" s="150">
        <f t="shared" si="21"/>
        <v>3282840</v>
      </c>
      <c r="EV27" s="148" t="s">
        <v>319</v>
      </c>
      <c r="EW27" s="192"/>
    </row>
    <row r="28" spans="1:154" s="49" customFormat="1" ht="32.450000000000003" customHeight="1" x14ac:dyDescent="0.25">
      <c r="A28" s="65">
        <v>22</v>
      </c>
      <c r="B28" s="203" t="s">
        <v>64</v>
      </c>
      <c r="C28" s="76" t="s">
        <v>596</v>
      </c>
      <c r="D28" s="77" t="s">
        <v>466</v>
      </c>
      <c r="E28" s="41">
        <v>220</v>
      </c>
      <c r="F28" s="153"/>
      <c r="G28" s="153"/>
      <c r="H28" s="153"/>
      <c r="I28" s="153"/>
      <c r="J28" s="153"/>
      <c r="K28" s="153"/>
      <c r="L28" s="50">
        <v>18000</v>
      </c>
      <c r="M28" s="50">
        <f>+L28*E28</f>
        <v>3960000</v>
      </c>
      <c r="N28" s="50"/>
      <c r="O28" s="50"/>
      <c r="P28" s="50"/>
      <c r="Q28" s="50"/>
      <c r="R28" s="50"/>
      <c r="S28" s="50"/>
      <c r="T28" s="50"/>
      <c r="U28" s="50"/>
      <c r="V28" s="50"/>
      <c r="W28" s="53"/>
      <c r="X28" s="53"/>
      <c r="Y28" s="53"/>
      <c r="Z28" s="53"/>
      <c r="AA28" s="53"/>
      <c r="AB28" s="53"/>
      <c r="AC28" s="53"/>
      <c r="AD28" s="153">
        <v>41327.010199999997</v>
      </c>
      <c r="AE28" s="53">
        <f>AD28*E28</f>
        <v>9091942.243999999</v>
      </c>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v>40307</v>
      </c>
      <c r="CS28" s="53">
        <f>+CR28*E28</f>
        <v>8867540</v>
      </c>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130">
        <f>MEDIAN(AD28,CR28)</f>
        <v>40817.005099999995</v>
      </c>
      <c r="EQ28" s="130">
        <f>AVERAGE(AD28,CR28)</f>
        <v>40817.005099999995</v>
      </c>
      <c r="ER28" s="131">
        <f>STDEV(AD28,CR28)</f>
        <v>721.25612929944441</v>
      </c>
      <c r="ES28" s="137">
        <f t="shared" si="17"/>
        <v>1.767048139696669E-2</v>
      </c>
      <c r="ET28" s="151">
        <f t="shared" si="18"/>
        <v>40818</v>
      </c>
      <c r="EU28" s="150">
        <f t="shared" si="21"/>
        <v>8979960</v>
      </c>
      <c r="EV28" s="148" t="s">
        <v>319</v>
      </c>
      <c r="EW28" s="192"/>
    </row>
    <row r="29" spans="1:154" s="49" customFormat="1" ht="32.450000000000003" customHeight="1" x14ac:dyDescent="0.25">
      <c r="A29" s="65">
        <v>23</v>
      </c>
      <c r="B29" s="200" t="s">
        <v>506</v>
      </c>
      <c r="C29" s="66" t="s">
        <v>507</v>
      </c>
      <c r="D29" s="67" t="s">
        <v>466</v>
      </c>
      <c r="E29" s="65">
        <v>120</v>
      </c>
      <c r="F29" s="146">
        <v>65000</v>
      </c>
      <c r="G29" s="146">
        <f>+F29*E29</f>
        <v>7800000</v>
      </c>
      <c r="H29" s="146"/>
      <c r="I29" s="146"/>
      <c r="J29" s="146"/>
      <c r="K29" s="146"/>
      <c r="L29" s="53"/>
      <c r="M29" s="53"/>
      <c r="N29" s="53"/>
      <c r="O29" s="53"/>
      <c r="P29" s="53"/>
      <c r="Q29" s="53"/>
      <c r="R29" s="53"/>
      <c r="S29" s="53"/>
      <c r="T29" s="53"/>
      <c r="U29" s="53"/>
      <c r="V29" s="53">
        <v>35000</v>
      </c>
      <c r="W29" s="53">
        <f t="shared" si="19"/>
        <v>4200000</v>
      </c>
      <c r="X29" s="53">
        <v>26000</v>
      </c>
      <c r="Y29" s="53">
        <f t="shared" si="15"/>
        <v>3120000</v>
      </c>
      <c r="Z29" s="53"/>
      <c r="AA29" s="53"/>
      <c r="AB29" s="53"/>
      <c r="AC29" s="53"/>
      <c r="AD29" s="146">
        <v>33700.799999999996</v>
      </c>
      <c r="AE29" s="53">
        <f t="shared" si="16"/>
        <v>4044095.9999999995</v>
      </c>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74"/>
      <c r="EI29" s="74"/>
      <c r="EJ29" s="53">
        <v>40000</v>
      </c>
      <c r="EK29" s="53">
        <f>+EJ29*E29</f>
        <v>4800000</v>
      </c>
      <c r="EL29" s="53"/>
      <c r="EM29" s="53"/>
      <c r="EN29" s="53"/>
      <c r="EO29" s="53"/>
      <c r="EP29" s="130">
        <f>MEDIAN(V29,X29,EJ29)</f>
        <v>35000</v>
      </c>
      <c r="EQ29" s="130">
        <f>AVERAGE(V29,X29,EJ29)</f>
        <v>33666.666666666664</v>
      </c>
      <c r="ER29" s="131">
        <f>STDEV(V29,X29,EJ29)</f>
        <v>7094.5988845975817</v>
      </c>
      <c r="ES29" s="137">
        <f t="shared" si="17"/>
        <v>0.21073065993854204</v>
      </c>
      <c r="ET29" s="151">
        <f t="shared" si="18"/>
        <v>35000</v>
      </c>
      <c r="EU29" s="150">
        <f t="shared" si="21"/>
        <v>4200000</v>
      </c>
      <c r="EV29" s="148" t="s">
        <v>322</v>
      </c>
      <c r="EW29" s="192"/>
    </row>
    <row r="30" spans="1:154" s="49" customFormat="1" ht="32.25" customHeight="1" x14ac:dyDescent="0.25">
      <c r="A30" s="65">
        <v>24</v>
      </c>
      <c r="B30" s="200" t="s">
        <v>508</v>
      </c>
      <c r="C30" s="66" t="s">
        <v>509</v>
      </c>
      <c r="D30" s="67" t="s">
        <v>466</v>
      </c>
      <c r="E30" s="65">
        <v>120</v>
      </c>
      <c r="F30" s="146"/>
      <c r="G30" s="146"/>
      <c r="H30" s="146"/>
      <c r="I30" s="146"/>
      <c r="J30" s="146"/>
      <c r="K30" s="146"/>
      <c r="L30" s="53"/>
      <c r="M30" s="53"/>
      <c r="N30" s="53"/>
      <c r="O30" s="53"/>
      <c r="P30" s="53"/>
      <c r="Q30" s="53"/>
      <c r="R30" s="53"/>
      <c r="S30" s="53"/>
      <c r="T30" s="53"/>
      <c r="U30" s="53"/>
      <c r="V30" s="53">
        <f>12000*6</f>
        <v>72000</v>
      </c>
      <c r="W30" s="53">
        <f t="shared" si="19"/>
        <v>8640000</v>
      </c>
      <c r="X30" s="53">
        <f>10000*6</f>
        <v>60000</v>
      </c>
      <c r="Y30" s="53">
        <f t="shared" si="15"/>
        <v>7200000</v>
      </c>
      <c r="Z30" s="53"/>
      <c r="AA30" s="53"/>
      <c r="AB30" s="53"/>
      <c r="AC30" s="53"/>
      <c r="AD30" s="146">
        <v>56168</v>
      </c>
      <c r="AE30" s="53">
        <f t="shared" si="16"/>
        <v>6740160</v>
      </c>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v>45000</v>
      </c>
      <c r="EK30" s="53">
        <f>+EJ30*E30</f>
        <v>5400000</v>
      </c>
      <c r="EL30" s="53"/>
      <c r="EM30" s="53"/>
      <c r="EN30" s="53"/>
      <c r="EO30" s="53"/>
      <c r="EP30" s="130">
        <f>MEDIAN(V30,X30,AD30)</f>
        <v>60000</v>
      </c>
      <c r="EQ30" s="130">
        <f>AVERAGE(V30,X30,AD30)</f>
        <v>62722.666666666664</v>
      </c>
      <c r="ER30" s="131">
        <f>STDEV(V30,X30,AD30)</f>
        <v>8259.705886612006</v>
      </c>
      <c r="ES30" s="137">
        <f t="shared" si="17"/>
        <v>0.13168614036305865</v>
      </c>
      <c r="ET30" s="151">
        <f t="shared" si="18"/>
        <v>62723</v>
      </c>
      <c r="EU30" s="150">
        <f t="shared" si="21"/>
        <v>7526760</v>
      </c>
      <c r="EV30" s="148" t="s">
        <v>319</v>
      </c>
      <c r="EW30" s="192"/>
    </row>
    <row r="31" spans="1:154" s="49" customFormat="1" ht="32.25" customHeight="1" x14ac:dyDescent="0.25">
      <c r="A31" s="65">
        <v>25</v>
      </c>
      <c r="B31" s="200" t="s">
        <v>510</v>
      </c>
      <c r="C31" s="66" t="s">
        <v>511</v>
      </c>
      <c r="D31" s="67" t="s">
        <v>466</v>
      </c>
      <c r="E31" s="71">
        <v>120</v>
      </c>
      <c r="F31" s="146"/>
      <c r="G31" s="146"/>
      <c r="H31" s="146"/>
      <c r="I31" s="146"/>
      <c r="J31" s="146"/>
      <c r="K31" s="146"/>
      <c r="L31" s="53"/>
      <c r="M31" s="53"/>
      <c r="N31" s="53"/>
      <c r="O31" s="53"/>
      <c r="P31" s="53"/>
      <c r="Q31" s="53"/>
      <c r="R31" s="53"/>
      <c r="S31" s="53"/>
      <c r="T31" s="53"/>
      <c r="U31" s="53"/>
      <c r="V31" s="53"/>
      <c r="W31" s="53">
        <f t="shared" si="19"/>
        <v>0</v>
      </c>
      <c r="X31" s="53">
        <v>7000</v>
      </c>
      <c r="Y31" s="53">
        <f t="shared" si="15"/>
        <v>840000</v>
      </c>
      <c r="Z31" s="53"/>
      <c r="AA31" s="53"/>
      <c r="AB31" s="53"/>
      <c r="AC31" s="53"/>
      <c r="AD31" s="146">
        <v>25275.599999999999</v>
      </c>
      <c r="AE31" s="53">
        <f t="shared" si="16"/>
        <v>3033072</v>
      </c>
      <c r="AF31" s="53"/>
      <c r="AG31" s="53"/>
      <c r="AH31" s="53"/>
      <c r="AI31" s="53"/>
      <c r="AJ31" s="53">
        <v>13000</v>
      </c>
      <c r="AK31" s="53">
        <f>+AJ31*E31</f>
        <v>1560000</v>
      </c>
      <c r="AL31" s="53">
        <v>19000</v>
      </c>
      <c r="AM31" s="53">
        <f>+AL31*E31</f>
        <v>2280000</v>
      </c>
      <c r="AN31" s="53">
        <v>20000</v>
      </c>
      <c r="AO31" s="53">
        <f>+AN31*E31</f>
        <v>2400000</v>
      </c>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v>12000</v>
      </c>
      <c r="BU31" s="53">
        <f>+BT31*E31</f>
        <v>1440000</v>
      </c>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v>20000</v>
      </c>
      <c r="EK31" s="53">
        <f t="shared" ref="EK31:EK33" si="22">+EJ31*E31</f>
        <v>2400000</v>
      </c>
      <c r="EL31" s="53"/>
      <c r="EM31" s="53"/>
      <c r="EN31" s="53"/>
      <c r="EO31" s="53"/>
      <c r="EP31" s="130">
        <f>MEDIAN(AJ31,BT31)</f>
        <v>12500</v>
      </c>
      <c r="EQ31" s="130">
        <f>AVERAGE(AJ31,BT31)</f>
        <v>12500</v>
      </c>
      <c r="ER31" s="131">
        <f>STDEV(AJ31,BT31)</f>
        <v>707.10678118654755</v>
      </c>
      <c r="ES31" s="137">
        <f t="shared" si="17"/>
        <v>5.6568542494923803E-2</v>
      </c>
      <c r="ET31" s="151">
        <f t="shared" si="18"/>
        <v>12500</v>
      </c>
      <c r="EU31" s="150">
        <f t="shared" si="21"/>
        <v>1500000</v>
      </c>
      <c r="EV31" s="148" t="s">
        <v>319</v>
      </c>
      <c r="EW31" s="192"/>
    </row>
    <row r="32" spans="1:154" s="49" customFormat="1" ht="32.25" customHeight="1" x14ac:dyDescent="0.25">
      <c r="A32" s="65">
        <v>26</v>
      </c>
      <c r="B32" s="200" t="s">
        <v>512</v>
      </c>
      <c r="C32" s="66" t="s">
        <v>513</v>
      </c>
      <c r="D32" s="67" t="s">
        <v>466</v>
      </c>
      <c r="E32" s="65">
        <v>120</v>
      </c>
      <c r="F32" s="146"/>
      <c r="G32" s="146"/>
      <c r="H32" s="146"/>
      <c r="I32" s="146"/>
      <c r="J32" s="146"/>
      <c r="K32" s="146"/>
      <c r="L32" s="53"/>
      <c r="M32" s="53"/>
      <c r="N32" s="53"/>
      <c r="O32" s="53"/>
      <c r="P32" s="53"/>
      <c r="Q32" s="53"/>
      <c r="R32" s="53"/>
      <c r="S32" s="53"/>
      <c r="T32" s="53"/>
      <c r="U32" s="53"/>
      <c r="V32" s="53">
        <v>10000</v>
      </c>
      <c r="W32" s="53">
        <f t="shared" si="19"/>
        <v>1200000</v>
      </c>
      <c r="X32" s="53">
        <v>8000</v>
      </c>
      <c r="Y32" s="53">
        <f t="shared" si="15"/>
        <v>960000</v>
      </c>
      <c r="Z32" s="53"/>
      <c r="AA32" s="53"/>
      <c r="AB32" s="53"/>
      <c r="AC32" s="53"/>
      <c r="AD32" s="146">
        <v>21063</v>
      </c>
      <c r="AE32" s="53">
        <f t="shared" si="16"/>
        <v>2527560</v>
      </c>
      <c r="AF32" s="53"/>
      <c r="AG32" s="53"/>
      <c r="AH32" s="53"/>
      <c r="AI32" s="53"/>
      <c r="AJ32" s="53">
        <v>9000</v>
      </c>
      <c r="AK32" s="53">
        <f>+AJ32*E32</f>
        <v>1080000</v>
      </c>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v>15000</v>
      </c>
      <c r="EK32" s="53">
        <f t="shared" si="22"/>
        <v>1800000</v>
      </c>
      <c r="EL32" s="53"/>
      <c r="EM32" s="53"/>
      <c r="EN32" s="53"/>
      <c r="EO32" s="53"/>
      <c r="EP32" s="130">
        <f>MEDIAN(V32,X32,AJ32)</f>
        <v>9000</v>
      </c>
      <c r="EQ32" s="130">
        <f>AVERAGE(V32,X32,AJ32)</f>
        <v>9000</v>
      </c>
      <c r="ER32" s="131">
        <f>STDEV(V32,X32,AJ32)</f>
        <v>1000</v>
      </c>
      <c r="ES32" s="137">
        <f t="shared" si="17"/>
        <v>0.1111111111111111</v>
      </c>
      <c r="ET32" s="151">
        <f t="shared" si="18"/>
        <v>9000</v>
      </c>
      <c r="EU32" s="150">
        <f t="shared" si="21"/>
        <v>1080000</v>
      </c>
      <c r="EV32" s="148" t="s">
        <v>319</v>
      </c>
      <c r="EW32" s="192"/>
    </row>
    <row r="33" spans="1:153" s="49" customFormat="1" ht="32.25" customHeight="1" x14ac:dyDescent="0.25">
      <c r="A33" s="65">
        <v>27</v>
      </c>
      <c r="B33" s="200" t="s">
        <v>514</v>
      </c>
      <c r="C33" s="66" t="s">
        <v>515</v>
      </c>
      <c r="D33" s="67" t="s">
        <v>466</v>
      </c>
      <c r="E33" s="65">
        <v>120</v>
      </c>
      <c r="F33" s="146">
        <v>140000</v>
      </c>
      <c r="G33" s="146">
        <f>+F33*E33</f>
        <v>16800000</v>
      </c>
      <c r="H33" s="146"/>
      <c r="I33" s="146"/>
      <c r="J33" s="146"/>
      <c r="K33" s="146"/>
      <c r="L33" s="53"/>
      <c r="M33" s="53"/>
      <c r="N33" s="53"/>
      <c r="O33" s="53"/>
      <c r="P33" s="53"/>
      <c r="Q33" s="53"/>
      <c r="R33" s="53"/>
      <c r="S33" s="53"/>
      <c r="T33" s="53"/>
      <c r="U33" s="53"/>
      <c r="V33" s="53"/>
      <c r="W33" s="53"/>
      <c r="X33" s="53"/>
      <c r="Y33" s="53"/>
      <c r="Z33" s="53"/>
      <c r="AA33" s="53"/>
      <c r="AB33" s="53"/>
      <c r="AC33" s="53"/>
      <c r="AD33" s="146">
        <v>42126</v>
      </c>
      <c r="AE33" s="53">
        <f t="shared" si="16"/>
        <v>5055120</v>
      </c>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v>57546</v>
      </c>
      <c r="CS33" s="53">
        <f>+CR33*E33</f>
        <v>6905520</v>
      </c>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v>80000</v>
      </c>
      <c r="EK33" s="53">
        <f t="shared" si="22"/>
        <v>9600000</v>
      </c>
      <c r="EL33" s="53"/>
      <c r="EM33" s="53"/>
      <c r="EN33" s="53"/>
      <c r="EO33" s="53"/>
      <c r="EP33" s="130">
        <f>MEDIAN(AD33,CR33)</f>
        <v>49836</v>
      </c>
      <c r="EQ33" s="130">
        <f>AVERAGE(AD33,CR33)</f>
        <v>49836</v>
      </c>
      <c r="ER33" s="131">
        <f>STDEV(AD33,CR33)</f>
        <v>10903.586565896563</v>
      </c>
      <c r="ES33" s="137">
        <f t="shared" si="17"/>
        <v>0.21878936042010921</v>
      </c>
      <c r="ET33" s="151">
        <f t="shared" si="18"/>
        <v>49836</v>
      </c>
      <c r="EU33" s="150">
        <f t="shared" si="21"/>
        <v>5980320</v>
      </c>
      <c r="EV33" s="148" t="s">
        <v>322</v>
      </c>
      <c r="EW33" s="192"/>
    </row>
    <row r="34" spans="1:153" s="49" customFormat="1" ht="32.25" customHeight="1" x14ac:dyDescent="0.25">
      <c r="A34" s="65">
        <v>28</v>
      </c>
      <c r="B34" s="200" t="s">
        <v>516</v>
      </c>
      <c r="C34" s="66" t="s">
        <v>517</v>
      </c>
      <c r="D34" s="67" t="s">
        <v>466</v>
      </c>
      <c r="E34" s="71">
        <v>520</v>
      </c>
      <c r="F34" s="146"/>
      <c r="G34" s="146"/>
      <c r="H34" s="146"/>
      <c r="I34" s="146"/>
      <c r="J34" s="146"/>
      <c r="K34" s="146"/>
      <c r="L34" s="53"/>
      <c r="M34" s="53"/>
      <c r="N34" s="53"/>
      <c r="O34" s="53"/>
      <c r="P34" s="53"/>
      <c r="Q34" s="53"/>
      <c r="R34" s="53"/>
      <c r="S34" s="53"/>
      <c r="T34" s="53"/>
      <c r="U34" s="53"/>
      <c r="V34" s="53"/>
      <c r="W34" s="53"/>
      <c r="X34" s="53"/>
      <c r="Y34" s="53"/>
      <c r="Z34" s="53"/>
      <c r="AA34" s="53"/>
      <c r="AB34" s="53"/>
      <c r="AC34" s="53"/>
      <c r="AD34" s="146">
        <v>141122.1</v>
      </c>
      <c r="AE34" s="53">
        <f t="shared" si="16"/>
        <v>73383492</v>
      </c>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v>150000</v>
      </c>
      <c r="CC34" s="53">
        <f>+CB34*E34</f>
        <v>78000000</v>
      </c>
      <c r="CD34" s="53">
        <v>135000</v>
      </c>
      <c r="CE34" s="53">
        <f>+CD34*E34</f>
        <v>70200000</v>
      </c>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130">
        <f>MEDIAN(CB34,CD34)</f>
        <v>142500</v>
      </c>
      <c r="EQ34" s="130">
        <f>AVERAGE(CB34,CD34)</f>
        <v>142500</v>
      </c>
      <c r="ER34" s="131">
        <f>STDEV(CB34,CD34)</f>
        <v>10606.601717798212</v>
      </c>
      <c r="ES34" s="137">
        <f t="shared" si="17"/>
        <v>7.4432292756478682E-2</v>
      </c>
      <c r="ET34" s="151">
        <f t="shared" si="18"/>
        <v>142500</v>
      </c>
      <c r="EU34" s="150">
        <f t="shared" si="21"/>
        <v>74100000</v>
      </c>
      <c r="EV34" s="148" t="s">
        <v>319</v>
      </c>
      <c r="EW34" s="192"/>
    </row>
    <row r="35" spans="1:153" s="49" customFormat="1" ht="32.25" customHeight="1" x14ac:dyDescent="0.25">
      <c r="A35" s="65">
        <v>29</v>
      </c>
      <c r="B35" s="200" t="s">
        <v>518</v>
      </c>
      <c r="C35" s="66" t="s">
        <v>519</v>
      </c>
      <c r="D35" s="67" t="s">
        <v>466</v>
      </c>
      <c r="E35" s="65">
        <v>700</v>
      </c>
      <c r="F35" s="146"/>
      <c r="G35" s="146"/>
      <c r="H35" s="146"/>
      <c r="I35" s="146"/>
      <c r="J35" s="146"/>
      <c r="K35" s="146"/>
      <c r="L35" s="53"/>
      <c r="M35" s="53"/>
      <c r="N35" s="53"/>
      <c r="O35" s="53"/>
      <c r="P35" s="53"/>
      <c r="Q35" s="53"/>
      <c r="R35" s="53"/>
      <c r="S35" s="53"/>
      <c r="T35" s="53"/>
      <c r="U35" s="53"/>
      <c r="V35" s="53"/>
      <c r="W35" s="53"/>
      <c r="X35" s="53"/>
      <c r="Y35" s="53"/>
      <c r="Z35" s="53"/>
      <c r="AA35" s="53"/>
      <c r="AB35" s="53"/>
      <c r="AC35" s="53"/>
      <c r="AD35" s="146"/>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v>289900</v>
      </c>
      <c r="DA35" s="53">
        <f>+CZ35*E35</f>
        <v>202930000</v>
      </c>
      <c r="DB35" s="53">
        <v>200000</v>
      </c>
      <c r="DC35" s="53">
        <f>+DB35*E35</f>
        <v>140000000</v>
      </c>
      <c r="DD35" s="53">
        <v>200000</v>
      </c>
      <c r="DE35" s="53">
        <f>+DD35*E35</f>
        <v>140000000</v>
      </c>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130">
        <f>MEDIAN(DB35,DD35)</f>
        <v>200000</v>
      </c>
      <c r="EQ35" s="130">
        <f>AVERAGE(DB35,DD35)</f>
        <v>200000</v>
      </c>
      <c r="ER35" s="131">
        <f>STDEV(DB35,DD35)</f>
        <v>0</v>
      </c>
      <c r="ES35" s="137">
        <f t="shared" si="17"/>
        <v>0</v>
      </c>
      <c r="ET35" s="151">
        <f t="shared" si="18"/>
        <v>200000</v>
      </c>
      <c r="EU35" s="150">
        <f t="shared" si="21"/>
        <v>140000000</v>
      </c>
      <c r="EV35" s="148" t="s">
        <v>322</v>
      </c>
      <c r="EW35" s="192"/>
    </row>
    <row r="36" spans="1:153" s="49" customFormat="1" ht="32.450000000000003" customHeight="1" x14ac:dyDescent="0.25">
      <c r="A36" s="65">
        <v>30</v>
      </c>
      <c r="B36" s="200" t="s">
        <v>520</v>
      </c>
      <c r="C36" s="66" t="s">
        <v>521</v>
      </c>
      <c r="D36" s="67" t="s">
        <v>466</v>
      </c>
      <c r="E36" s="65">
        <v>120</v>
      </c>
      <c r="F36" s="146"/>
      <c r="G36" s="146"/>
      <c r="H36" s="146"/>
      <c r="I36" s="146"/>
      <c r="J36" s="146"/>
      <c r="K36" s="146"/>
      <c r="L36" s="53"/>
      <c r="M36" s="53"/>
      <c r="N36" s="53"/>
      <c r="O36" s="53"/>
      <c r="P36" s="53"/>
      <c r="Q36" s="53"/>
      <c r="R36" s="53"/>
      <c r="S36" s="53"/>
      <c r="T36" s="53"/>
      <c r="U36" s="53"/>
      <c r="V36" s="53"/>
      <c r="W36" s="53"/>
      <c r="X36" s="53"/>
      <c r="Y36" s="53"/>
      <c r="Z36" s="53"/>
      <c r="AA36" s="53"/>
      <c r="AB36" s="53"/>
      <c r="AC36" s="53"/>
      <c r="AD36" s="146">
        <v>53938.130399999995</v>
      </c>
      <c r="AE36" s="53">
        <f t="shared" ref="AE36:AE37" si="23">+AD36*E36</f>
        <v>6472575.6479999991</v>
      </c>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v>70000</v>
      </c>
      <c r="BY36" s="53">
        <f>+BX36*E36</f>
        <v>8400000</v>
      </c>
      <c r="BZ36" s="53"/>
      <c r="CA36" s="53"/>
      <c r="CB36" s="53"/>
      <c r="CC36" s="53"/>
      <c r="CD36" s="53"/>
      <c r="CE36" s="53"/>
      <c r="CF36" s="53">
        <v>85000</v>
      </c>
      <c r="CG36" s="53">
        <f>+CF36*E36</f>
        <v>10200000</v>
      </c>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130">
        <f>MEDIAN(BX36,CF36)</f>
        <v>77500</v>
      </c>
      <c r="EQ36" s="130">
        <f>AVERAGE(BX36,CF36)</f>
        <v>77500</v>
      </c>
      <c r="ER36" s="131">
        <f>STDEV(BX36,CF36)</f>
        <v>10606.601717798212</v>
      </c>
      <c r="ES36" s="137">
        <f t="shared" si="17"/>
        <v>0.1368593770038479</v>
      </c>
      <c r="ET36" s="151">
        <f t="shared" si="18"/>
        <v>77500</v>
      </c>
      <c r="EU36" s="150">
        <f t="shared" si="21"/>
        <v>9300000</v>
      </c>
      <c r="EV36" s="148" t="s">
        <v>319</v>
      </c>
      <c r="EW36" s="192"/>
    </row>
    <row r="37" spans="1:153" s="49" customFormat="1" ht="32.450000000000003" customHeight="1" x14ac:dyDescent="0.25">
      <c r="A37" s="65">
        <v>31</v>
      </c>
      <c r="B37" s="200" t="s">
        <v>522</v>
      </c>
      <c r="C37" s="66" t="s">
        <v>523</v>
      </c>
      <c r="D37" s="67" t="s">
        <v>466</v>
      </c>
      <c r="E37" s="71">
        <v>520</v>
      </c>
      <c r="F37" s="146"/>
      <c r="G37" s="146"/>
      <c r="H37" s="146"/>
      <c r="I37" s="146"/>
      <c r="J37" s="146"/>
      <c r="K37" s="146"/>
      <c r="L37" s="53"/>
      <c r="M37" s="53"/>
      <c r="N37" s="53"/>
      <c r="O37" s="53"/>
      <c r="P37" s="53"/>
      <c r="Q37" s="53"/>
      <c r="R37" s="53"/>
      <c r="S37" s="53"/>
      <c r="T37" s="53"/>
      <c r="U37" s="53"/>
      <c r="V37" s="53"/>
      <c r="W37" s="53"/>
      <c r="X37" s="53"/>
      <c r="Y37" s="53"/>
      <c r="Z37" s="53"/>
      <c r="AA37" s="53"/>
      <c r="AB37" s="53"/>
      <c r="AC37" s="53"/>
      <c r="AD37" s="146">
        <v>99557.78</v>
      </c>
      <c r="AE37" s="53">
        <f t="shared" si="23"/>
        <v>51770045.600000001</v>
      </c>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v>6000</v>
      </c>
      <c r="BI37" s="53">
        <f>+BH37*E37</f>
        <v>3120000</v>
      </c>
      <c r="BJ37" s="53"/>
      <c r="BK37" s="53"/>
      <c r="BL37" s="53"/>
      <c r="BM37" s="53"/>
      <c r="BN37" s="53"/>
      <c r="BO37" s="53"/>
      <c r="BP37" s="53"/>
      <c r="BQ37" s="53"/>
      <c r="BR37" s="53"/>
      <c r="BS37" s="53"/>
      <c r="BT37" s="53"/>
      <c r="BU37" s="53"/>
      <c r="BV37" s="53"/>
      <c r="BW37" s="53"/>
      <c r="BX37" s="53"/>
      <c r="BY37" s="53"/>
      <c r="BZ37" s="53">
        <v>17000</v>
      </c>
      <c r="CA37" s="53">
        <f>+BZ37*E37</f>
        <v>8840000</v>
      </c>
      <c r="CB37" s="53"/>
      <c r="CC37" s="53"/>
      <c r="CD37" s="53"/>
      <c r="CE37" s="53"/>
      <c r="CF37" s="53"/>
      <c r="CG37" s="53"/>
      <c r="CH37" s="53"/>
      <c r="CI37" s="53"/>
      <c r="CJ37" s="53"/>
      <c r="CK37" s="53"/>
      <c r="CL37" s="53"/>
      <c r="CM37" s="53"/>
      <c r="CN37" s="53">
        <v>20000</v>
      </c>
      <c r="CO37" s="53">
        <f>+CN37*E37</f>
        <v>10400000</v>
      </c>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130">
        <f>MEDIAN(BZ37,CN37)</f>
        <v>18500</v>
      </c>
      <c r="EQ37" s="130">
        <f>AVERAGE(BZ37,CN37)</f>
        <v>18500</v>
      </c>
      <c r="ER37" s="131">
        <f>STDEV(BZ37,CN37)</f>
        <v>2121.3203435596424</v>
      </c>
      <c r="ES37" s="137">
        <f t="shared" si="17"/>
        <v>0.11466596451673743</v>
      </c>
      <c r="ET37" s="151">
        <f t="shared" si="18"/>
        <v>18500</v>
      </c>
      <c r="EU37" s="150">
        <f t="shared" si="21"/>
        <v>9620000</v>
      </c>
      <c r="EV37" s="148" t="s">
        <v>319</v>
      </c>
      <c r="EW37" s="192"/>
    </row>
    <row r="38" spans="1:153" s="49" customFormat="1" ht="32.450000000000003" customHeight="1" x14ac:dyDescent="0.25">
      <c r="A38" s="65">
        <v>32</v>
      </c>
      <c r="B38" s="200" t="s">
        <v>524</v>
      </c>
      <c r="C38" s="66" t="s">
        <v>525</v>
      </c>
      <c r="D38" s="67" t="s">
        <v>466</v>
      </c>
      <c r="E38" s="65">
        <v>430</v>
      </c>
      <c r="F38" s="146"/>
      <c r="G38" s="146"/>
      <c r="H38" s="146"/>
      <c r="I38" s="146"/>
      <c r="J38" s="146"/>
      <c r="K38" s="146"/>
      <c r="L38" s="53"/>
      <c r="M38" s="53"/>
      <c r="N38" s="53"/>
      <c r="O38" s="53"/>
      <c r="P38" s="53"/>
      <c r="Q38" s="53"/>
      <c r="R38" s="53"/>
      <c r="S38" s="53"/>
      <c r="T38" s="53"/>
      <c r="U38" s="53"/>
      <c r="V38" s="53"/>
      <c r="W38" s="53"/>
      <c r="X38" s="53"/>
      <c r="Y38" s="53"/>
      <c r="Z38" s="53"/>
      <c r="AA38" s="53"/>
      <c r="AB38" s="53"/>
      <c r="AC38" s="53"/>
      <c r="AD38" s="146"/>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v>18000</v>
      </c>
      <c r="BI38" s="53">
        <f t="shared" ref="BI38:BI39" si="24">+BH38*E38</f>
        <v>7740000</v>
      </c>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v>240000</v>
      </c>
      <c r="CK38" s="53">
        <f>+CJ38*E38</f>
        <v>103200000</v>
      </c>
      <c r="CL38" s="53"/>
      <c r="CM38" s="53"/>
      <c r="CN38" s="53"/>
      <c r="CO38" s="53"/>
      <c r="CP38" s="53">
        <v>200000</v>
      </c>
      <c r="CQ38" s="53">
        <f>+CP38*E38</f>
        <v>86000000</v>
      </c>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130">
        <f>MEDIAN(CJ38,CP38)</f>
        <v>220000</v>
      </c>
      <c r="EQ38" s="130">
        <f>AVERAGE(CJ38,CP38)</f>
        <v>220000</v>
      </c>
      <c r="ER38" s="131">
        <f>STDEV(CJ38,CP38)</f>
        <v>28284.2712474619</v>
      </c>
      <c r="ES38" s="137">
        <f t="shared" si="17"/>
        <v>0.12856486930664501</v>
      </c>
      <c r="ET38" s="151">
        <f t="shared" si="18"/>
        <v>220000</v>
      </c>
      <c r="EU38" s="150">
        <f t="shared" si="21"/>
        <v>94600000</v>
      </c>
      <c r="EV38" s="148" t="s">
        <v>319</v>
      </c>
      <c r="EW38" s="192"/>
    </row>
    <row r="39" spans="1:153" s="49" customFormat="1" ht="32.450000000000003" customHeight="1" x14ac:dyDescent="0.25">
      <c r="A39" s="65">
        <v>33</v>
      </c>
      <c r="B39" s="200" t="s">
        <v>526</v>
      </c>
      <c r="C39" s="66" t="s">
        <v>527</v>
      </c>
      <c r="D39" s="67" t="s">
        <v>466</v>
      </c>
      <c r="E39" s="65">
        <v>130</v>
      </c>
      <c r="F39" s="146"/>
      <c r="G39" s="146"/>
      <c r="H39" s="146"/>
      <c r="I39" s="146"/>
      <c r="J39" s="146"/>
      <c r="K39" s="146"/>
      <c r="L39" s="53"/>
      <c r="M39" s="53"/>
      <c r="N39" s="53"/>
      <c r="O39" s="53"/>
      <c r="P39" s="53"/>
      <c r="Q39" s="53"/>
      <c r="R39" s="53"/>
      <c r="S39" s="53"/>
      <c r="T39" s="53"/>
      <c r="U39" s="53"/>
      <c r="V39" s="53"/>
      <c r="W39" s="53"/>
      <c r="X39" s="53"/>
      <c r="Y39" s="53"/>
      <c r="Z39" s="53"/>
      <c r="AA39" s="53"/>
      <c r="AB39" s="53"/>
      <c r="AC39" s="53"/>
      <c r="AD39" s="146">
        <v>33981.64</v>
      </c>
      <c r="AE39" s="53">
        <f t="shared" ref="AE39" si="25">+AD39*E39</f>
        <v>4417613.2</v>
      </c>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v>18000</v>
      </c>
      <c r="BI39" s="53">
        <f t="shared" si="24"/>
        <v>2340000</v>
      </c>
      <c r="BJ39" s="53">
        <v>15000</v>
      </c>
      <c r="BK39" s="53">
        <f>+BJ39*E39</f>
        <v>1950000</v>
      </c>
      <c r="BL39" s="53">
        <v>25000</v>
      </c>
      <c r="BM39" s="53">
        <f>+BL39*E39</f>
        <v>3250000</v>
      </c>
      <c r="BN39" s="53"/>
      <c r="BO39" s="53"/>
      <c r="BP39" s="53"/>
      <c r="BQ39" s="53"/>
      <c r="BR39" s="53"/>
      <c r="BS39" s="53"/>
      <c r="BT39" s="53"/>
      <c r="BU39" s="53"/>
      <c r="BV39" s="53"/>
      <c r="BW39" s="53"/>
      <c r="BX39" s="53"/>
      <c r="BY39" s="53"/>
      <c r="BZ39" s="53"/>
      <c r="CA39" s="53"/>
      <c r="CB39" s="53"/>
      <c r="CC39" s="53"/>
      <c r="CD39" s="53"/>
      <c r="CE39" s="53"/>
      <c r="CF39" s="53"/>
      <c r="CG39" s="53"/>
      <c r="CH39" s="53">
        <v>300000</v>
      </c>
      <c r="CI39" s="53">
        <f>+CH39*E39</f>
        <v>39000000</v>
      </c>
      <c r="CJ39" s="53"/>
      <c r="CK39" s="53"/>
      <c r="CL39" s="53">
        <v>300000</v>
      </c>
      <c r="CM39" s="53">
        <f>+CL39*E39</f>
        <v>39000000</v>
      </c>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130">
        <f>MEDIAN(CH39,CL39)</f>
        <v>300000</v>
      </c>
      <c r="EQ39" s="130">
        <f>AVERAGE(CH39,CL39)</f>
        <v>300000</v>
      </c>
      <c r="ER39" s="131">
        <f>STDEV(CH39,CL39)</f>
        <v>0</v>
      </c>
      <c r="ES39" s="137">
        <f t="shared" si="17"/>
        <v>0</v>
      </c>
      <c r="ET39" s="151">
        <f t="shared" si="18"/>
        <v>300000</v>
      </c>
      <c r="EU39" s="150">
        <f t="shared" si="21"/>
        <v>39000000</v>
      </c>
      <c r="EV39" s="148" t="s">
        <v>319</v>
      </c>
      <c r="EW39" s="192"/>
    </row>
    <row r="40" spans="1:153" s="49" customFormat="1" ht="32.450000000000003" customHeight="1" x14ac:dyDescent="0.25">
      <c r="A40" s="65">
        <v>34</v>
      </c>
      <c r="B40" s="200" t="s">
        <v>528</v>
      </c>
      <c r="C40" s="66" t="s">
        <v>529</v>
      </c>
      <c r="D40" s="67" t="s">
        <v>466</v>
      </c>
      <c r="E40" s="71">
        <v>180</v>
      </c>
      <c r="F40" s="146"/>
      <c r="G40" s="146"/>
      <c r="H40" s="146"/>
      <c r="I40" s="146"/>
      <c r="J40" s="146"/>
      <c r="K40" s="146"/>
      <c r="L40" s="53"/>
      <c r="M40" s="53"/>
      <c r="N40" s="53"/>
      <c r="O40" s="53"/>
      <c r="P40" s="53"/>
      <c r="Q40" s="53"/>
      <c r="R40" s="53"/>
      <c r="S40" s="53"/>
      <c r="T40" s="53"/>
      <c r="U40" s="53"/>
      <c r="V40" s="53">
        <v>6000</v>
      </c>
      <c r="W40" s="53">
        <f t="shared" ref="W40" si="26">+V40*E40</f>
        <v>1080000</v>
      </c>
      <c r="X40" s="53"/>
      <c r="Y40" s="53"/>
      <c r="Z40" s="53"/>
      <c r="AA40" s="53"/>
      <c r="AB40" s="53"/>
      <c r="AC40" s="53"/>
      <c r="AD40" s="146"/>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v>6000</v>
      </c>
      <c r="BQ40" s="53">
        <f>+BP40*E40</f>
        <v>1080000</v>
      </c>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v>15120</v>
      </c>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130">
        <f>MEDIAN(V40,BP40)</f>
        <v>6000</v>
      </c>
      <c r="EQ40" s="130">
        <f>AVERAGE(V40,BP40)</f>
        <v>6000</v>
      </c>
      <c r="ER40" s="131">
        <f>STDEV(V40,BP40)</f>
        <v>0</v>
      </c>
      <c r="ES40" s="137">
        <f t="shared" si="17"/>
        <v>0</v>
      </c>
      <c r="ET40" s="151">
        <f t="shared" si="18"/>
        <v>6000</v>
      </c>
      <c r="EU40" s="150">
        <f t="shared" si="21"/>
        <v>1080000</v>
      </c>
      <c r="EV40" s="148" t="s">
        <v>319</v>
      </c>
      <c r="EW40" s="192"/>
    </row>
    <row r="41" spans="1:153" s="49" customFormat="1" ht="32.450000000000003" customHeight="1" x14ac:dyDescent="0.25">
      <c r="A41" s="65">
        <v>35</v>
      </c>
      <c r="B41" s="200" t="s">
        <v>530</v>
      </c>
      <c r="C41" s="66" t="s">
        <v>531</v>
      </c>
      <c r="D41" s="67" t="s">
        <v>466</v>
      </c>
      <c r="E41" s="65">
        <v>940</v>
      </c>
      <c r="F41" s="146"/>
      <c r="G41" s="146"/>
      <c r="H41" s="146"/>
      <c r="I41" s="146"/>
      <c r="J41" s="146"/>
      <c r="K41" s="146"/>
      <c r="L41" s="53">
        <f>24000/12</f>
        <v>2000</v>
      </c>
      <c r="M41" s="53">
        <f>+L41*E41</f>
        <v>1880000</v>
      </c>
      <c r="N41" s="53"/>
      <c r="O41" s="53"/>
      <c r="P41" s="53"/>
      <c r="Q41" s="53"/>
      <c r="R41" s="53"/>
      <c r="S41" s="53"/>
      <c r="T41" s="53"/>
      <c r="U41" s="53"/>
      <c r="V41" s="53"/>
      <c r="W41" s="53"/>
      <c r="X41" s="53"/>
      <c r="Y41" s="53"/>
      <c r="Z41" s="53"/>
      <c r="AA41" s="53"/>
      <c r="AB41" s="53"/>
      <c r="AC41" s="53"/>
      <c r="AD41" s="146">
        <v>20543.445999999996</v>
      </c>
      <c r="AE41" s="53">
        <f t="shared" ref="AE41" si="27">+AD41*E41</f>
        <v>19310839.239999995</v>
      </c>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154">
        <v>2200</v>
      </c>
      <c r="CU41" s="154">
        <f>+CT41*E41</f>
        <v>2068000</v>
      </c>
      <c r="CV41" s="154">
        <v>2528</v>
      </c>
      <c r="CW41" s="53">
        <f>+CV41*E41</f>
        <v>2376320</v>
      </c>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130">
        <f>MEDIAN(L41,CT41,CV41)</f>
        <v>2200</v>
      </c>
      <c r="EQ41" s="130">
        <f>AVERAGE(L41,CT41,CV41)</f>
        <v>2242.6666666666665</v>
      </c>
      <c r="ER41" s="131">
        <f>STDEV(L41,CT41,CV41)</f>
        <v>266.57331699428084</v>
      </c>
      <c r="ES41" s="137">
        <f t="shared" si="17"/>
        <v>0.11886443980125484</v>
      </c>
      <c r="ET41" s="151">
        <f t="shared" si="18"/>
        <v>2243</v>
      </c>
      <c r="EU41" s="150">
        <f t="shared" si="21"/>
        <v>2108420</v>
      </c>
      <c r="EV41" s="148" t="s">
        <v>319</v>
      </c>
      <c r="EW41" s="192"/>
    </row>
    <row r="42" spans="1:153" s="49" customFormat="1" ht="84.75" customHeight="1" x14ac:dyDescent="0.25">
      <c r="A42" s="65">
        <v>36</v>
      </c>
      <c r="B42" s="200" t="s">
        <v>532</v>
      </c>
      <c r="C42" s="66" t="s">
        <v>533</v>
      </c>
      <c r="D42" s="67" t="s">
        <v>466</v>
      </c>
      <c r="E42" s="65">
        <v>300</v>
      </c>
      <c r="F42" s="146"/>
      <c r="G42" s="146"/>
      <c r="H42" s="146"/>
      <c r="I42" s="146"/>
      <c r="J42" s="146"/>
      <c r="K42" s="146"/>
      <c r="L42" s="53"/>
      <c r="M42" s="53"/>
      <c r="N42" s="53"/>
      <c r="O42" s="53"/>
      <c r="P42" s="53"/>
      <c r="Q42" s="53"/>
      <c r="R42" s="53"/>
      <c r="S42" s="53"/>
      <c r="T42" s="53"/>
      <c r="U42" s="53"/>
      <c r="V42" s="53"/>
      <c r="W42" s="53"/>
      <c r="X42" s="53"/>
      <c r="Y42" s="53"/>
      <c r="Z42" s="53"/>
      <c r="AA42" s="53"/>
      <c r="AB42" s="53"/>
      <c r="AC42" s="53"/>
      <c r="AD42" s="146"/>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154"/>
      <c r="CU42" s="154"/>
      <c r="CV42" s="154"/>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v>75900</v>
      </c>
      <c r="EM42" s="53">
        <f>+EL42*E42</f>
        <v>22770000</v>
      </c>
      <c r="EN42" s="53">
        <v>84006</v>
      </c>
      <c r="EO42" s="53">
        <f>+EN42*E42</f>
        <v>25201800</v>
      </c>
      <c r="EP42" s="130">
        <f>MEDIAN(EL42,EN42)</f>
        <v>79953</v>
      </c>
      <c r="EQ42" s="130">
        <f>AVERAGE(EL42,EN42)</f>
        <v>79953</v>
      </c>
      <c r="ER42" s="131">
        <f>STDEV(EL42,EN42)</f>
        <v>5731.8075682981544</v>
      </c>
      <c r="ES42" s="137">
        <f t="shared" si="17"/>
        <v>7.1689712309708886E-2</v>
      </c>
      <c r="ET42" s="151">
        <f t="shared" si="18"/>
        <v>79953</v>
      </c>
      <c r="EU42" s="150">
        <f t="shared" si="21"/>
        <v>23985900</v>
      </c>
      <c r="EV42" s="148" t="s">
        <v>319</v>
      </c>
      <c r="EW42" s="192"/>
    </row>
    <row r="43" spans="1:153" s="49" customFormat="1" ht="32.450000000000003" customHeight="1" x14ac:dyDescent="0.25">
      <c r="A43" s="65">
        <v>37</v>
      </c>
      <c r="B43" s="200" t="s">
        <v>534</v>
      </c>
      <c r="C43" s="66" t="s">
        <v>535</v>
      </c>
      <c r="D43" s="67" t="s">
        <v>466</v>
      </c>
      <c r="E43" s="71">
        <v>270</v>
      </c>
      <c r="F43" s="146"/>
      <c r="G43" s="146"/>
      <c r="H43" s="146"/>
      <c r="I43" s="146"/>
      <c r="J43" s="146"/>
      <c r="K43" s="146"/>
      <c r="L43" s="53"/>
      <c r="M43" s="53"/>
      <c r="N43" s="53"/>
      <c r="O43" s="53"/>
      <c r="P43" s="53"/>
      <c r="Q43" s="53"/>
      <c r="R43" s="53"/>
      <c r="S43" s="53"/>
      <c r="T43" s="53">
        <v>30000</v>
      </c>
      <c r="U43" s="53">
        <f>+T43*E43</f>
        <v>8100000</v>
      </c>
      <c r="V43" s="53"/>
      <c r="W43" s="53"/>
      <c r="X43" s="53"/>
      <c r="Y43" s="53"/>
      <c r="Z43" s="53"/>
      <c r="AA43" s="53"/>
      <c r="AB43" s="53"/>
      <c r="AC43" s="53"/>
      <c r="AD43" s="146">
        <v>42126</v>
      </c>
      <c r="AE43" s="53">
        <f t="shared" ref="AE43:AE52" si="28">+AD43*E43</f>
        <v>11374020</v>
      </c>
      <c r="AF43" s="53">
        <v>160000</v>
      </c>
      <c r="AG43" s="53">
        <f>+AF43*E43</f>
        <v>43200000</v>
      </c>
      <c r="AH43" s="53"/>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c r="BJ43" s="53"/>
      <c r="BK43" s="53"/>
      <c r="BL43" s="53"/>
      <c r="BM43" s="53"/>
      <c r="BN43" s="53"/>
      <c r="BO43" s="53"/>
      <c r="BP43" s="53"/>
      <c r="BQ43" s="53"/>
      <c r="BR43" s="53"/>
      <c r="BS43" s="53"/>
      <c r="BT43" s="53"/>
      <c r="BU43" s="53"/>
      <c r="BV43" s="53"/>
      <c r="BW43" s="53"/>
      <c r="BX43" s="53"/>
      <c r="BY43" s="53"/>
      <c r="BZ43" s="53"/>
      <c r="CA43" s="53"/>
      <c r="CB43" s="53"/>
      <c r="CC43" s="53"/>
      <c r="CD43" s="53"/>
      <c r="CE43" s="53"/>
      <c r="CF43" s="53"/>
      <c r="CG43" s="53"/>
      <c r="CH43" s="53"/>
      <c r="CI43" s="53"/>
      <c r="CJ43" s="53"/>
      <c r="CK43" s="53"/>
      <c r="CL43" s="53"/>
      <c r="CM43" s="53"/>
      <c r="CN43" s="53"/>
      <c r="CO43" s="53"/>
      <c r="CP43" s="53"/>
      <c r="CQ43" s="53"/>
      <c r="CR43" s="53"/>
      <c r="CS43" s="53"/>
      <c r="CT43" s="53"/>
      <c r="CU43" s="53"/>
      <c r="CV43" s="53"/>
      <c r="CW43" s="53"/>
      <c r="CX43" s="53"/>
      <c r="CY43" s="53"/>
      <c r="CZ43" s="53"/>
      <c r="DA43" s="53"/>
      <c r="DB43" s="53"/>
      <c r="DC43" s="53"/>
      <c r="DD43" s="53"/>
      <c r="DE43" s="53"/>
      <c r="DF43" s="53"/>
      <c r="DG43" s="53"/>
      <c r="DH43" s="53"/>
      <c r="DI43" s="53"/>
      <c r="DJ43" s="53"/>
      <c r="DK43" s="53"/>
      <c r="DL43" s="53"/>
      <c r="DM43" s="53"/>
      <c r="DN43" s="53"/>
      <c r="DO43" s="53"/>
      <c r="DP43" s="53"/>
      <c r="DQ43" s="53"/>
      <c r="DR43" s="53"/>
      <c r="DS43" s="53"/>
      <c r="DT43" s="53"/>
      <c r="DU43" s="53"/>
      <c r="DV43" s="53"/>
      <c r="DW43" s="53"/>
      <c r="DX43" s="53"/>
      <c r="DY43" s="53"/>
      <c r="DZ43" s="53"/>
      <c r="EA43" s="53"/>
      <c r="EB43" s="53"/>
      <c r="EC43" s="53"/>
      <c r="ED43" s="53"/>
      <c r="EE43" s="53"/>
      <c r="EF43" s="53"/>
      <c r="EG43" s="53"/>
      <c r="EH43" s="53"/>
      <c r="EI43" s="53"/>
      <c r="EJ43" s="53"/>
      <c r="EK43" s="53"/>
      <c r="EL43" s="53"/>
      <c r="EM43" s="53"/>
      <c r="EN43" s="53"/>
      <c r="EO43" s="53"/>
      <c r="EP43" s="130">
        <f>MEDIAN(T43,AD43)</f>
        <v>36063</v>
      </c>
      <c r="EQ43" s="130">
        <f>AVERAGE(T43,AD43)</f>
        <v>36063</v>
      </c>
      <c r="ER43" s="131">
        <f>STDEV(T43,AD43)</f>
        <v>8574.3768286680752</v>
      </c>
      <c r="ES43" s="137">
        <f t="shared" si="17"/>
        <v>0.23776105228816447</v>
      </c>
      <c r="ET43" s="151">
        <f t="shared" si="18"/>
        <v>36063</v>
      </c>
      <c r="EU43" s="150">
        <f t="shared" si="21"/>
        <v>9737010</v>
      </c>
      <c r="EV43" s="148" t="s">
        <v>322</v>
      </c>
      <c r="EW43" s="192"/>
    </row>
    <row r="44" spans="1:153" s="49" customFormat="1" ht="32.450000000000003" customHeight="1" x14ac:dyDescent="0.25">
      <c r="A44" s="65">
        <v>38</v>
      </c>
      <c r="B44" s="200" t="s">
        <v>536</v>
      </c>
      <c r="C44" s="66" t="s">
        <v>537</v>
      </c>
      <c r="D44" s="67" t="s">
        <v>466</v>
      </c>
      <c r="E44" s="65">
        <v>270</v>
      </c>
      <c r="F44" s="146"/>
      <c r="G44" s="146"/>
      <c r="H44" s="146"/>
      <c r="I44" s="146"/>
      <c r="J44" s="146"/>
      <c r="K44" s="146"/>
      <c r="L44" s="53"/>
      <c r="M44" s="53"/>
      <c r="N44" s="53"/>
      <c r="O44" s="53"/>
      <c r="P44" s="53"/>
      <c r="Q44" s="53"/>
      <c r="R44" s="53"/>
      <c r="S44" s="53"/>
      <c r="T44" s="53">
        <v>45000</v>
      </c>
      <c r="U44" s="53">
        <f>+T44*E44</f>
        <v>12150000</v>
      </c>
      <c r="V44" s="53"/>
      <c r="W44" s="53"/>
      <c r="X44" s="53"/>
      <c r="Y44" s="53"/>
      <c r="Z44" s="53"/>
      <c r="AA44" s="53"/>
      <c r="AB44" s="53"/>
      <c r="AC44" s="53"/>
      <c r="AD44" s="146">
        <v>27943.579999999998</v>
      </c>
      <c r="AE44" s="53">
        <f t="shared" si="28"/>
        <v>7544766.5999999996</v>
      </c>
      <c r="AF44" s="53">
        <v>50000</v>
      </c>
      <c r="AG44" s="53">
        <f t="shared" ref="AG44:AG52" si="29">+AF44*E44</f>
        <v>13500000</v>
      </c>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130">
        <f>MEDIAN(T44,AF44)</f>
        <v>47500</v>
      </c>
      <c r="EQ44" s="130">
        <f>AVERAGE(T44,AF44)</f>
        <v>47500</v>
      </c>
      <c r="ER44" s="131">
        <f>STDEV(T44,AF44)</f>
        <v>3535.5339059327375</v>
      </c>
      <c r="ES44" s="137">
        <f t="shared" si="17"/>
        <v>7.4432292756478682E-2</v>
      </c>
      <c r="ET44" s="151">
        <f t="shared" si="18"/>
        <v>47500</v>
      </c>
      <c r="EU44" s="150">
        <f t="shared" si="21"/>
        <v>12825000</v>
      </c>
      <c r="EV44" s="148" t="s">
        <v>319</v>
      </c>
      <c r="EW44" s="192"/>
    </row>
    <row r="45" spans="1:153" s="49" customFormat="1" ht="32.450000000000003" customHeight="1" x14ac:dyDescent="0.25">
      <c r="A45" s="65">
        <v>39</v>
      </c>
      <c r="B45" s="200" t="s">
        <v>538</v>
      </c>
      <c r="C45" s="66" t="s">
        <v>539</v>
      </c>
      <c r="D45" s="67" t="s">
        <v>466</v>
      </c>
      <c r="E45" s="65">
        <v>270</v>
      </c>
      <c r="F45" s="146"/>
      <c r="G45" s="146"/>
      <c r="H45" s="146"/>
      <c r="I45" s="146"/>
      <c r="J45" s="146"/>
      <c r="K45" s="146"/>
      <c r="L45" s="53"/>
      <c r="M45" s="53"/>
      <c r="N45" s="53"/>
      <c r="O45" s="53"/>
      <c r="P45" s="53"/>
      <c r="Q45" s="53"/>
      <c r="R45" s="53"/>
      <c r="S45" s="53"/>
      <c r="T45" s="53">
        <v>17000</v>
      </c>
      <c r="U45" s="53">
        <f t="shared" ref="U45:U52" si="30">+T45*E45</f>
        <v>4590000</v>
      </c>
      <c r="V45" s="53"/>
      <c r="W45" s="53"/>
      <c r="X45" s="53"/>
      <c r="Y45" s="53"/>
      <c r="Z45" s="53"/>
      <c r="AA45" s="53"/>
      <c r="AB45" s="53"/>
      <c r="AC45" s="53"/>
      <c r="AD45" s="146">
        <v>21063</v>
      </c>
      <c r="AE45" s="53">
        <f t="shared" si="28"/>
        <v>5687010</v>
      </c>
      <c r="AF45" s="53">
        <v>35000</v>
      </c>
      <c r="AG45" s="53">
        <f t="shared" si="29"/>
        <v>9450000</v>
      </c>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130">
        <f>MEDIAN(T45,AD45)</f>
        <v>19031.5</v>
      </c>
      <c r="EQ45" s="130">
        <f>AVERAGE(T45,AD45)</f>
        <v>19031.5</v>
      </c>
      <c r="ER45" s="131">
        <f>STDEV(T45,AD45)</f>
        <v>2872.9748519609425</v>
      </c>
      <c r="ES45" s="137">
        <f t="shared" si="17"/>
        <v>0.15095892872137995</v>
      </c>
      <c r="ET45" s="151">
        <f t="shared" si="18"/>
        <v>19032</v>
      </c>
      <c r="EU45" s="150">
        <f t="shared" si="21"/>
        <v>5138640</v>
      </c>
      <c r="EV45" s="148" t="s">
        <v>319</v>
      </c>
      <c r="EW45" s="192"/>
    </row>
    <row r="46" spans="1:153" s="49" customFormat="1" ht="60" customHeight="1" x14ac:dyDescent="0.25">
      <c r="A46" s="65">
        <v>40</v>
      </c>
      <c r="B46" s="200" t="s">
        <v>540</v>
      </c>
      <c r="C46" s="66" t="s">
        <v>541</v>
      </c>
      <c r="D46" s="67" t="s">
        <v>466</v>
      </c>
      <c r="E46" s="71">
        <v>140</v>
      </c>
      <c r="F46" s="146"/>
      <c r="G46" s="146"/>
      <c r="H46" s="146"/>
      <c r="I46" s="146"/>
      <c r="J46" s="146"/>
      <c r="K46" s="146"/>
      <c r="L46" s="53"/>
      <c r="M46" s="53"/>
      <c r="N46" s="53"/>
      <c r="O46" s="53"/>
      <c r="P46" s="53"/>
      <c r="Q46" s="53"/>
      <c r="R46" s="53"/>
      <c r="S46" s="53"/>
      <c r="T46" s="53">
        <v>150000</v>
      </c>
      <c r="U46" s="53">
        <f t="shared" si="30"/>
        <v>21000000</v>
      </c>
      <c r="V46" s="53"/>
      <c r="W46" s="53"/>
      <c r="X46" s="53"/>
      <c r="Y46" s="53"/>
      <c r="Z46" s="53"/>
      <c r="AA46" s="53"/>
      <c r="AB46" s="53"/>
      <c r="AC46" s="53"/>
      <c r="AD46" s="146">
        <v>245735</v>
      </c>
      <c r="AE46" s="53">
        <f t="shared" si="28"/>
        <v>34402900</v>
      </c>
      <c r="AF46" s="53">
        <v>350000</v>
      </c>
      <c r="AG46" s="53">
        <f t="shared" si="29"/>
        <v>49000000</v>
      </c>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130">
        <f>MEDIAN(AD46,AF46)</f>
        <v>297867.5</v>
      </c>
      <c r="EQ46" s="130">
        <f>AVERAGE(AD46,AF46)</f>
        <v>297867.5</v>
      </c>
      <c r="ER46" s="131">
        <f>STDEV(AD46,AF46)</f>
        <v>73726.488540415376</v>
      </c>
      <c r="ES46" s="137">
        <f t="shared" si="17"/>
        <v>0.24751437649429822</v>
      </c>
      <c r="ET46" s="151">
        <f t="shared" si="18"/>
        <v>297868</v>
      </c>
      <c r="EU46" s="150">
        <f t="shared" si="21"/>
        <v>41701520</v>
      </c>
      <c r="EV46" s="148" t="s">
        <v>322</v>
      </c>
      <c r="EW46" s="192"/>
    </row>
    <row r="47" spans="1:153" s="49" customFormat="1" ht="190.5" customHeight="1" x14ac:dyDescent="0.25">
      <c r="A47" s="65">
        <v>41</v>
      </c>
      <c r="B47" s="200" t="s">
        <v>542</v>
      </c>
      <c r="C47" s="66" t="s">
        <v>543</v>
      </c>
      <c r="D47" s="67" t="s">
        <v>466</v>
      </c>
      <c r="E47" s="65">
        <v>86</v>
      </c>
      <c r="F47" s="146"/>
      <c r="G47" s="146"/>
      <c r="H47" s="146"/>
      <c r="I47" s="146"/>
      <c r="J47" s="146"/>
      <c r="K47" s="146"/>
      <c r="L47" s="53"/>
      <c r="M47" s="53"/>
      <c r="N47" s="53"/>
      <c r="O47" s="53"/>
      <c r="P47" s="53"/>
      <c r="Q47" s="53"/>
      <c r="R47" s="53"/>
      <c r="S47" s="53"/>
      <c r="T47" s="53">
        <v>750000</v>
      </c>
      <c r="U47" s="53">
        <f t="shared" si="30"/>
        <v>64500000</v>
      </c>
      <c r="V47" s="53"/>
      <c r="W47" s="53"/>
      <c r="X47" s="53"/>
      <c r="Y47" s="53"/>
      <c r="Z47" s="53"/>
      <c r="AA47" s="53"/>
      <c r="AB47" s="53"/>
      <c r="AC47" s="53"/>
      <c r="AD47" s="146">
        <v>884646</v>
      </c>
      <c r="AE47" s="53">
        <f t="shared" si="28"/>
        <v>76079556</v>
      </c>
      <c r="AF47" s="53">
        <v>500000</v>
      </c>
      <c r="AG47" s="53">
        <f t="shared" si="29"/>
        <v>43000000</v>
      </c>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130">
        <f>MEDIAN(T47,AD47)</f>
        <v>817323</v>
      </c>
      <c r="EQ47" s="130">
        <f>AVERAGE(T47,AD47)</f>
        <v>817323</v>
      </c>
      <c r="ER47" s="131">
        <f>STDEV(T47,AD47)</f>
        <v>95209.099659643878</v>
      </c>
      <c r="ES47" s="137">
        <f t="shared" si="17"/>
        <v>0.11648895193166457</v>
      </c>
      <c r="ET47" s="151">
        <f t="shared" si="18"/>
        <v>817323</v>
      </c>
      <c r="EU47" s="150">
        <f t="shared" si="21"/>
        <v>70289778</v>
      </c>
      <c r="EV47" s="148" t="s">
        <v>319</v>
      </c>
      <c r="EW47" s="192"/>
    </row>
    <row r="48" spans="1:153" s="49" customFormat="1" ht="99.75" customHeight="1" x14ac:dyDescent="0.25">
      <c r="A48" s="65">
        <v>42</v>
      </c>
      <c r="B48" s="200" t="s">
        <v>544</v>
      </c>
      <c r="C48" s="66" t="s">
        <v>545</v>
      </c>
      <c r="D48" s="67" t="s">
        <v>466</v>
      </c>
      <c r="E48" s="65">
        <v>50</v>
      </c>
      <c r="F48" s="146"/>
      <c r="G48" s="146"/>
      <c r="H48" s="146"/>
      <c r="I48" s="146"/>
      <c r="J48" s="146"/>
      <c r="K48" s="146"/>
      <c r="L48" s="53"/>
      <c r="M48" s="53"/>
      <c r="N48" s="53"/>
      <c r="O48" s="53"/>
      <c r="P48" s="53"/>
      <c r="Q48" s="53"/>
      <c r="R48" s="53"/>
      <c r="S48" s="53"/>
      <c r="T48" s="53"/>
      <c r="U48" s="53">
        <f t="shared" si="30"/>
        <v>0</v>
      </c>
      <c r="V48" s="53"/>
      <c r="W48" s="53"/>
      <c r="X48" s="53"/>
      <c r="Y48" s="53"/>
      <c r="Z48" s="53"/>
      <c r="AA48" s="53"/>
      <c r="AB48" s="53"/>
      <c r="AC48" s="53"/>
      <c r="AD48" s="146">
        <v>2019239.5999999999</v>
      </c>
      <c r="AE48" s="53">
        <f t="shared" si="28"/>
        <v>100961980</v>
      </c>
      <c r="AF48" s="53">
        <v>2330000</v>
      </c>
      <c r="AG48" s="53">
        <f t="shared" si="29"/>
        <v>116500000</v>
      </c>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130">
        <f>MEDIAN(AD48,AF48)</f>
        <v>2174619.7999999998</v>
      </c>
      <c r="EQ48" s="130">
        <f>AVERAGE(AD48,AF48)</f>
        <v>2174619.7999999998</v>
      </c>
      <c r="ER48" s="131">
        <f>STDEV(AD48,AF48)</f>
        <v>219740.78616424408</v>
      </c>
      <c r="ES48" s="137">
        <f t="shared" si="17"/>
        <v>0.10104791015157873</v>
      </c>
      <c r="ET48" s="151">
        <f t="shared" si="18"/>
        <v>2174620</v>
      </c>
      <c r="EU48" s="150">
        <f t="shared" si="21"/>
        <v>108731000</v>
      </c>
      <c r="EV48" s="148" t="s">
        <v>319</v>
      </c>
      <c r="EW48" s="192"/>
    </row>
    <row r="49" spans="1:153" s="49" customFormat="1" ht="102.75" customHeight="1" x14ac:dyDescent="0.25">
      <c r="A49" s="65">
        <v>43</v>
      </c>
      <c r="B49" s="200" t="s">
        <v>546</v>
      </c>
      <c r="C49" s="66" t="s">
        <v>547</v>
      </c>
      <c r="D49" s="67" t="s">
        <v>466</v>
      </c>
      <c r="E49" s="71">
        <v>86</v>
      </c>
      <c r="F49" s="146"/>
      <c r="G49" s="146"/>
      <c r="H49" s="146"/>
      <c r="I49" s="146"/>
      <c r="J49" s="146"/>
      <c r="K49" s="146"/>
      <c r="L49" s="53"/>
      <c r="M49" s="53"/>
      <c r="N49" s="53"/>
      <c r="O49" s="53"/>
      <c r="P49" s="53"/>
      <c r="Q49" s="53"/>
      <c r="R49" s="53"/>
      <c r="S49" s="53"/>
      <c r="T49" s="53">
        <v>780000</v>
      </c>
      <c r="U49" s="53">
        <f t="shared" si="30"/>
        <v>67080000</v>
      </c>
      <c r="V49" s="53"/>
      <c r="W49" s="53"/>
      <c r="X49" s="53"/>
      <c r="Y49" s="53"/>
      <c r="Z49" s="53"/>
      <c r="AA49" s="53"/>
      <c r="AB49" s="53"/>
      <c r="AC49" s="53"/>
      <c r="AD49" s="146">
        <v>1079829.8</v>
      </c>
      <c r="AE49" s="53">
        <f t="shared" si="28"/>
        <v>92865362.799999997</v>
      </c>
      <c r="AF49" s="53">
        <v>1250000</v>
      </c>
      <c r="AG49" s="53">
        <f t="shared" si="29"/>
        <v>107500000</v>
      </c>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130">
        <f>MEDIAN(AD49,AF49)</f>
        <v>1164914.8999999999</v>
      </c>
      <c r="EQ49" s="130">
        <f>AVERAGE(AD49,AF49)</f>
        <v>1164914.8999999999</v>
      </c>
      <c r="ER49" s="131">
        <f>STDEV(AD49,AF49)</f>
        <v>120328.502375871</v>
      </c>
      <c r="ES49" s="137">
        <f t="shared" si="17"/>
        <v>0.1032938134587093</v>
      </c>
      <c r="ET49" s="151">
        <f t="shared" si="18"/>
        <v>1164915</v>
      </c>
      <c r="EU49" s="150">
        <f t="shared" si="21"/>
        <v>100182690</v>
      </c>
      <c r="EV49" s="148" t="s">
        <v>319</v>
      </c>
      <c r="EW49" s="192"/>
    </row>
    <row r="50" spans="1:153" s="49" customFormat="1" ht="67.5" customHeight="1" x14ac:dyDescent="0.25">
      <c r="A50" s="65">
        <v>44</v>
      </c>
      <c r="B50" s="200" t="s">
        <v>548</v>
      </c>
      <c r="C50" s="66" t="s">
        <v>549</v>
      </c>
      <c r="D50" s="67" t="s">
        <v>466</v>
      </c>
      <c r="E50" s="65">
        <v>83</v>
      </c>
      <c r="F50" s="146"/>
      <c r="G50" s="146"/>
      <c r="H50" s="146"/>
      <c r="I50" s="146"/>
      <c r="J50" s="146"/>
      <c r="K50" s="146"/>
      <c r="L50" s="53"/>
      <c r="M50" s="53"/>
      <c r="N50" s="53"/>
      <c r="O50" s="53"/>
      <c r="P50" s="53"/>
      <c r="Q50" s="53"/>
      <c r="R50" s="53"/>
      <c r="S50" s="53"/>
      <c r="T50" s="53"/>
      <c r="U50" s="53">
        <f t="shared" si="30"/>
        <v>0</v>
      </c>
      <c r="V50" s="53"/>
      <c r="W50" s="53"/>
      <c r="X50" s="53"/>
      <c r="Y50" s="53"/>
      <c r="Z50" s="53"/>
      <c r="AA50" s="53"/>
      <c r="AB50" s="53"/>
      <c r="AC50" s="53"/>
      <c r="AD50" s="146">
        <v>647336.19999999995</v>
      </c>
      <c r="AE50" s="53">
        <f t="shared" si="28"/>
        <v>53728904.599999994</v>
      </c>
      <c r="AF50" s="53">
        <v>1250000</v>
      </c>
      <c r="AG50" s="53">
        <f t="shared" si="29"/>
        <v>103750000</v>
      </c>
      <c r="AH50" s="53"/>
      <c r="AI50" s="53"/>
      <c r="AJ50" s="53"/>
      <c r="AK50" s="53"/>
      <c r="AL50" s="53"/>
      <c r="AM50" s="53"/>
      <c r="AN50" s="53"/>
      <c r="AO50" s="53"/>
      <c r="AP50" s="53">
        <f>+(799900*26%)+799900</f>
        <v>1007874</v>
      </c>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3"/>
      <c r="BO50" s="53"/>
      <c r="BP50" s="53"/>
      <c r="BQ50" s="53"/>
      <c r="BR50" s="53"/>
      <c r="BS50" s="53"/>
      <c r="BT50" s="53"/>
      <c r="BU50" s="53"/>
      <c r="BV50" s="53"/>
      <c r="BW50" s="53"/>
      <c r="BX50" s="53"/>
      <c r="BY50" s="53"/>
      <c r="BZ50" s="53"/>
      <c r="CA50" s="53"/>
      <c r="CB50" s="53"/>
      <c r="CC50" s="53"/>
      <c r="CD50" s="53"/>
      <c r="CE50" s="53"/>
      <c r="CF50" s="53"/>
      <c r="CG50" s="53"/>
      <c r="CH50" s="53"/>
      <c r="CI50" s="53"/>
      <c r="CJ50" s="53"/>
      <c r="CK50" s="53"/>
      <c r="CL50" s="53"/>
      <c r="CM50" s="53"/>
      <c r="CN50" s="53"/>
      <c r="CO50" s="53"/>
      <c r="CP50" s="53"/>
      <c r="CQ50" s="53"/>
      <c r="CR50" s="53"/>
      <c r="CS50" s="53"/>
      <c r="CT50" s="53"/>
      <c r="CU50" s="53"/>
      <c r="CV50" s="53"/>
      <c r="CW50" s="53"/>
      <c r="CX50" s="53"/>
      <c r="CY50" s="53"/>
      <c r="CZ50" s="53"/>
      <c r="DA50" s="53"/>
      <c r="DB50" s="53"/>
      <c r="DC50" s="53"/>
      <c r="DD50" s="53"/>
      <c r="DE50" s="53"/>
      <c r="DF50" s="53"/>
      <c r="DG50" s="53"/>
      <c r="DH50" s="53"/>
      <c r="DI50" s="53"/>
      <c r="DJ50" s="53"/>
      <c r="DK50" s="53"/>
      <c r="DL50" s="53"/>
      <c r="DM50" s="53"/>
      <c r="DN50" s="53"/>
      <c r="DO50" s="53"/>
      <c r="DP50" s="53"/>
      <c r="DQ50" s="53"/>
      <c r="DR50" s="53"/>
      <c r="DS50" s="53"/>
      <c r="DT50" s="53"/>
      <c r="DU50" s="53"/>
      <c r="DV50" s="53"/>
      <c r="DW50" s="53"/>
      <c r="DX50" s="53"/>
      <c r="DY50" s="53"/>
      <c r="DZ50" s="53"/>
      <c r="EA50" s="53"/>
      <c r="EB50" s="53"/>
      <c r="EC50" s="53"/>
      <c r="ED50" s="53"/>
      <c r="EE50" s="53"/>
      <c r="EF50" s="53"/>
      <c r="EG50" s="53"/>
      <c r="EH50" s="53"/>
      <c r="EI50" s="53"/>
      <c r="EJ50" s="53"/>
      <c r="EK50" s="53"/>
      <c r="EL50" s="53"/>
      <c r="EM50" s="53"/>
      <c r="EN50" s="53"/>
      <c r="EO50" s="53"/>
      <c r="EP50" s="130">
        <f>MEDIAN(AF50,AP50)</f>
        <v>1128937</v>
      </c>
      <c r="EQ50" s="130">
        <f>AVERAGE(AF50,AP50)</f>
        <v>1128937</v>
      </c>
      <c r="ER50" s="131">
        <f>STDEV(AF50,AP50)</f>
        <v>171208.936501574</v>
      </c>
      <c r="ES50" s="137">
        <f t="shared" si="17"/>
        <v>0.15165499625007772</v>
      </c>
      <c r="ET50" s="151">
        <f t="shared" si="18"/>
        <v>1128937</v>
      </c>
      <c r="EU50" s="150">
        <f t="shared" si="21"/>
        <v>93701771</v>
      </c>
      <c r="EV50" s="148" t="s">
        <v>319</v>
      </c>
      <c r="EW50" s="192"/>
    </row>
    <row r="51" spans="1:153" s="49" customFormat="1" ht="141.75" customHeight="1" x14ac:dyDescent="0.25">
      <c r="A51" s="65">
        <v>45</v>
      </c>
      <c r="B51" s="200" t="s">
        <v>550</v>
      </c>
      <c r="C51" s="66" t="s">
        <v>551</v>
      </c>
      <c r="D51" s="67" t="s">
        <v>466</v>
      </c>
      <c r="E51" s="65">
        <v>36</v>
      </c>
      <c r="F51" s="146"/>
      <c r="G51" s="146"/>
      <c r="H51" s="146"/>
      <c r="I51" s="146"/>
      <c r="J51" s="146"/>
      <c r="K51" s="146"/>
      <c r="L51" s="53"/>
      <c r="M51" s="53"/>
      <c r="N51" s="53"/>
      <c r="O51" s="53"/>
      <c r="P51" s="53"/>
      <c r="Q51" s="53"/>
      <c r="R51" s="53"/>
      <c r="S51" s="53"/>
      <c r="T51" s="53">
        <v>1550000</v>
      </c>
      <c r="U51" s="53">
        <f t="shared" si="30"/>
        <v>55800000</v>
      </c>
      <c r="V51" s="53"/>
      <c r="W51" s="53"/>
      <c r="X51" s="53"/>
      <c r="Y51" s="53"/>
      <c r="Z51" s="53"/>
      <c r="AA51" s="53"/>
      <c r="AB51" s="53"/>
      <c r="AC51" s="53"/>
      <c r="AD51" s="146">
        <v>2387140</v>
      </c>
      <c r="AE51" s="53">
        <f t="shared" si="28"/>
        <v>85937040</v>
      </c>
      <c r="AF51" s="53">
        <v>1680000</v>
      </c>
      <c r="AG51" s="53">
        <f t="shared" si="29"/>
        <v>60480000</v>
      </c>
      <c r="AH51" s="53"/>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c r="BJ51" s="53"/>
      <c r="BK51" s="53"/>
      <c r="BL51" s="53"/>
      <c r="BM51" s="53"/>
      <c r="BN51" s="53"/>
      <c r="BO51" s="53"/>
      <c r="BP51" s="53"/>
      <c r="BQ51" s="53"/>
      <c r="BR51" s="53"/>
      <c r="BS51" s="53"/>
      <c r="BT51" s="53"/>
      <c r="BU51" s="53"/>
      <c r="BV51" s="53"/>
      <c r="BW51" s="53"/>
      <c r="BX51" s="53"/>
      <c r="BY51" s="53"/>
      <c r="BZ51" s="53"/>
      <c r="CA51" s="53"/>
      <c r="CB51" s="53"/>
      <c r="CC51" s="53"/>
      <c r="CD51" s="53"/>
      <c r="CE51" s="53"/>
      <c r="CF51" s="53"/>
      <c r="CG51" s="53"/>
      <c r="CH51" s="53"/>
      <c r="CI51" s="53"/>
      <c r="CJ51" s="53"/>
      <c r="CK51" s="53"/>
      <c r="CL51" s="53"/>
      <c r="CM51" s="53"/>
      <c r="CN51" s="53"/>
      <c r="CO51" s="53"/>
      <c r="CP51" s="53"/>
      <c r="CQ51" s="53"/>
      <c r="CR51" s="53"/>
      <c r="CS51" s="53"/>
      <c r="CT51" s="53"/>
      <c r="CU51" s="53"/>
      <c r="CV51" s="53"/>
      <c r="CW51" s="53"/>
      <c r="CX51" s="53"/>
      <c r="CY51" s="53"/>
      <c r="CZ51" s="53"/>
      <c r="DA51" s="53"/>
      <c r="DB51" s="53"/>
      <c r="DC51" s="53"/>
      <c r="DD51" s="53"/>
      <c r="DE51" s="53"/>
      <c r="DF51" s="53"/>
      <c r="DG51" s="53"/>
      <c r="DH51" s="53"/>
      <c r="DI51" s="53"/>
      <c r="DJ51" s="53"/>
      <c r="DK51" s="53"/>
      <c r="DL51" s="53"/>
      <c r="DM51" s="53"/>
      <c r="DN51" s="53"/>
      <c r="DO51" s="53"/>
      <c r="DP51" s="53"/>
      <c r="DQ51" s="53"/>
      <c r="DR51" s="53"/>
      <c r="DS51" s="53"/>
      <c r="DT51" s="53"/>
      <c r="DU51" s="53"/>
      <c r="DV51" s="53"/>
      <c r="DW51" s="53"/>
      <c r="DX51" s="53"/>
      <c r="DY51" s="53"/>
      <c r="DZ51" s="53"/>
      <c r="EA51" s="53"/>
      <c r="EB51" s="53"/>
      <c r="EC51" s="53"/>
      <c r="ED51" s="53"/>
      <c r="EE51" s="53"/>
      <c r="EF51" s="53"/>
      <c r="EG51" s="53"/>
      <c r="EH51" s="53"/>
      <c r="EI51" s="53"/>
      <c r="EJ51" s="53"/>
      <c r="EK51" s="53"/>
      <c r="EL51" s="53"/>
      <c r="EM51" s="53"/>
      <c r="EN51" s="53"/>
      <c r="EO51" s="53"/>
      <c r="EP51" s="130">
        <f>MEDIAN(T51,AF51)</f>
        <v>1615000</v>
      </c>
      <c r="EQ51" s="130">
        <f>AVERAGE(T51,AF51)</f>
        <v>1615000</v>
      </c>
      <c r="ER51" s="131">
        <f>STDEV(T51,AF51)</f>
        <v>91923.881554251173</v>
      </c>
      <c r="ES51" s="137">
        <f t="shared" si="17"/>
        <v>5.6918812107895463E-2</v>
      </c>
      <c r="ET51" s="151">
        <f t="shared" si="18"/>
        <v>1615000</v>
      </c>
      <c r="EU51" s="150">
        <f t="shared" si="21"/>
        <v>58140000</v>
      </c>
      <c r="EV51" s="148" t="s">
        <v>319</v>
      </c>
      <c r="EW51" s="192"/>
    </row>
    <row r="52" spans="1:153" s="49" customFormat="1" ht="69.75" customHeight="1" x14ac:dyDescent="0.25">
      <c r="A52" s="65">
        <v>46</v>
      </c>
      <c r="B52" s="200" t="s">
        <v>552</v>
      </c>
      <c r="C52" s="66" t="s">
        <v>553</v>
      </c>
      <c r="D52" s="67" t="s">
        <v>466</v>
      </c>
      <c r="E52" s="71">
        <v>48</v>
      </c>
      <c r="F52" s="146"/>
      <c r="G52" s="146"/>
      <c r="H52" s="146"/>
      <c r="I52" s="146"/>
      <c r="J52" s="146"/>
      <c r="K52" s="146"/>
      <c r="L52" s="53"/>
      <c r="M52" s="53"/>
      <c r="N52" s="53"/>
      <c r="O52" s="53"/>
      <c r="P52" s="53"/>
      <c r="Q52" s="53"/>
      <c r="R52" s="53"/>
      <c r="S52" s="53"/>
      <c r="T52" s="53">
        <v>480000</v>
      </c>
      <c r="U52" s="53">
        <f t="shared" si="30"/>
        <v>23040000</v>
      </c>
      <c r="V52" s="53"/>
      <c r="W52" s="53"/>
      <c r="X52" s="53"/>
      <c r="Y52" s="53"/>
      <c r="Z52" s="53"/>
      <c r="AA52" s="53"/>
      <c r="AB52" s="53"/>
      <c r="AC52" s="53"/>
      <c r="AD52" s="146">
        <v>603806</v>
      </c>
      <c r="AE52" s="53">
        <f t="shared" si="28"/>
        <v>28982688</v>
      </c>
      <c r="AF52" s="53">
        <v>550000</v>
      </c>
      <c r="AG52" s="53">
        <f t="shared" si="29"/>
        <v>26400000</v>
      </c>
      <c r="AH52" s="53"/>
      <c r="AI52" s="53"/>
      <c r="AJ52" s="53"/>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c r="BJ52" s="53"/>
      <c r="BK52" s="53"/>
      <c r="BL52" s="53"/>
      <c r="BM52" s="53"/>
      <c r="BN52" s="53"/>
      <c r="BO52" s="53"/>
      <c r="BP52" s="53"/>
      <c r="BQ52" s="53"/>
      <c r="BR52" s="53"/>
      <c r="BS52" s="53"/>
      <c r="BT52" s="53"/>
      <c r="BU52" s="53"/>
      <c r="BV52" s="53"/>
      <c r="BW52" s="53"/>
      <c r="BX52" s="53"/>
      <c r="BY52" s="53"/>
      <c r="BZ52" s="53"/>
      <c r="CA52" s="53"/>
      <c r="CB52" s="53"/>
      <c r="CC52" s="53"/>
      <c r="CD52" s="53"/>
      <c r="CE52" s="53"/>
      <c r="CF52" s="53"/>
      <c r="CG52" s="53"/>
      <c r="CH52" s="53"/>
      <c r="CI52" s="53"/>
      <c r="CJ52" s="53"/>
      <c r="CK52" s="53"/>
      <c r="CL52" s="53"/>
      <c r="CM52" s="53"/>
      <c r="CN52" s="53"/>
      <c r="CO52" s="53"/>
      <c r="CP52" s="53"/>
      <c r="CQ52" s="53"/>
      <c r="CR52" s="53"/>
      <c r="CS52" s="53"/>
      <c r="CT52" s="53"/>
      <c r="CU52" s="53"/>
      <c r="CV52" s="53"/>
      <c r="CW52" s="53"/>
      <c r="CX52" s="53"/>
      <c r="CY52" s="53"/>
      <c r="CZ52" s="53"/>
      <c r="DA52" s="53"/>
      <c r="DB52" s="53"/>
      <c r="DC52" s="53"/>
      <c r="DD52" s="53"/>
      <c r="DE52" s="53"/>
      <c r="DF52" s="53"/>
      <c r="DG52" s="53"/>
      <c r="DH52" s="53"/>
      <c r="DI52" s="53"/>
      <c r="DJ52" s="53"/>
      <c r="DK52" s="53"/>
      <c r="DL52" s="53"/>
      <c r="DM52" s="53"/>
      <c r="DN52" s="53"/>
      <c r="DO52" s="53"/>
      <c r="DP52" s="53"/>
      <c r="DQ52" s="53"/>
      <c r="DR52" s="53"/>
      <c r="DS52" s="53"/>
      <c r="DT52" s="53"/>
      <c r="DU52" s="53"/>
      <c r="DV52" s="53"/>
      <c r="DW52" s="53"/>
      <c r="DX52" s="53"/>
      <c r="DY52" s="53"/>
      <c r="DZ52" s="53"/>
      <c r="EA52" s="53"/>
      <c r="EB52" s="53"/>
      <c r="EC52" s="53"/>
      <c r="ED52" s="53"/>
      <c r="EE52" s="53"/>
      <c r="EF52" s="53"/>
      <c r="EG52" s="53"/>
      <c r="EH52" s="53"/>
      <c r="EI52" s="53"/>
      <c r="EJ52" s="53"/>
      <c r="EK52" s="53"/>
      <c r="EL52" s="53"/>
      <c r="EM52" s="53"/>
      <c r="EN52" s="53"/>
      <c r="EO52" s="53"/>
      <c r="EP52" s="130">
        <f>MEDIAN(AD52,AF52)</f>
        <v>576903</v>
      </c>
      <c r="EQ52" s="130">
        <f>AVERAGE(AD52,AF52)</f>
        <v>576903</v>
      </c>
      <c r="ER52" s="131">
        <f>STDEV(AD52,AF52)</f>
        <v>38046.587468523379</v>
      </c>
      <c r="ES52" s="137">
        <f t="shared" si="17"/>
        <v>6.5949713328797704E-2</v>
      </c>
      <c r="ET52" s="151">
        <f t="shared" si="18"/>
        <v>576903</v>
      </c>
      <c r="EU52" s="150">
        <f t="shared" si="21"/>
        <v>27691344</v>
      </c>
      <c r="EV52" s="148" t="s">
        <v>319</v>
      </c>
      <c r="EW52" s="192"/>
    </row>
    <row r="53" spans="1:153" s="49" customFormat="1" ht="32.450000000000003" customHeight="1" x14ac:dyDescent="0.25">
      <c r="A53" s="65">
        <v>47</v>
      </c>
      <c r="B53" s="200" t="s">
        <v>554</v>
      </c>
      <c r="C53" s="66" t="s">
        <v>555</v>
      </c>
      <c r="D53" s="67" t="s">
        <v>466</v>
      </c>
      <c r="E53" s="65">
        <v>900</v>
      </c>
      <c r="F53" s="146"/>
      <c r="G53" s="146"/>
      <c r="H53" s="146"/>
      <c r="I53" s="146"/>
      <c r="J53" s="146"/>
      <c r="K53" s="146"/>
      <c r="L53" s="53"/>
      <c r="M53" s="53"/>
      <c r="N53" s="53"/>
      <c r="O53" s="53"/>
      <c r="P53" s="53"/>
      <c r="Q53" s="53"/>
      <c r="R53" s="53"/>
      <c r="S53" s="53"/>
      <c r="T53" s="53"/>
      <c r="U53" s="53"/>
      <c r="V53" s="53"/>
      <c r="W53" s="53"/>
      <c r="X53" s="53"/>
      <c r="Y53" s="53"/>
      <c r="Z53" s="53"/>
      <c r="AA53" s="53"/>
      <c r="AB53" s="53"/>
      <c r="AC53" s="53"/>
      <c r="AD53" s="146">
        <v>23871.399999999998</v>
      </c>
      <c r="AE53" s="53">
        <f>+AD53*E53</f>
        <v>21484259.999999996</v>
      </c>
      <c r="AF53" s="53"/>
      <c r="AG53" s="53"/>
      <c r="AH53" s="53"/>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v>10000</v>
      </c>
      <c r="BG53" s="53"/>
      <c r="BH53" s="53"/>
      <c r="BI53" s="53"/>
      <c r="BJ53" s="53"/>
      <c r="BK53" s="53"/>
      <c r="BL53" s="53"/>
      <c r="BM53" s="53"/>
      <c r="BN53" s="53"/>
      <c r="BO53" s="53"/>
      <c r="BP53" s="53"/>
      <c r="BQ53" s="53"/>
      <c r="BR53" s="53"/>
      <c r="BS53" s="53"/>
      <c r="BT53" s="53"/>
      <c r="BU53" s="53"/>
      <c r="BV53" s="53"/>
      <c r="BW53" s="53"/>
      <c r="BX53" s="53"/>
      <c r="BY53" s="53"/>
      <c r="BZ53" s="53"/>
      <c r="CA53" s="53"/>
      <c r="CB53" s="53">
        <v>85000</v>
      </c>
      <c r="CC53" s="53">
        <f>+CB53*E53</f>
        <v>76500000</v>
      </c>
      <c r="CD53" s="53">
        <v>40666</v>
      </c>
      <c r="CE53" s="53">
        <f>+CD53*E53</f>
        <v>36599400</v>
      </c>
      <c r="CF53" s="53"/>
      <c r="CG53" s="53"/>
      <c r="CH53" s="53"/>
      <c r="CI53" s="53"/>
      <c r="CJ53" s="53"/>
      <c r="CK53" s="53"/>
      <c r="CL53" s="53"/>
      <c r="CM53" s="53"/>
      <c r="CN53" s="53"/>
      <c r="CO53" s="53"/>
      <c r="CP53" s="53"/>
      <c r="CQ53" s="53"/>
      <c r="CR53" s="53"/>
      <c r="CS53" s="53"/>
      <c r="CT53" s="53"/>
      <c r="CU53" s="53"/>
      <c r="CV53" s="53"/>
      <c r="CW53" s="53"/>
      <c r="CX53" s="53"/>
      <c r="CY53" s="53"/>
      <c r="CZ53" s="53"/>
      <c r="DA53" s="53"/>
      <c r="DB53" s="53"/>
      <c r="DC53" s="53"/>
      <c r="DD53" s="53"/>
      <c r="DE53" s="53"/>
      <c r="DF53" s="53"/>
      <c r="DG53" s="53"/>
      <c r="DH53" s="53"/>
      <c r="DI53" s="53"/>
      <c r="DJ53" s="53"/>
      <c r="DK53" s="53"/>
      <c r="DL53" s="53"/>
      <c r="DM53" s="53"/>
      <c r="DN53" s="53"/>
      <c r="DO53" s="53"/>
      <c r="DP53" s="53"/>
      <c r="DQ53" s="53"/>
      <c r="DR53" s="53"/>
      <c r="DS53" s="53"/>
      <c r="DT53" s="53"/>
      <c r="DU53" s="53"/>
      <c r="DV53" s="53"/>
      <c r="DW53" s="53"/>
      <c r="DX53" s="53"/>
      <c r="DY53" s="53"/>
      <c r="DZ53" s="53"/>
      <c r="EA53" s="53"/>
      <c r="EB53" s="53"/>
      <c r="EC53" s="53"/>
      <c r="ED53" s="53"/>
      <c r="EE53" s="53"/>
      <c r="EF53" s="53">
        <v>39483</v>
      </c>
      <c r="EG53" s="53">
        <f>+EF53*E53</f>
        <v>35534700</v>
      </c>
      <c r="EH53" s="53"/>
      <c r="EI53" s="53"/>
      <c r="EJ53" s="53"/>
      <c r="EK53" s="53"/>
      <c r="EL53" s="53"/>
      <c r="EM53" s="53"/>
      <c r="EN53" s="53"/>
      <c r="EO53" s="53"/>
      <c r="EP53" s="130">
        <f>MEDIAN(CD53,EF53)</f>
        <v>40074.5</v>
      </c>
      <c r="EQ53" s="130">
        <f>AVERAGE(CD53,EF53)</f>
        <v>40074.5</v>
      </c>
      <c r="ER53" s="131">
        <f>STDEV(CD53,EF53)</f>
        <v>836.50732214368577</v>
      </c>
      <c r="ES53" s="137">
        <f t="shared" si="17"/>
        <v>2.0873805590679504E-2</v>
      </c>
      <c r="ET53" s="151">
        <f t="shared" si="18"/>
        <v>40075</v>
      </c>
      <c r="EU53" s="150">
        <f t="shared" si="21"/>
        <v>36067500</v>
      </c>
      <c r="EV53" s="148" t="s">
        <v>319</v>
      </c>
      <c r="EW53" s="192"/>
    </row>
    <row r="54" spans="1:153" s="49" customFormat="1" ht="81" customHeight="1" x14ac:dyDescent="0.25">
      <c r="A54" s="65">
        <v>48</v>
      </c>
      <c r="B54" s="200" t="s">
        <v>556</v>
      </c>
      <c r="C54" s="66" t="s">
        <v>557</v>
      </c>
      <c r="D54" s="67" t="s">
        <v>466</v>
      </c>
      <c r="E54" s="65">
        <v>499</v>
      </c>
      <c r="F54" s="146"/>
      <c r="G54" s="146"/>
      <c r="H54" s="146"/>
      <c r="I54" s="146"/>
      <c r="J54" s="146"/>
      <c r="K54" s="146"/>
      <c r="L54" s="53"/>
      <c r="M54" s="53"/>
      <c r="N54" s="53"/>
      <c r="O54" s="53"/>
      <c r="P54" s="53"/>
      <c r="Q54" s="53"/>
      <c r="R54" s="53"/>
      <c r="S54" s="53"/>
      <c r="T54" s="53"/>
      <c r="U54" s="53"/>
      <c r="V54" s="53"/>
      <c r="W54" s="53"/>
      <c r="X54" s="53"/>
      <c r="Y54" s="53"/>
      <c r="Z54" s="53"/>
      <c r="AA54" s="53"/>
      <c r="AB54" s="53"/>
      <c r="AC54" s="53"/>
      <c r="AD54" s="146">
        <v>115144.4</v>
      </c>
      <c r="AE54" s="53">
        <f t="shared" ref="AE54:AE72" si="31">+AD54*E54</f>
        <v>57457055.599999994</v>
      </c>
      <c r="AF54" s="53"/>
      <c r="AG54" s="53"/>
      <c r="AH54" s="53"/>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v>60000</v>
      </c>
      <c r="BG54" s="53"/>
      <c r="BH54" s="53"/>
      <c r="BI54" s="53"/>
      <c r="BJ54" s="53"/>
      <c r="BK54" s="53"/>
      <c r="BL54" s="53"/>
      <c r="BM54" s="53"/>
      <c r="BN54" s="53"/>
      <c r="BO54" s="53"/>
      <c r="BP54" s="53">
        <v>65000</v>
      </c>
      <c r="BQ54" s="53"/>
      <c r="BR54" s="53"/>
      <c r="BS54" s="53"/>
      <c r="BT54" s="53"/>
      <c r="BU54" s="53"/>
      <c r="BV54" s="53"/>
      <c r="BW54" s="53"/>
      <c r="BX54" s="53"/>
      <c r="BY54" s="53"/>
      <c r="BZ54" s="53"/>
      <c r="CA54" s="53"/>
      <c r="CB54" s="53"/>
      <c r="CC54" s="53"/>
      <c r="CD54" s="53"/>
      <c r="CE54" s="53"/>
      <c r="CF54" s="53"/>
      <c r="CG54" s="53"/>
      <c r="CH54" s="53"/>
      <c r="CI54" s="53"/>
      <c r="CJ54" s="53"/>
      <c r="CK54" s="53"/>
      <c r="CL54" s="53"/>
      <c r="CM54" s="53"/>
      <c r="CN54" s="53"/>
      <c r="CO54" s="53"/>
      <c r="CP54" s="53"/>
      <c r="CQ54" s="53"/>
      <c r="CR54" s="53"/>
      <c r="CS54" s="53"/>
      <c r="CT54" s="53"/>
      <c r="CU54" s="53"/>
      <c r="CV54" s="53"/>
      <c r="CW54" s="53"/>
      <c r="CX54" s="53"/>
      <c r="CY54" s="53"/>
      <c r="CZ54" s="53"/>
      <c r="DA54" s="53"/>
      <c r="DB54" s="53"/>
      <c r="DC54" s="53"/>
      <c r="DD54" s="53"/>
      <c r="DE54" s="53"/>
      <c r="DF54" s="53"/>
      <c r="DG54" s="53"/>
      <c r="DH54" s="53"/>
      <c r="DI54" s="53"/>
      <c r="DJ54" s="53"/>
      <c r="DK54" s="53"/>
      <c r="DL54" s="53"/>
      <c r="DM54" s="53"/>
      <c r="DN54" s="53"/>
      <c r="DO54" s="53"/>
      <c r="DP54" s="53"/>
      <c r="DQ54" s="53"/>
      <c r="DR54" s="53"/>
      <c r="DS54" s="53"/>
      <c r="DT54" s="53"/>
      <c r="DU54" s="53"/>
      <c r="DV54" s="53"/>
      <c r="DW54" s="53"/>
      <c r="DX54" s="53"/>
      <c r="DY54" s="53"/>
      <c r="DZ54" s="53"/>
      <c r="EA54" s="53"/>
      <c r="EB54" s="53"/>
      <c r="EC54" s="53"/>
      <c r="ED54" s="53"/>
      <c r="EE54" s="53"/>
      <c r="EF54" s="53"/>
      <c r="EG54" s="53"/>
      <c r="EH54" s="53"/>
      <c r="EI54" s="53"/>
      <c r="EJ54" s="53"/>
      <c r="EK54" s="53"/>
      <c r="EL54" s="53"/>
      <c r="EM54" s="53"/>
      <c r="EN54" s="53"/>
      <c r="EO54" s="53"/>
      <c r="EP54" s="130">
        <f>MEDIAN(BF54,BP54)</f>
        <v>62500</v>
      </c>
      <c r="EQ54" s="130">
        <f>AVERAGE(BF54,BP54)</f>
        <v>62500</v>
      </c>
      <c r="ER54" s="131">
        <f>STDEV(BF54,BP54)</f>
        <v>3535.5339059327375</v>
      </c>
      <c r="ES54" s="137">
        <f t="shared" si="17"/>
        <v>5.6568542494923803E-2</v>
      </c>
      <c r="ET54" s="151">
        <f t="shared" si="18"/>
        <v>62500</v>
      </c>
      <c r="EU54" s="150">
        <f t="shared" si="21"/>
        <v>31187500</v>
      </c>
      <c r="EV54" s="148" t="s">
        <v>319</v>
      </c>
      <c r="EW54" s="192"/>
    </row>
    <row r="55" spans="1:153" s="49" customFormat="1" ht="32.450000000000003" customHeight="1" x14ac:dyDescent="0.25">
      <c r="A55" s="65">
        <v>49</v>
      </c>
      <c r="B55" s="200" t="s">
        <v>558</v>
      </c>
      <c r="C55" s="66" t="s">
        <v>559</v>
      </c>
      <c r="D55" s="67" t="s">
        <v>466</v>
      </c>
      <c r="E55" s="65">
        <v>480</v>
      </c>
      <c r="F55" s="146"/>
      <c r="G55" s="146"/>
      <c r="H55" s="146"/>
      <c r="I55" s="146"/>
      <c r="J55" s="146"/>
      <c r="K55" s="146"/>
      <c r="L55" s="53"/>
      <c r="M55" s="53"/>
      <c r="N55" s="53"/>
      <c r="O55" s="53"/>
      <c r="P55" s="53"/>
      <c r="Q55" s="53"/>
      <c r="R55" s="53"/>
      <c r="S55" s="53"/>
      <c r="T55" s="53"/>
      <c r="U55" s="53"/>
      <c r="V55" s="53"/>
      <c r="W55" s="53"/>
      <c r="X55" s="53"/>
      <c r="Y55" s="53"/>
      <c r="Z55" s="53"/>
      <c r="AA55" s="53"/>
      <c r="AB55" s="53"/>
      <c r="AC55" s="53"/>
      <c r="AD55" s="146">
        <v>12637.8</v>
      </c>
      <c r="AE55" s="53">
        <f t="shared" si="31"/>
        <v>6066144</v>
      </c>
      <c r="AF55" s="53"/>
      <c r="AG55" s="53"/>
      <c r="AH55" s="53"/>
      <c r="AI55" s="53"/>
      <c r="AJ55" s="53"/>
      <c r="AK55" s="53"/>
      <c r="AL55" s="53"/>
      <c r="AM55" s="53"/>
      <c r="AN55" s="53"/>
      <c r="AO55" s="53"/>
      <c r="AP55" s="53"/>
      <c r="AQ55" s="53"/>
      <c r="AR55" s="53"/>
      <c r="AS55" s="53"/>
      <c r="AT55" s="53"/>
      <c r="AU55" s="53"/>
      <c r="AV55" s="53"/>
      <c r="AW55" s="53"/>
      <c r="AX55" s="53"/>
      <c r="AY55" s="53"/>
      <c r="AZ55" s="53">
        <v>5000</v>
      </c>
      <c r="BA55" s="53"/>
      <c r="BB55" s="53">
        <v>6000</v>
      </c>
      <c r="BC55" s="53"/>
      <c r="BD55" s="53">
        <v>4000</v>
      </c>
      <c r="BE55" s="53"/>
      <c r="BF55" s="53">
        <v>5000</v>
      </c>
      <c r="BG55" s="53"/>
      <c r="BH55" s="53">
        <v>3000</v>
      </c>
      <c r="BI55" s="53"/>
      <c r="BJ55" s="53"/>
      <c r="BK55" s="53"/>
      <c r="BL55" s="53"/>
      <c r="BM55" s="53"/>
      <c r="BN55" s="53"/>
      <c r="BO55" s="53"/>
      <c r="BP55" s="53">
        <v>6000</v>
      </c>
      <c r="BQ55" s="53"/>
      <c r="BR55" s="53"/>
      <c r="BS55" s="53"/>
      <c r="BT55" s="53"/>
      <c r="BU55" s="53"/>
      <c r="BV55" s="53"/>
      <c r="BW55" s="53"/>
      <c r="BX55" s="53"/>
      <c r="BY55" s="53"/>
      <c r="BZ55" s="53"/>
      <c r="CA55" s="53"/>
      <c r="CB55" s="53"/>
      <c r="CC55" s="53"/>
      <c r="CD55" s="53"/>
      <c r="CE55" s="53"/>
      <c r="CF55" s="53"/>
      <c r="CG55" s="53"/>
      <c r="CH55" s="53"/>
      <c r="CI55" s="53"/>
      <c r="CJ55" s="53"/>
      <c r="CK55" s="53"/>
      <c r="CL55" s="53"/>
      <c r="CM55" s="53"/>
      <c r="CN55" s="53"/>
      <c r="CO55" s="53"/>
      <c r="CP55" s="53"/>
      <c r="CQ55" s="53"/>
      <c r="CR55" s="53"/>
      <c r="CS55" s="53"/>
      <c r="CT55" s="53"/>
      <c r="CU55" s="53"/>
      <c r="CV55" s="53"/>
      <c r="CW55" s="53"/>
      <c r="CX55" s="53"/>
      <c r="CY55" s="53"/>
      <c r="CZ55" s="53"/>
      <c r="DA55" s="53"/>
      <c r="DB55" s="53"/>
      <c r="DC55" s="53"/>
      <c r="DD55" s="53"/>
      <c r="DE55" s="53"/>
      <c r="DF55" s="53"/>
      <c r="DG55" s="53"/>
      <c r="DH55" s="53"/>
      <c r="DI55" s="53"/>
      <c r="DJ55" s="53"/>
      <c r="DK55" s="53"/>
      <c r="DL55" s="53"/>
      <c r="DM55" s="53"/>
      <c r="DN55" s="53"/>
      <c r="DO55" s="53"/>
      <c r="DP55" s="53"/>
      <c r="DQ55" s="53"/>
      <c r="DR55" s="53"/>
      <c r="DS55" s="53"/>
      <c r="DT55" s="53"/>
      <c r="DU55" s="53"/>
      <c r="DV55" s="53"/>
      <c r="DW55" s="53"/>
      <c r="DX55" s="53"/>
      <c r="DY55" s="53"/>
      <c r="DZ55" s="53"/>
      <c r="EA55" s="53"/>
      <c r="EB55" s="53"/>
      <c r="EC55" s="53"/>
      <c r="ED55" s="53"/>
      <c r="EE55" s="53"/>
      <c r="EF55" s="53"/>
      <c r="EG55" s="53"/>
      <c r="EH55" s="53"/>
      <c r="EI55" s="53"/>
      <c r="EJ55" s="53"/>
      <c r="EK55" s="53"/>
      <c r="EL55" s="53"/>
      <c r="EM55" s="53"/>
      <c r="EN55" s="53"/>
      <c r="EO55" s="53"/>
      <c r="EP55" s="130">
        <f>MEDIAN(AZ55,BB55,BD55,BF55)</f>
        <v>5000</v>
      </c>
      <c r="EQ55" s="130">
        <f>AVERAGE(AZ55,BB55,BD55,BF55)</f>
        <v>5000</v>
      </c>
      <c r="ER55" s="131">
        <f>STDEV(AZ55,BB55,BD55,BF55)</f>
        <v>816.49658092772597</v>
      </c>
      <c r="ES55" s="137">
        <f t="shared" si="17"/>
        <v>0.16329931618554519</v>
      </c>
      <c r="ET55" s="151">
        <f t="shared" si="18"/>
        <v>5000</v>
      </c>
      <c r="EU55" s="150">
        <f t="shared" si="21"/>
        <v>2400000</v>
      </c>
      <c r="EV55" s="148" t="s">
        <v>322</v>
      </c>
      <c r="EW55" s="192"/>
    </row>
    <row r="56" spans="1:153" s="49" customFormat="1" ht="32.450000000000003" customHeight="1" x14ac:dyDescent="0.25">
      <c r="A56" s="65">
        <v>50</v>
      </c>
      <c r="B56" s="200" t="s">
        <v>562</v>
      </c>
      <c r="C56" s="66" t="s">
        <v>563</v>
      </c>
      <c r="D56" s="67" t="s">
        <v>466</v>
      </c>
      <c r="E56" s="65">
        <v>600</v>
      </c>
      <c r="F56" s="146"/>
      <c r="G56" s="146"/>
      <c r="H56" s="146"/>
      <c r="I56" s="146"/>
      <c r="J56" s="146"/>
      <c r="K56" s="146"/>
      <c r="L56" s="53"/>
      <c r="M56" s="53"/>
      <c r="N56" s="53"/>
      <c r="O56" s="53"/>
      <c r="P56" s="53"/>
      <c r="Q56" s="53"/>
      <c r="R56" s="53"/>
      <c r="S56" s="53"/>
      <c r="T56" s="53"/>
      <c r="U56" s="53"/>
      <c r="V56" s="53"/>
      <c r="W56" s="53"/>
      <c r="X56" s="53"/>
      <c r="Y56" s="53"/>
      <c r="Z56" s="53"/>
      <c r="AA56" s="53"/>
      <c r="AB56" s="53"/>
      <c r="AC56" s="53"/>
      <c r="AD56" s="146">
        <v>47040.7</v>
      </c>
      <c r="AE56" s="53">
        <f t="shared" si="31"/>
        <v>28224420</v>
      </c>
      <c r="AF56" s="53"/>
      <c r="AG56" s="53"/>
      <c r="AH56" s="53"/>
      <c r="AI56" s="53"/>
      <c r="AJ56" s="53"/>
      <c r="AK56" s="53"/>
      <c r="AL56" s="53"/>
      <c r="AM56" s="53"/>
      <c r="AN56" s="53"/>
      <c r="AO56" s="53"/>
      <c r="AP56" s="53"/>
      <c r="AQ56" s="53"/>
      <c r="AR56" s="53"/>
      <c r="AS56" s="53"/>
      <c r="AT56" s="53"/>
      <c r="AU56" s="53"/>
      <c r="AV56" s="53"/>
      <c r="AW56" s="53"/>
      <c r="AX56" s="53"/>
      <c r="AY56" s="53"/>
      <c r="AZ56" s="53">
        <v>25000</v>
      </c>
      <c r="BA56" s="53"/>
      <c r="BB56" s="53">
        <v>25000</v>
      </c>
      <c r="BC56" s="53"/>
      <c r="BD56" s="53">
        <v>25000</v>
      </c>
      <c r="BE56" s="53"/>
      <c r="BF56" s="53">
        <v>20000</v>
      </c>
      <c r="BG56" s="53"/>
      <c r="BH56" s="53">
        <v>10000</v>
      </c>
      <c r="BI56" s="53"/>
      <c r="BJ56" s="53"/>
      <c r="BK56" s="53"/>
      <c r="BL56" s="53"/>
      <c r="BM56" s="53"/>
      <c r="BN56" s="53"/>
      <c r="BO56" s="53"/>
      <c r="BP56" s="53">
        <v>25000</v>
      </c>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c r="CZ56" s="53"/>
      <c r="DA56" s="53"/>
      <c r="DB56" s="53"/>
      <c r="DC56" s="53"/>
      <c r="DD56" s="53"/>
      <c r="DE56" s="53"/>
      <c r="DF56" s="53"/>
      <c r="DG56" s="53"/>
      <c r="DH56" s="53"/>
      <c r="DI56" s="53"/>
      <c r="DJ56" s="53"/>
      <c r="DK56" s="53"/>
      <c r="DL56" s="53"/>
      <c r="DM56" s="53"/>
      <c r="DN56" s="53"/>
      <c r="DO56" s="53"/>
      <c r="DP56" s="53"/>
      <c r="DQ56" s="53"/>
      <c r="DR56" s="53"/>
      <c r="DS56" s="53"/>
      <c r="DT56" s="53"/>
      <c r="DU56" s="53"/>
      <c r="DV56" s="53"/>
      <c r="DW56" s="53"/>
      <c r="DX56" s="53"/>
      <c r="DY56" s="53"/>
      <c r="DZ56" s="53"/>
      <c r="EA56" s="53"/>
      <c r="EB56" s="53"/>
      <c r="EC56" s="53"/>
      <c r="ED56" s="53"/>
      <c r="EE56" s="53"/>
      <c r="EF56" s="53"/>
      <c r="EG56" s="53"/>
      <c r="EH56" s="53"/>
      <c r="EI56" s="53"/>
      <c r="EJ56" s="53"/>
      <c r="EK56" s="53"/>
      <c r="EL56" s="53"/>
      <c r="EM56" s="53"/>
      <c r="EN56" s="53"/>
      <c r="EO56" s="53"/>
      <c r="EP56" s="130">
        <f t="shared" ref="EP56" si="32">MEDIAN(AZ56,BB56,BD56,BF56)</f>
        <v>25000</v>
      </c>
      <c r="EQ56" s="130">
        <f t="shared" ref="EQ56" si="33">AVERAGE(AZ56,BB56,BD56,BF56)</f>
        <v>23750</v>
      </c>
      <c r="ER56" s="131">
        <f t="shared" ref="ER56" si="34">STDEV(AZ56,BB56,BD56,BF56)</f>
        <v>2500</v>
      </c>
      <c r="ES56" s="137">
        <f t="shared" si="17"/>
        <v>0.10526315789473684</v>
      </c>
      <c r="ET56" s="151">
        <f t="shared" si="18"/>
        <v>23750</v>
      </c>
      <c r="EU56" s="150">
        <f t="shared" si="21"/>
        <v>14250000</v>
      </c>
      <c r="EV56" s="148" t="s">
        <v>319</v>
      </c>
      <c r="EW56" s="192"/>
    </row>
    <row r="57" spans="1:153" s="49" customFormat="1" ht="32.450000000000003" customHeight="1" x14ac:dyDescent="0.25">
      <c r="A57" s="65">
        <v>51</v>
      </c>
      <c r="B57" s="200" t="s">
        <v>560</v>
      </c>
      <c r="C57" s="66" t="s">
        <v>561</v>
      </c>
      <c r="D57" s="67" t="s">
        <v>466</v>
      </c>
      <c r="E57" s="65">
        <v>500</v>
      </c>
      <c r="F57" s="146"/>
      <c r="G57" s="146"/>
      <c r="H57" s="146"/>
      <c r="I57" s="146"/>
      <c r="J57" s="146"/>
      <c r="K57" s="146"/>
      <c r="L57" s="53"/>
      <c r="M57" s="53"/>
      <c r="N57" s="53"/>
      <c r="O57" s="53"/>
      <c r="P57" s="53"/>
      <c r="Q57" s="53"/>
      <c r="R57" s="53"/>
      <c r="S57" s="53"/>
      <c r="T57" s="53"/>
      <c r="U57" s="53"/>
      <c r="V57" s="53"/>
      <c r="W57" s="53"/>
      <c r="X57" s="53"/>
      <c r="Y57" s="53"/>
      <c r="Z57" s="53"/>
      <c r="AA57" s="53"/>
      <c r="AB57" s="53"/>
      <c r="AC57" s="53"/>
      <c r="AD57" s="146">
        <v>91273</v>
      </c>
      <c r="AE57" s="53">
        <f t="shared" si="31"/>
        <v>45636500</v>
      </c>
      <c r="AF57" s="53"/>
      <c r="AG57" s="53"/>
      <c r="AH57" s="53"/>
      <c r="AI57" s="53"/>
      <c r="AJ57" s="53"/>
      <c r="AK57" s="53"/>
      <c r="AL57" s="53"/>
      <c r="AM57" s="53"/>
      <c r="AN57" s="53"/>
      <c r="AO57" s="53"/>
      <c r="AP57" s="53"/>
      <c r="AQ57" s="53"/>
      <c r="AR57" s="53"/>
      <c r="AS57" s="53"/>
      <c r="AT57" s="53"/>
      <c r="AU57" s="53"/>
      <c r="AV57" s="53"/>
      <c r="AW57" s="53"/>
      <c r="AX57" s="53"/>
      <c r="AY57" s="53"/>
      <c r="AZ57" s="53">
        <v>30000</v>
      </c>
      <c r="BA57" s="53"/>
      <c r="BB57" s="53">
        <v>15000</v>
      </c>
      <c r="BC57" s="53"/>
      <c r="BD57" s="53">
        <v>12000</v>
      </c>
      <c r="BE57" s="53"/>
      <c r="BF57" s="53">
        <v>15000</v>
      </c>
      <c r="BG57" s="53"/>
      <c r="BH57" s="53"/>
      <c r="BI57" s="53"/>
      <c r="BJ57" s="53"/>
      <c r="BK57" s="53"/>
      <c r="BL57" s="53"/>
      <c r="BM57" s="53"/>
      <c r="BN57" s="53"/>
      <c r="BO57" s="53"/>
      <c r="BP57" s="53">
        <v>18000</v>
      </c>
      <c r="BQ57" s="53"/>
      <c r="BR57" s="53"/>
      <c r="BS57" s="53"/>
      <c r="BT57" s="53"/>
      <c r="BU57" s="53"/>
      <c r="BV57" s="53"/>
      <c r="BW57" s="53"/>
      <c r="BX57" s="53"/>
      <c r="BY57" s="53"/>
      <c r="BZ57" s="53"/>
      <c r="CA57" s="53"/>
      <c r="CB57" s="53"/>
      <c r="CC57" s="53"/>
      <c r="CD57" s="53"/>
      <c r="CE57" s="53"/>
      <c r="CF57" s="53"/>
      <c r="CG57" s="53"/>
      <c r="CH57" s="53"/>
      <c r="CI57" s="53"/>
      <c r="CJ57" s="53"/>
      <c r="CK57" s="53"/>
      <c r="CL57" s="53"/>
      <c r="CM57" s="53"/>
      <c r="CN57" s="53"/>
      <c r="CO57" s="53"/>
      <c r="CP57" s="53"/>
      <c r="CQ57" s="53"/>
      <c r="CR57" s="53"/>
      <c r="CS57" s="53"/>
      <c r="CT57" s="53"/>
      <c r="CU57" s="53"/>
      <c r="CV57" s="53"/>
      <c r="CW57" s="53"/>
      <c r="CX57" s="53"/>
      <c r="CY57" s="53"/>
      <c r="CZ57" s="53"/>
      <c r="DA57" s="53"/>
      <c r="DB57" s="53"/>
      <c r="DC57" s="53"/>
      <c r="DD57" s="53"/>
      <c r="DE57" s="53"/>
      <c r="DF57" s="53"/>
      <c r="DG57" s="53"/>
      <c r="DH57" s="53"/>
      <c r="DI57" s="53"/>
      <c r="DJ57" s="53"/>
      <c r="DK57" s="53"/>
      <c r="DL57" s="53"/>
      <c r="DM57" s="53"/>
      <c r="DN57" s="53"/>
      <c r="DO57" s="53"/>
      <c r="DP57" s="53"/>
      <c r="DQ57" s="53"/>
      <c r="DR57" s="53"/>
      <c r="DS57" s="53"/>
      <c r="DT57" s="53"/>
      <c r="DU57" s="53"/>
      <c r="DV57" s="53"/>
      <c r="DW57" s="53"/>
      <c r="DX57" s="53"/>
      <c r="DY57" s="53"/>
      <c r="DZ57" s="53"/>
      <c r="EA57" s="53"/>
      <c r="EB57" s="53"/>
      <c r="EC57" s="53"/>
      <c r="ED57" s="53"/>
      <c r="EE57" s="53"/>
      <c r="EF57" s="53"/>
      <c r="EG57" s="53"/>
      <c r="EH57" s="53"/>
      <c r="EI57" s="53"/>
      <c r="EJ57" s="53"/>
      <c r="EK57" s="53"/>
      <c r="EL57" s="53"/>
      <c r="EM57" s="53"/>
      <c r="EN57" s="53"/>
      <c r="EO57" s="53"/>
      <c r="EP57" s="130">
        <f>MEDIAN(BF57,BP57)</f>
        <v>16500</v>
      </c>
      <c r="EQ57" s="130">
        <f>AVERAGE(BF57,BP57)</f>
        <v>16500</v>
      </c>
      <c r="ER57" s="131">
        <f>STDEV(BF57,BP57)</f>
        <v>2121.3203435596424</v>
      </c>
      <c r="ES57" s="137">
        <f t="shared" si="17"/>
        <v>0.12856486930664499</v>
      </c>
      <c r="ET57" s="151">
        <f t="shared" si="18"/>
        <v>16500</v>
      </c>
      <c r="EU57" s="150">
        <f t="shared" si="21"/>
        <v>8250000</v>
      </c>
      <c r="EV57" s="148" t="s">
        <v>319</v>
      </c>
      <c r="EW57" s="192"/>
    </row>
    <row r="58" spans="1:153" ht="32.450000000000003" customHeight="1" x14ac:dyDescent="0.25">
      <c r="A58" s="65">
        <v>52</v>
      </c>
      <c r="B58" s="203" t="s">
        <v>564</v>
      </c>
      <c r="C58" s="76" t="s">
        <v>565</v>
      </c>
      <c r="D58" s="77" t="s">
        <v>466</v>
      </c>
      <c r="E58" s="65">
        <v>850</v>
      </c>
      <c r="F58" s="153"/>
      <c r="G58" s="153"/>
      <c r="H58" s="153"/>
      <c r="I58" s="153"/>
      <c r="J58" s="153"/>
      <c r="K58" s="153"/>
      <c r="L58" s="50"/>
      <c r="M58" s="50"/>
      <c r="N58" s="50"/>
      <c r="O58" s="50"/>
      <c r="P58" s="50"/>
      <c r="Q58" s="50"/>
      <c r="R58" s="50"/>
      <c r="S58" s="50"/>
      <c r="T58" s="50"/>
      <c r="U58" s="50"/>
      <c r="V58" s="50"/>
      <c r="W58" s="53"/>
      <c r="X58" s="53"/>
      <c r="Y58" s="53"/>
      <c r="Z58" s="53"/>
      <c r="AA58" s="53"/>
      <c r="AB58" s="53"/>
      <c r="AC58" s="53"/>
      <c r="AD58" s="153">
        <v>491.58701666666661</v>
      </c>
      <c r="AE58" s="53">
        <f t="shared" si="31"/>
        <v>417848.96416666661</v>
      </c>
      <c r="AF58" s="53"/>
      <c r="AG58" s="53"/>
      <c r="AH58" s="53"/>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c r="BJ58" s="53"/>
      <c r="BK58" s="53"/>
      <c r="BL58" s="53"/>
      <c r="BM58" s="53"/>
      <c r="BN58" s="53"/>
      <c r="BO58" s="53"/>
      <c r="BP58" s="53"/>
      <c r="BQ58" s="53"/>
      <c r="BR58" s="53"/>
      <c r="BS58" s="53"/>
      <c r="BT58" s="53"/>
      <c r="BU58" s="53"/>
      <c r="BV58" s="53"/>
      <c r="BW58" s="53"/>
      <c r="BX58" s="53"/>
      <c r="BY58" s="53"/>
      <c r="BZ58" s="53"/>
      <c r="CA58" s="53"/>
      <c r="CB58" s="53"/>
      <c r="CC58" s="53"/>
      <c r="CD58" s="53"/>
      <c r="CE58" s="53"/>
      <c r="CF58" s="53"/>
      <c r="CG58" s="53"/>
      <c r="CH58" s="53"/>
      <c r="CI58" s="53"/>
      <c r="CJ58" s="53"/>
      <c r="CK58" s="53"/>
      <c r="CL58" s="53"/>
      <c r="CM58" s="53"/>
      <c r="CN58" s="53"/>
      <c r="CO58" s="53"/>
      <c r="CP58" s="53"/>
      <c r="CQ58" s="53"/>
      <c r="CR58" s="53">
        <v>680</v>
      </c>
      <c r="CS58" s="53">
        <f t="shared" ref="CS58" si="35">+CR58*E58</f>
        <v>578000</v>
      </c>
      <c r="CT58" s="53"/>
      <c r="CU58" s="53"/>
      <c r="CV58" s="53"/>
      <c r="CW58" s="53"/>
      <c r="CX58" s="53"/>
      <c r="CY58" s="53"/>
      <c r="CZ58" s="53"/>
      <c r="DA58" s="53"/>
      <c r="DB58" s="53"/>
      <c r="DC58" s="53"/>
      <c r="DD58" s="53"/>
      <c r="DE58" s="53"/>
      <c r="DF58" s="53"/>
      <c r="DG58" s="53"/>
      <c r="DH58" s="53"/>
      <c r="DI58" s="53"/>
      <c r="DJ58" s="53"/>
      <c r="DK58" s="53"/>
      <c r="DL58" s="53"/>
      <c r="DM58" s="53"/>
      <c r="DN58" s="53"/>
      <c r="DO58" s="53"/>
      <c r="DP58" s="53"/>
      <c r="DQ58" s="53"/>
      <c r="DR58" s="53"/>
      <c r="DS58" s="53"/>
      <c r="DT58" s="53"/>
      <c r="DU58" s="53"/>
      <c r="DV58" s="53"/>
      <c r="DW58" s="53"/>
      <c r="DX58" s="53"/>
      <c r="DY58" s="53"/>
      <c r="DZ58" s="53"/>
      <c r="EA58" s="53"/>
      <c r="EB58" s="53"/>
      <c r="EC58" s="53"/>
      <c r="ED58" s="53"/>
      <c r="EE58" s="53"/>
      <c r="EF58" s="53"/>
      <c r="EG58" s="53"/>
      <c r="EH58" s="53"/>
      <c r="EI58" s="53"/>
      <c r="EJ58" s="53"/>
      <c r="EK58" s="53"/>
      <c r="EL58" s="53"/>
      <c r="EM58" s="53"/>
      <c r="EN58" s="53"/>
      <c r="EO58" s="53"/>
      <c r="EP58" s="130">
        <f>MEDIAN(AD58,CR58)</f>
        <v>585.79350833333331</v>
      </c>
      <c r="EQ58" s="130">
        <f>AVERAGE(AD58,CR58)</f>
        <v>585.79350833333331</v>
      </c>
      <c r="ER58" s="131">
        <f>STDEV(AD58,CR58)</f>
        <v>133.22809817858823</v>
      </c>
      <c r="ES58" s="137">
        <f t="shared" si="17"/>
        <v>0.22743184464034316</v>
      </c>
      <c r="ET58" s="151">
        <f t="shared" si="18"/>
        <v>586</v>
      </c>
      <c r="EU58" s="150">
        <f t="shared" si="21"/>
        <v>498100</v>
      </c>
      <c r="EV58" s="148" t="s">
        <v>322</v>
      </c>
      <c r="EW58" s="192"/>
    </row>
    <row r="59" spans="1:153" ht="32.450000000000003" customHeight="1" x14ac:dyDescent="0.25">
      <c r="A59" s="65">
        <v>53</v>
      </c>
      <c r="B59" s="203" t="s">
        <v>566</v>
      </c>
      <c r="C59" s="76" t="s">
        <v>567</v>
      </c>
      <c r="D59" s="77" t="s">
        <v>466</v>
      </c>
      <c r="E59" s="65">
        <v>550</v>
      </c>
      <c r="F59" s="153"/>
      <c r="G59" s="153"/>
      <c r="H59" s="153"/>
      <c r="I59" s="153"/>
      <c r="J59" s="153"/>
      <c r="K59" s="153"/>
      <c r="L59" s="50"/>
      <c r="M59" s="50"/>
      <c r="N59" s="50"/>
      <c r="O59" s="50"/>
      <c r="P59" s="50"/>
      <c r="Q59" s="50"/>
      <c r="R59" s="50"/>
      <c r="S59" s="50"/>
      <c r="T59" s="50"/>
      <c r="U59" s="50"/>
      <c r="V59" s="50"/>
      <c r="W59" s="53"/>
      <c r="X59" s="53"/>
      <c r="Y59" s="53"/>
      <c r="Z59" s="53"/>
      <c r="AA59" s="53"/>
      <c r="AB59" s="53"/>
      <c r="AC59" s="53"/>
      <c r="AD59" s="153">
        <v>41985.58</v>
      </c>
      <c r="AE59" s="53">
        <f t="shared" si="31"/>
        <v>23092069</v>
      </c>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v>70000</v>
      </c>
      <c r="CC59" s="78">
        <f>+CB59*E59</f>
        <v>38500000</v>
      </c>
      <c r="CD59" s="53">
        <v>81000</v>
      </c>
      <c r="CE59" s="78">
        <f>+CD59*E59</f>
        <v>44550000</v>
      </c>
      <c r="CF59" s="53"/>
      <c r="CG59" s="53"/>
      <c r="CH59" s="53"/>
      <c r="CI59" s="53"/>
      <c r="CJ59" s="53"/>
      <c r="CK59" s="53"/>
      <c r="CL59" s="53"/>
      <c r="CM59" s="53"/>
      <c r="CN59" s="53"/>
      <c r="CO59" s="53"/>
      <c r="CP59" s="53"/>
      <c r="CQ59" s="53"/>
      <c r="CR59" s="53"/>
      <c r="CS59" s="53"/>
      <c r="CT59" s="53"/>
      <c r="CU59" s="53"/>
      <c r="CV59" s="53"/>
      <c r="CW59" s="53"/>
      <c r="CX59" s="53"/>
      <c r="CY59" s="53"/>
      <c r="CZ59" s="53"/>
      <c r="DA59" s="53"/>
      <c r="DB59" s="53"/>
      <c r="DC59" s="53"/>
      <c r="DD59" s="53"/>
      <c r="DE59" s="53"/>
      <c r="DF59" s="53"/>
      <c r="DG59" s="53"/>
      <c r="DH59" s="53"/>
      <c r="DI59" s="53"/>
      <c r="DJ59" s="53"/>
      <c r="DK59" s="53"/>
      <c r="DL59" s="53"/>
      <c r="DM59" s="53"/>
      <c r="DN59" s="53"/>
      <c r="DO59" s="53"/>
      <c r="DP59" s="53"/>
      <c r="DQ59" s="53"/>
      <c r="DR59" s="53"/>
      <c r="DS59" s="53"/>
      <c r="DT59" s="53"/>
      <c r="DU59" s="53"/>
      <c r="DV59" s="53"/>
      <c r="DW59" s="53"/>
      <c r="DX59" s="53"/>
      <c r="DY59" s="53"/>
      <c r="DZ59" s="53"/>
      <c r="EA59" s="53"/>
      <c r="EB59" s="53"/>
      <c r="EC59" s="53"/>
      <c r="ED59" s="53"/>
      <c r="EE59" s="53"/>
      <c r="EF59" s="53"/>
      <c r="EG59" s="53"/>
      <c r="EH59" s="53"/>
      <c r="EI59" s="53"/>
      <c r="EJ59" s="53"/>
      <c r="EK59" s="53"/>
      <c r="EL59" s="53"/>
      <c r="EM59" s="53"/>
      <c r="EN59" s="53"/>
      <c r="EO59" s="53"/>
      <c r="EP59" s="130">
        <f>MEDIAN(CB59,CD59)</f>
        <v>75500</v>
      </c>
      <c r="EQ59" s="130">
        <f>AVERAGE(CB59,CD59)</f>
        <v>75500</v>
      </c>
      <c r="ER59" s="131">
        <f>STDEV(CB59,CD59)</f>
        <v>7778.1745930520228</v>
      </c>
      <c r="ES59" s="137">
        <f t="shared" si="17"/>
        <v>0.10302218004042414</v>
      </c>
      <c r="ET59" s="151">
        <f t="shared" si="18"/>
        <v>75500</v>
      </c>
      <c r="EU59" s="150">
        <f t="shared" si="21"/>
        <v>41525000</v>
      </c>
      <c r="EV59" s="148" t="s">
        <v>319</v>
      </c>
      <c r="EW59" s="192"/>
    </row>
    <row r="60" spans="1:153" s="49" customFormat="1" ht="51" customHeight="1" x14ac:dyDescent="0.25">
      <c r="A60" s="65">
        <v>54</v>
      </c>
      <c r="B60" s="200" t="s">
        <v>568</v>
      </c>
      <c r="C60" s="66" t="s">
        <v>569</v>
      </c>
      <c r="D60" s="67" t="s">
        <v>466</v>
      </c>
      <c r="E60" s="65">
        <v>500</v>
      </c>
      <c r="F60" s="146"/>
      <c r="G60" s="146"/>
      <c r="H60" s="146"/>
      <c r="I60" s="146"/>
      <c r="J60" s="146"/>
      <c r="K60" s="146"/>
      <c r="L60" s="53"/>
      <c r="M60" s="53"/>
      <c r="N60" s="53"/>
      <c r="O60" s="53"/>
      <c r="P60" s="53"/>
      <c r="Q60" s="53"/>
      <c r="R60" s="53"/>
      <c r="S60" s="53"/>
      <c r="T60" s="53"/>
      <c r="U60" s="53"/>
      <c r="V60" s="53"/>
      <c r="W60" s="53"/>
      <c r="X60" s="53"/>
      <c r="Y60" s="53"/>
      <c r="Z60" s="53"/>
      <c r="AA60" s="53"/>
      <c r="AB60" s="53"/>
      <c r="AC60" s="53"/>
      <c r="AD60" s="146">
        <v>17552.5</v>
      </c>
      <c r="AE60" s="53">
        <f t="shared" si="31"/>
        <v>8776250</v>
      </c>
      <c r="AF60" s="53"/>
      <c r="AG60" s="53"/>
      <c r="AH60" s="53"/>
      <c r="AI60" s="53"/>
      <c r="AJ60" s="53"/>
      <c r="AK60" s="53"/>
      <c r="AL60" s="53"/>
      <c r="AM60" s="53"/>
      <c r="AN60" s="53"/>
      <c r="AO60" s="53"/>
      <c r="AP60" s="53"/>
      <c r="AQ60" s="53"/>
      <c r="AR60" s="53"/>
      <c r="AS60" s="53"/>
      <c r="AT60" s="53"/>
      <c r="AU60" s="53"/>
      <c r="AV60" s="53"/>
      <c r="AW60" s="53"/>
      <c r="AX60" s="53"/>
      <c r="AY60" s="53"/>
      <c r="AZ60" s="53"/>
      <c r="BA60" s="53"/>
      <c r="BB60" s="53"/>
      <c r="BC60" s="53"/>
      <c r="BD60" s="53"/>
      <c r="BE60" s="53"/>
      <c r="BF60" s="53"/>
      <c r="BG60" s="53"/>
      <c r="BH60" s="53"/>
      <c r="BI60" s="53"/>
      <c r="BJ60" s="53"/>
      <c r="BK60" s="53"/>
      <c r="BL60" s="53"/>
      <c r="BM60" s="53"/>
      <c r="BN60" s="53"/>
      <c r="BO60" s="53"/>
      <c r="BP60" s="53"/>
      <c r="BQ60" s="53"/>
      <c r="BR60" s="53"/>
      <c r="BS60" s="53"/>
      <c r="BT60" s="53"/>
      <c r="BU60" s="53"/>
      <c r="BV60" s="53"/>
      <c r="BW60" s="53"/>
      <c r="BX60" s="53"/>
      <c r="BY60" s="53"/>
      <c r="BZ60" s="53"/>
      <c r="CA60" s="53"/>
      <c r="CB60" s="53">
        <v>80000</v>
      </c>
      <c r="CC60" s="53">
        <f>+CB60*E60</f>
        <v>40000000</v>
      </c>
      <c r="CD60" s="53">
        <v>50022</v>
      </c>
      <c r="CE60" s="53">
        <f>+CD60*E60</f>
        <v>25011000</v>
      </c>
      <c r="CF60" s="53"/>
      <c r="CG60" s="53"/>
      <c r="CH60" s="53"/>
      <c r="CI60" s="53"/>
      <c r="CJ60" s="53"/>
      <c r="CK60" s="53"/>
      <c r="CL60" s="53"/>
      <c r="CM60" s="53"/>
      <c r="CN60" s="53"/>
      <c r="CO60" s="53"/>
      <c r="CP60" s="53"/>
      <c r="CQ60" s="53"/>
      <c r="CR60" s="53"/>
      <c r="CS60" s="53"/>
      <c r="CT60" s="53"/>
      <c r="CU60" s="53"/>
      <c r="CV60" s="53"/>
      <c r="CW60" s="53"/>
      <c r="CX60" s="53"/>
      <c r="CY60" s="53"/>
      <c r="CZ60" s="53"/>
      <c r="DA60" s="53"/>
      <c r="DB60" s="53"/>
      <c r="DC60" s="53"/>
      <c r="DD60" s="53"/>
      <c r="DE60" s="53"/>
      <c r="DF60" s="53"/>
      <c r="DG60" s="53"/>
      <c r="DH60" s="53"/>
      <c r="DI60" s="53"/>
      <c r="DJ60" s="53"/>
      <c r="DK60" s="53"/>
      <c r="DL60" s="53"/>
      <c r="DM60" s="53"/>
      <c r="DN60" s="53"/>
      <c r="DO60" s="53"/>
      <c r="DP60" s="53"/>
      <c r="DQ60" s="53"/>
      <c r="DR60" s="53"/>
      <c r="DS60" s="53"/>
      <c r="DT60" s="53"/>
      <c r="DU60" s="53"/>
      <c r="DV60" s="53"/>
      <c r="DW60" s="53"/>
      <c r="DX60" s="53"/>
      <c r="DY60" s="53"/>
      <c r="DZ60" s="53"/>
      <c r="EA60" s="53"/>
      <c r="EB60" s="53"/>
      <c r="EC60" s="53"/>
      <c r="ED60" s="53"/>
      <c r="EE60" s="53"/>
      <c r="EF60" s="53">
        <v>21389</v>
      </c>
      <c r="EG60" s="53">
        <f>+EF60*E60</f>
        <v>10694500</v>
      </c>
      <c r="EH60" s="53"/>
      <c r="EI60" s="53"/>
      <c r="EJ60" s="53"/>
      <c r="EK60" s="53"/>
      <c r="EL60" s="53"/>
      <c r="EM60" s="53"/>
      <c r="EN60" s="53"/>
      <c r="EO60" s="53"/>
      <c r="EP60" s="130">
        <f>MEDIAN(AD60,EF60)</f>
        <v>19470.75</v>
      </c>
      <c r="EQ60" s="130">
        <f>AVERAGE(AD60,EF60)</f>
        <v>19470.75</v>
      </c>
      <c r="ER60" s="131">
        <f>STDEV(AD60,EF60)</f>
        <v>2712.8151660221897</v>
      </c>
      <c r="ES60" s="137">
        <f t="shared" si="17"/>
        <v>0.13932771803973601</v>
      </c>
      <c r="ET60" s="151">
        <f t="shared" si="18"/>
        <v>19471</v>
      </c>
      <c r="EU60" s="150">
        <f t="shared" si="21"/>
        <v>9735500</v>
      </c>
      <c r="EV60" s="148" t="s">
        <v>319</v>
      </c>
      <c r="EW60" s="192"/>
    </row>
    <row r="61" spans="1:153" ht="32.450000000000003" customHeight="1" x14ac:dyDescent="0.25">
      <c r="A61" s="65">
        <v>55</v>
      </c>
      <c r="B61" s="203" t="s">
        <v>570</v>
      </c>
      <c r="C61" s="76" t="s">
        <v>571</v>
      </c>
      <c r="D61" s="77" t="s">
        <v>466</v>
      </c>
      <c r="E61" s="65">
        <v>699</v>
      </c>
      <c r="F61" s="153"/>
      <c r="G61" s="153"/>
      <c r="H61" s="153"/>
      <c r="I61" s="153"/>
      <c r="J61" s="153"/>
      <c r="K61" s="153"/>
      <c r="L61" s="50"/>
      <c r="M61" s="50"/>
      <c r="N61" s="50"/>
      <c r="O61" s="50"/>
      <c r="P61" s="50"/>
      <c r="Q61" s="50"/>
      <c r="R61" s="50"/>
      <c r="S61" s="50"/>
      <c r="T61" s="50"/>
      <c r="U61" s="50"/>
      <c r="V61" s="50"/>
      <c r="W61" s="53"/>
      <c r="X61" s="53"/>
      <c r="Y61" s="53"/>
      <c r="Z61" s="53"/>
      <c r="AA61" s="53"/>
      <c r="AB61" s="53"/>
      <c r="AC61" s="53"/>
      <c r="AD61" s="153">
        <v>84252</v>
      </c>
      <c r="AE61" s="53">
        <f t="shared" si="31"/>
        <v>58892148</v>
      </c>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3"/>
      <c r="BG61" s="53"/>
      <c r="BH61" s="53"/>
      <c r="BI61" s="53"/>
      <c r="BJ61" s="53"/>
      <c r="BK61" s="53"/>
      <c r="BL61" s="53"/>
      <c r="BM61" s="53"/>
      <c r="BN61" s="53"/>
      <c r="BO61" s="53"/>
      <c r="BP61" s="53"/>
      <c r="BQ61" s="53"/>
      <c r="BR61" s="53"/>
      <c r="BS61" s="53"/>
      <c r="BT61" s="53"/>
      <c r="BU61" s="53"/>
      <c r="BV61" s="53"/>
      <c r="BW61" s="53"/>
      <c r="BX61" s="53"/>
      <c r="BY61" s="53"/>
      <c r="BZ61" s="53"/>
      <c r="CA61" s="53"/>
      <c r="CB61" s="53">
        <v>150000</v>
      </c>
      <c r="CC61" s="78">
        <f>+CB61*E61</f>
        <v>104850000</v>
      </c>
      <c r="CD61" s="53">
        <v>135000</v>
      </c>
      <c r="CE61" s="78">
        <f>+CD61*E61</f>
        <v>94365000</v>
      </c>
      <c r="CF61" s="53"/>
      <c r="CG61" s="53"/>
      <c r="CH61" s="53"/>
      <c r="CI61" s="53"/>
      <c r="CJ61" s="53"/>
      <c r="CK61" s="53"/>
      <c r="CL61" s="53"/>
      <c r="CM61" s="53"/>
      <c r="CN61" s="53"/>
      <c r="CO61" s="53"/>
      <c r="CP61" s="53"/>
      <c r="CQ61" s="53"/>
      <c r="CR61" s="53"/>
      <c r="CS61" s="53"/>
      <c r="CT61" s="53"/>
      <c r="CU61" s="53"/>
      <c r="CV61" s="53"/>
      <c r="CW61" s="53"/>
      <c r="CX61" s="53"/>
      <c r="CY61" s="53"/>
      <c r="CZ61" s="53"/>
      <c r="DA61" s="53"/>
      <c r="DB61" s="53"/>
      <c r="DC61" s="53"/>
      <c r="DD61" s="53"/>
      <c r="DE61" s="53"/>
      <c r="DF61" s="53"/>
      <c r="DG61" s="53"/>
      <c r="DH61" s="53"/>
      <c r="DI61" s="53"/>
      <c r="DJ61" s="53"/>
      <c r="DK61" s="53"/>
      <c r="DL61" s="53"/>
      <c r="DM61" s="53"/>
      <c r="DN61" s="53"/>
      <c r="DO61" s="53"/>
      <c r="DP61" s="53"/>
      <c r="DQ61" s="53"/>
      <c r="DR61" s="53"/>
      <c r="DS61" s="53"/>
      <c r="DT61" s="53"/>
      <c r="DU61" s="53"/>
      <c r="DV61" s="53"/>
      <c r="DW61" s="53"/>
      <c r="DX61" s="53"/>
      <c r="DY61" s="53"/>
      <c r="DZ61" s="53"/>
      <c r="EA61" s="53"/>
      <c r="EB61" s="53"/>
      <c r="EC61" s="53"/>
      <c r="ED61" s="53"/>
      <c r="EE61" s="53"/>
      <c r="EF61" s="53"/>
      <c r="EG61" s="53"/>
      <c r="EH61" s="53"/>
      <c r="EI61" s="53"/>
      <c r="EJ61" s="53"/>
      <c r="EK61" s="53"/>
      <c r="EL61" s="53"/>
      <c r="EM61" s="53"/>
      <c r="EN61" s="53"/>
      <c r="EO61" s="53"/>
      <c r="EP61" s="130">
        <f>MEDIAN(CB61,CD61)</f>
        <v>142500</v>
      </c>
      <c r="EQ61" s="130">
        <f>AVERAGE(CB61,CD61)</f>
        <v>142500</v>
      </c>
      <c r="ER61" s="131">
        <f>STDEV(CB61,CD61)</f>
        <v>10606.601717798212</v>
      </c>
      <c r="ES61" s="137">
        <f t="shared" si="17"/>
        <v>7.4432292756478682E-2</v>
      </c>
      <c r="ET61" s="151">
        <f t="shared" si="18"/>
        <v>142500</v>
      </c>
      <c r="EU61" s="150">
        <f t="shared" si="21"/>
        <v>99607500</v>
      </c>
      <c r="EV61" s="148" t="s">
        <v>319</v>
      </c>
      <c r="EW61" s="192"/>
    </row>
    <row r="62" spans="1:153" ht="32.450000000000003" customHeight="1" x14ac:dyDescent="0.25">
      <c r="A62" s="65">
        <v>56</v>
      </c>
      <c r="B62" s="203" t="s">
        <v>572</v>
      </c>
      <c r="C62" s="76" t="s">
        <v>573</v>
      </c>
      <c r="D62" s="77" t="s">
        <v>466</v>
      </c>
      <c r="E62" s="65">
        <v>780</v>
      </c>
      <c r="F62" s="153"/>
      <c r="G62" s="153"/>
      <c r="H62" s="153"/>
      <c r="I62" s="153"/>
      <c r="J62" s="153"/>
      <c r="K62" s="153"/>
      <c r="L62" s="50"/>
      <c r="M62" s="50"/>
      <c r="N62" s="50"/>
      <c r="O62" s="50"/>
      <c r="P62" s="50"/>
      <c r="Q62" s="50"/>
      <c r="R62" s="50"/>
      <c r="S62" s="50"/>
      <c r="T62" s="50"/>
      <c r="U62" s="50"/>
      <c r="V62" s="50"/>
      <c r="W62" s="53"/>
      <c r="X62" s="53"/>
      <c r="Y62" s="53"/>
      <c r="Z62" s="53"/>
      <c r="AA62" s="53"/>
      <c r="AB62" s="53"/>
      <c r="AC62" s="53"/>
      <c r="AD62" s="153">
        <v>62346.479999999996</v>
      </c>
      <c r="AE62" s="53">
        <f t="shared" si="31"/>
        <v>48630254.399999999</v>
      </c>
      <c r="AF62" s="53"/>
      <c r="AG62" s="53"/>
      <c r="AH62" s="53"/>
      <c r="AI62" s="53"/>
      <c r="AJ62" s="53"/>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c r="BJ62" s="53"/>
      <c r="BK62" s="53"/>
      <c r="BL62" s="53"/>
      <c r="BM62" s="53"/>
      <c r="BN62" s="53"/>
      <c r="BO62" s="53"/>
      <c r="BP62" s="53"/>
      <c r="BQ62" s="53"/>
      <c r="BR62" s="53"/>
      <c r="BS62" s="53"/>
      <c r="BT62" s="53"/>
      <c r="BU62" s="53"/>
      <c r="BV62" s="53"/>
      <c r="BW62" s="53"/>
      <c r="BX62" s="53"/>
      <c r="BY62" s="53"/>
      <c r="BZ62" s="53"/>
      <c r="CA62" s="53"/>
      <c r="CB62" s="53"/>
      <c r="CC62" s="53"/>
      <c r="CD62" s="53"/>
      <c r="CE62" s="53"/>
      <c r="CF62" s="53"/>
      <c r="CG62" s="53"/>
      <c r="CH62" s="53"/>
      <c r="CI62" s="53"/>
      <c r="CJ62" s="53"/>
      <c r="CK62" s="53"/>
      <c r="CL62" s="53"/>
      <c r="CM62" s="53"/>
      <c r="CN62" s="53"/>
      <c r="CO62" s="53"/>
      <c r="CP62" s="53"/>
      <c r="CQ62" s="53"/>
      <c r="CR62" s="53">
        <v>64260</v>
      </c>
      <c r="CS62" s="53">
        <f>+CR62*E62</f>
        <v>50122800</v>
      </c>
      <c r="CT62" s="53"/>
      <c r="CU62" s="53"/>
      <c r="CV62" s="53"/>
      <c r="CW62" s="53"/>
      <c r="CX62" s="53"/>
      <c r="CY62" s="53"/>
      <c r="CZ62" s="53"/>
      <c r="DA62" s="53"/>
      <c r="DB62" s="53"/>
      <c r="DC62" s="53"/>
      <c r="DD62" s="53"/>
      <c r="DE62" s="53"/>
      <c r="DF62" s="53"/>
      <c r="DG62" s="53"/>
      <c r="DH62" s="53"/>
      <c r="DI62" s="53"/>
      <c r="DJ62" s="53"/>
      <c r="DK62" s="53"/>
      <c r="DL62" s="53"/>
      <c r="DM62" s="53"/>
      <c r="DN62" s="53"/>
      <c r="DO62" s="53"/>
      <c r="DP62" s="53"/>
      <c r="DQ62" s="53"/>
      <c r="DR62" s="53"/>
      <c r="DS62" s="53"/>
      <c r="DT62" s="53"/>
      <c r="DU62" s="53"/>
      <c r="DV62" s="53"/>
      <c r="DW62" s="53"/>
      <c r="DX62" s="53"/>
      <c r="DY62" s="53"/>
      <c r="DZ62" s="53"/>
      <c r="EA62" s="53"/>
      <c r="EB62" s="53"/>
      <c r="EC62" s="53"/>
      <c r="ED62" s="53"/>
      <c r="EE62" s="53"/>
      <c r="EF62" s="53"/>
      <c r="EG62" s="53"/>
      <c r="EH62" s="53"/>
      <c r="EI62" s="53"/>
      <c r="EJ62" s="53"/>
      <c r="EK62" s="53"/>
      <c r="EL62" s="53"/>
      <c r="EM62" s="53"/>
      <c r="EN62" s="53"/>
      <c r="EO62" s="53"/>
      <c r="EP62" s="130">
        <f>MEDIAN(AD62,CR62)</f>
        <v>63303.24</v>
      </c>
      <c r="EQ62" s="130">
        <f>AVERAGE(AD62,CR62)</f>
        <v>63303.24</v>
      </c>
      <c r="ER62" s="131">
        <f>STDEV(AD62,CR62)</f>
        <v>1353.0629679360852</v>
      </c>
      <c r="ES62" s="137">
        <f t="shared" si="17"/>
        <v>2.1374308296638295E-2</v>
      </c>
      <c r="ET62" s="151">
        <f t="shared" si="18"/>
        <v>63304</v>
      </c>
      <c r="EU62" s="150">
        <f t="shared" si="21"/>
        <v>49377120</v>
      </c>
      <c r="EV62" s="148" t="s">
        <v>319</v>
      </c>
      <c r="EW62" s="192"/>
    </row>
    <row r="63" spans="1:153" ht="32.450000000000003" customHeight="1" x14ac:dyDescent="0.25">
      <c r="A63" s="65">
        <v>57</v>
      </c>
      <c r="B63" s="203" t="s">
        <v>574</v>
      </c>
      <c r="C63" s="76" t="s">
        <v>575</v>
      </c>
      <c r="D63" s="77" t="s">
        <v>466</v>
      </c>
      <c r="E63" s="65">
        <v>480</v>
      </c>
      <c r="F63" s="153"/>
      <c r="G63" s="153"/>
      <c r="H63" s="153"/>
      <c r="I63" s="153"/>
      <c r="J63" s="153"/>
      <c r="K63" s="153"/>
      <c r="L63" s="50"/>
      <c r="M63" s="50"/>
      <c r="N63" s="50"/>
      <c r="O63" s="50"/>
      <c r="P63" s="50"/>
      <c r="Q63" s="50"/>
      <c r="R63" s="50"/>
      <c r="S63" s="50"/>
      <c r="T63" s="50"/>
      <c r="U63" s="50"/>
      <c r="V63" s="50"/>
      <c r="W63" s="53"/>
      <c r="X63" s="53"/>
      <c r="Y63" s="53"/>
      <c r="Z63" s="53"/>
      <c r="AA63" s="53"/>
      <c r="AB63" s="53"/>
      <c r="AC63" s="53"/>
      <c r="AD63" s="153">
        <v>14718.8244</v>
      </c>
      <c r="AE63" s="53">
        <f t="shared" si="31"/>
        <v>7065035.7119999994</v>
      </c>
      <c r="AF63" s="53"/>
      <c r="AG63" s="53"/>
      <c r="AH63" s="53"/>
      <c r="AI63" s="53"/>
      <c r="AJ63" s="53"/>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c r="BJ63" s="53"/>
      <c r="BK63" s="53"/>
      <c r="BL63" s="53"/>
      <c r="BM63" s="53"/>
      <c r="BN63" s="53"/>
      <c r="BO63" s="53"/>
      <c r="BP63" s="53"/>
      <c r="BQ63" s="53"/>
      <c r="BR63" s="53"/>
      <c r="BS63" s="53"/>
      <c r="BT63" s="53"/>
      <c r="BU63" s="53"/>
      <c r="BV63" s="53"/>
      <c r="BW63" s="53"/>
      <c r="BX63" s="53"/>
      <c r="BY63" s="53"/>
      <c r="BZ63" s="53"/>
      <c r="CA63" s="53"/>
      <c r="CB63" s="53"/>
      <c r="CC63" s="53"/>
      <c r="CD63" s="53"/>
      <c r="CE63" s="53"/>
      <c r="CF63" s="53"/>
      <c r="CG63" s="53"/>
      <c r="CH63" s="53"/>
      <c r="CI63" s="53"/>
      <c r="CJ63" s="53"/>
      <c r="CK63" s="53"/>
      <c r="CL63" s="53"/>
      <c r="CM63" s="53"/>
      <c r="CN63" s="53"/>
      <c r="CO63" s="53"/>
      <c r="CP63" s="53"/>
      <c r="CQ63" s="53"/>
      <c r="CR63" s="53"/>
      <c r="CS63" s="53"/>
      <c r="CT63" s="53"/>
      <c r="CU63" s="53"/>
      <c r="CV63" s="53"/>
      <c r="CW63" s="53"/>
      <c r="CX63" s="53"/>
      <c r="CY63" s="53"/>
      <c r="CZ63" s="53"/>
      <c r="DA63" s="53"/>
      <c r="DB63" s="53"/>
      <c r="DC63" s="53"/>
      <c r="DD63" s="53"/>
      <c r="DE63" s="53"/>
      <c r="DF63" s="53"/>
      <c r="DG63" s="53"/>
      <c r="DH63" s="53"/>
      <c r="DI63" s="53"/>
      <c r="DJ63" s="53">
        <v>24000</v>
      </c>
      <c r="DK63" s="53">
        <f>+DJ63*E63</f>
        <v>11520000</v>
      </c>
      <c r="DL63" s="53">
        <v>23000</v>
      </c>
      <c r="DM63" s="53">
        <f>+DL63*E63</f>
        <v>11040000</v>
      </c>
      <c r="DN63" s="53"/>
      <c r="DO63" s="53"/>
      <c r="DP63" s="53"/>
      <c r="DQ63" s="53"/>
      <c r="DR63" s="53"/>
      <c r="DS63" s="53"/>
      <c r="DT63" s="53"/>
      <c r="DU63" s="53"/>
      <c r="DV63" s="53"/>
      <c r="DW63" s="53"/>
      <c r="DX63" s="53"/>
      <c r="DY63" s="53"/>
      <c r="DZ63" s="53"/>
      <c r="EA63" s="53"/>
      <c r="EB63" s="53"/>
      <c r="EC63" s="53"/>
      <c r="ED63" s="53"/>
      <c r="EE63" s="53"/>
      <c r="EF63" s="53"/>
      <c r="EG63" s="53"/>
      <c r="EH63" s="53"/>
      <c r="EI63" s="53"/>
      <c r="EJ63" s="53"/>
      <c r="EK63" s="53"/>
      <c r="EL63" s="53"/>
      <c r="EM63" s="53"/>
      <c r="EN63" s="53"/>
      <c r="EO63" s="53"/>
      <c r="EP63" s="130">
        <f>MEDIAN(DJ63,DL63)</f>
        <v>23500</v>
      </c>
      <c r="EQ63" s="130">
        <f>AVERAGE(DJ63,DL63)</f>
        <v>23500</v>
      </c>
      <c r="ER63" s="131">
        <f>STDEV(DJ63,DL63)</f>
        <v>707.10678118654755</v>
      </c>
      <c r="ES63" s="137">
        <f t="shared" si="17"/>
        <v>3.0089650263257342E-2</v>
      </c>
      <c r="ET63" s="151">
        <f t="shared" si="18"/>
        <v>23500</v>
      </c>
      <c r="EU63" s="150">
        <f t="shared" si="21"/>
        <v>11280000</v>
      </c>
      <c r="EV63" s="148" t="s">
        <v>319</v>
      </c>
      <c r="EW63" s="192"/>
    </row>
    <row r="64" spans="1:153" ht="32.450000000000003" customHeight="1" x14ac:dyDescent="0.25">
      <c r="A64" s="65">
        <v>58</v>
      </c>
      <c r="B64" s="203" t="s">
        <v>576</v>
      </c>
      <c r="C64" s="76" t="s">
        <v>577</v>
      </c>
      <c r="D64" s="77" t="s">
        <v>466</v>
      </c>
      <c r="E64" s="65">
        <v>480</v>
      </c>
      <c r="F64" s="153"/>
      <c r="G64" s="153"/>
      <c r="H64" s="153"/>
      <c r="I64" s="153"/>
      <c r="J64" s="153"/>
      <c r="K64" s="153"/>
      <c r="L64" s="50"/>
      <c r="M64" s="50"/>
      <c r="N64" s="50"/>
      <c r="O64" s="50"/>
      <c r="P64" s="50"/>
      <c r="Q64" s="50"/>
      <c r="R64" s="50"/>
      <c r="S64" s="50"/>
      <c r="T64" s="50"/>
      <c r="U64" s="50"/>
      <c r="V64" s="50"/>
      <c r="W64" s="53"/>
      <c r="X64" s="53"/>
      <c r="Y64" s="53"/>
      <c r="Z64" s="53"/>
      <c r="AA64" s="53"/>
      <c r="AB64" s="53"/>
      <c r="AC64" s="53"/>
      <c r="AD64" s="153">
        <v>83535.857999999993</v>
      </c>
      <c r="AE64" s="53">
        <f t="shared" si="31"/>
        <v>40097211.839999996</v>
      </c>
      <c r="AF64" s="53"/>
      <c r="AG64" s="53"/>
      <c r="AH64" s="53"/>
      <c r="AI64" s="53"/>
      <c r="AJ64" s="53"/>
      <c r="AK64" s="53"/>
      <c r="AL64" s="53"/>
      <c r="AM64" s="53"/>
      <c r="AN64" s="53"/>
      <c r="AO64" s="53"/>
      <c r="AP64" s="53"/>
      <c r="AQ64" s="53"/>
      <c r="AR64" s="53"/>
      <c r="AS64" s="53"/>
      <c r="AT64" s="53"/>
      <c r="AU64" s="53"/>
      <c r="AV64" s="53"/>
      <c r="AW64" s="53"/>
      <c r="AX64" s="53"/>
      <c r="AY64" s="53"/>
      <c r="AZ64" s="53"/>
      <c r="BA64" s="53"/>
      <c r="BB64" s="53"/>
      <c r="BC64" s="53"/>
      <c r="BD64" s="53"/>
      <c r="BE64" s="53"/>
      <c r="BF64" s="53"/>
      <c r="BG64" s="53"/>
      <c r="BH64" s="53"/>
      <c r="BI64" s="53"/>
      <c r="BJ64" s="53"/>
      <c r="BK64" s="53"/>
      <c r="BL64" s="53"/>
      <c r="BM64" s="53"/>
      <c r="BN64" s="53"/>
      <c r="BO64" s="53"/>
      <c r="BP64" s="53"/>
      <c r="BQ64" s="53"/>
      <c r="BR64" s="53"/>
      <c r="BS64" s="53"/>
      <c r="BT64" s="53"/>
      <c r="BU64" s="53"/>
      <c r="BV64" s="53"/>
      <c r="BW64" s="53"/>
      <c r="BX64" s="53"/>
      <c r="BY64" s="53"/>
      <c r="BZ64" s="53"/>
      <c r="CA64" s="53"/>
      <c r="CB64" s="53"/>
      <c r="CC64" s="53"/>
      <c r="CD64" s="53"/>
      <c r="CE64" s="53"/>
      <c r="CF64" s="53"/>
      <c r="CG64" s="53"/>
      <c r="CH64" s="53"/>
      <c r="CI64" s="53"/>
      <c r="CJ64" s="53"/>
      <c r="CK64" s="53"/>
      <c r="CL64" s="53"/>
      <c r="CM64" s="53"/>
      <c r="CN64" s="53"/>
      <c r="CO64" s="53"/>
      <c r="CP64" s="53"/>
      <c r="CQ64" s="53"/>
      <c r="CR64" s="53">
        <v>62874</v>
      </c>
      <c r="CS64" s="53">
        <f t="shared" ref="CS64" si="36">+CR64*E64</f>
        <v>30179520</v>
      </c>
      <c r="CT64" s="53"/>
      <c r="CU64" s="53"/>
      <c r="CV64" s="53"/>
      <c r="CW64" s="53"/>
      <c r="CX64" s="53"/>
      <c r="CY64" s="53"/>
      <c r="CZ64" s="53"/>
      <c r="DA64" s="53"/>
      <c r="DB64" s="53"/>
      <c r="DC64" s="53"/>
      <c r="DD64" s="53"/>
      <c r="DE64" s="53"/>
      <c r="DF64" s="53"/>
      <c r="DG64" s="53"/>
      <c r="DH64" s="53"/>
      <c r="DI64" s="53"/>
      <c r="DJ64" s="53"/>
      <c r="DK64" s="53"/>
      <c r="DL64" s="53"/>
      <c r="DM64" s="53"/>
      <c r="DN64" s="53"/>
      <c r="DO64" s="53"/>
      <c r="DP64" s="53"/>
      <c r="DQ64" s="53"/>
      <c r="DR64" s="53"/>
      <c r="DS64" s="53"/>
      <c r="DT64" s="53"/>
      <c r="DU64" s="53"/>
      <c r="DV64" s="53"/>
      <c r="DW64" s="53"/>
      <c r="DX64" s="53"/>
      <c r="DY64" s="53"/>
      <c r="DZ64" s="53"/>
      <c r="EA64" s="53"/>
      <c r="EB64" s="53"/>
      <c r="EC64" s="53"/>
      <c r="ED64" s="53"/>
      <c r="EE64" s="53"/>
      <c r="EF64" s="53"/>
      <c r="EG64" s="53"/>
      <c r="EH64" s="53"/>
      <c r="EI64" s="53"/>
      <c r="EJ64" s="53"/>
      <c r="EK64" s="53"/>
      <c r="EL64" s="53"/>
      <c r="EM64" s="53"/>
      <c r="EN64" s="53"/>
      <c r="EO64" s="53"/>
      <c r="EP64" s="130">
        <f>MEDIAN(AD64,CR64)</f>
        <v>73204.929000000004</v>
      </c>
      <c r="EQ64" s="130">
        <f>AVERAGE(AD64,CR64)</f>
        <v>73204.929000000004</v>
      </c>
      <c r="ER64" s="131">
        <f>STDEV(AD64,CR64)</f>
        <v>14610.139903713403</v>
      </c>
      <c r="ES64" s="137">
        <f t="shared" si="17"/>
        <v>0.19957863634719736</v>
      </c>
      <c r="ET64" s="151">
        <f t="shared" si="18"/>
        <v>73205</v>
      </c>
      <c r="EU64" s="150">
        <f t="shared" si="21"/>
        <v>35138400</v>
      </c>
      <c r="EV64" s="148" t="s">
        <v>322</v>
      </c>
      <c r="EW64" s="192"/>
    </row>
    <row r="65" spans="1:153" ht="32.450000000000003" customHeight="1" x14ac:dyDescent="0.25">
      <c r="A65" s="65">
        <v>59</v>
      </c>
      <c r="B65" s="203" t="s">
        <v>578</v>
      </c>
      <c r="C65" s="76" t="s">
        <v>579</v>
      </c>
      <c r="D65" s="77" t="s">
        <v>466</v>
      </c>
      <c r="E65" s="65">
        <v>480</v>
      </c>
      <c r="F65" s="153"/>
      <c r="G65" s="153"/>
      <c r="H65" s="153"/>
      <c r="I65" s="153"/>
      <c r="J65" s="153"/>
      <c r="K65" s="153"/>
      <c r="L65" s="50"/>
      <c r="M65" s="50"/>
      <c r="N65" s="50"/>
      <c r="O65" s="50"/>
      <c r="P65" s="50"/>
      <c r="Q65" s="50"/>
      <c r="R65" s="50"/>
      <c r="S65" s="50"/>
      <c r="T65" s="50"/>
      <c r="U65" s="50"/>
      <c r="V65" s="50"/>
      <c r="W65" s="53"/>
      <c r="X65" s="53"/>
      <c r="Y65" s="53"/>
      <c r="Z65" s="53"/>
      <c r="AA65" s="53"/>
      <c r="AB65" s="53"/>
      <c r="AC65" s="53"/>
      <c r="AD65" s="153">
        <v>9548.56</v>
      </c>
      <c r="AE65" s="53">
        <f t="shared" si="31"/>
        <v>4583308.8</v>
      </c>
      <c r="AF65" s="53"/>
      <c r="AG65" s="53"/>
      <c r="AH65" s="53"/>
      <c r="AI65" s="53"/>
      <c r="AJ65" s="53"/>
      <c r="AK65" s="53"/>
      <c r="AL65" s="53"/>
      <c r="AM65" s="53"/>
      <c r="AN65" s="53"/>
      <c r="AO65" s="53"/>
      <c r="AP65" s="53"/>
      <c r="AQ65" s="53"/>
      <c r="AR65" s="53"/>
      <c r="AS65" s="53"/>
      <c r="AT65" s="53"/>
      <c r="AU65" s="53"/>
      <c r="AV65" s="53"/>
      <c r="AW65" s="53"/>
      <c r="AX65" s="53"/>
      <c r="AY65" s="53"/>
      <c r="AZ65" s="53">
        <v>5000</v>
      </c>
      <c r="BA65" s="53"/>
      <c r="BB65" s="53"/>
      <c r="BC65" s="53"/>
      <c r="BD65" s="53">
        <v>4000</v>
      </c>
      <c r="BE65" s="53"/>
      <c r="BF65" s="53"/>
      <c r="BG65" s="53"/>
      <c r="BH65" s="53"/>
      <c r="BI65" s="53"/>
      <c r="BJ65" s="53"/>
      <c r="BK65" s="53"/>
      <c r="BL65" s="53"/>
      <c r="BM65" s="53"/>
      <c r="BN65" s="53"/>
      <c r="BO65" s="53"/>
      <c r="BP65" s="53"/>
      <c r="BQ65" s="53"/>
      <c r="BR65" s="53"/>
      <c r="BS65" s="53"/>
      <c r="BT65" s="53"/>
      <c r="BU65" s="53"/>
      <c r="BV65" s="53"/>
      <c r="BW65" s="53"/>
      <c r="BX65" s="53"/>
      <c r="BY65" s="53"/>
      <c r="BZ65" s="53"/>
      <c r="CA65" s="53"/>
      <c r="CB65" s="53"/>
      <c r="CC65" s="53"/>
      <c r="CD65" s="53"/>
      <c r="CE65" s="53"/>
      <c r="CF65" s="53"/>
      <c r="CG65" s="53"/>
      <c r="CH65" s="53"/>
      <c r="CI65" s="53"/>
      <c r="CJ65" s="53"/>
      <c r="CK65" s="53"/>
      <c r="CL65" s="53"/>
      <c r="CM65" s="53"/>
      <c r="CN65" s="53"/>
      <c r="CO65" s="53"/>
      <c r="CP65" s="53"/>
      <c r="CQ65" s="53"/>
      <c r="CR65" s="53"/>
      <c r="CS65" s="53"/>
      <c r="CT65" s="53"/>
      <c r="CU65" s="53"/>
      <c r="CV65" s="53"/>
      <c r="CW65" s="53"/>
      <c r="CX65" s="53"/>
      <c r="CY65" s="53"/>
      <c r="CZ65" s="53"/>
      <c r="DA65" s="53"/>
      <c r="DB65" s="53"/>
      <c r="DC65" s="53"/>
      <c r="DD65" s="53"/>
      <c r="DE65" s="53"/>
      <c r="DF65" s="53"/>
      <c r="DG65" s="53"/>
      <c r="DH65" s="53"/>
      <c r="DI65" s="53"/>
      <c r="DJ65" s="53"/>
      <c r="DK65" s="53"/>
      <c r="DL65" s="53"/>
      <c r="DM65" s="53"/>
      <c r="DN65" s="53"/>
      <c r="DO65" s="53"/>
      <c r="DP65" s="53"/>
      <c r="DQ65" s="53"/>
      <c r="DR65" s="53"/>
      <c r="DS65" s="53"/>
      <c r="DT65" s="53"/>
      <c r="DU65" s="53"/>
      <c r="DV65" s="53"/>
      <c r="DW65" s="53"/>
      <c r="DX65" s="53"/>
      <c r="DY65" s="53"/>
      <c r="DZ65" s="53"/>
      <c r="EA65" s="53"/>
      <c r="EB65" s="53"/>
      <c r="EC65" s="53"/>
      <c r="ED65" s="53"/>
      <c r="EE65" s="53"/>
      <c r="EF65" s="53"/>
      <c r="EG65" s="53"/>
      <c r="EH65" s="53"/>
      <c r="EI65" s="53"/>
      <c r="EJ65" s="53"/>
      <c r="EK65" s="53"/>
      <c r="EL65" s="53"/>
      <c r="EM65" s="53"/>
      <c r="EN65" s="53"/>
      <c r="EO65" s="53"/>
      <c r="EP65" s="130">
        <f>MEDIAN(AZ65,BD65)</f>
        <v>4500</v>
      </c>
      <c r="EQ65" s="130">
        <f>AVERAGE(AZ65,BD65)</f>
        <v>4500</v>
      </c>
      <c r="ER65" s="131">
        <f>STDEV(AZ65,BD65)</f>
        <v>707.10678118654755</v>
      </c>
      <c r="ES65" s="137">
        <f t="shared" si="17"/>
        <v>0.15713484026367724</v>
      </c>
      <c r="ET65" s="151">
        <f t="shared" si="18"/>
        <v>4500</v>
      </c>
      <c r="EU65" s="150">
        <f t="shared" si="21"/>
        <v>2160000</v>
      </c>
      <c r="EV65" s="148" t="s">
        <v>322</v>
      </c>
      <c r="EW65" s="192"/>
    </row>
    <row r="66" spans="1:153" ht="32.450000000000003" customHeight="1" x14ac:dyDescent="0.25">
      <c r="A66" s="65">
        <v>60</v>
      </c>
      <c r="B66" s="203" t="s">
        <v>580</v>
      </c>
      <c r="C66" s="76" t="s">
        <v>581</v>
      </c>
      <c r="D66" s="77" t="s">
        <v>466</v>
      </c>
      <c r="E66" s="65">
        <v>840</v>
      </c>
      <c r="F66" s="153"/>
      <c r="G66" s="153"/>
      <c r="H66" s="153"/>
      <c r="I66" s="153"/>
      <c r="J66" s="153"/>
      <c r="K66" s="153"/>
      <c r="L66" s="50"/>
      <c r="M66" s="50"/>
      <c r="N66" s="50"/>
      <c r="O66" s="50"/>
      <c r="P66" s="50"/>
      <c r="Q66" s="50"/>
      <c r="R66" s="50"/>
      <c r="S66" s="50"/>
      <c r="T66" s="50"/>
      <c r="U66" s="50"/>
      <c r="V66" s="50"/>
      <c r="W66" s="53"/>
      <c r="X66" s="53"/>
      <c r="Y66" s="53"/>
      <c r="Z66" s="53"/>
      <c r="AA66" s="53"/>
      <c r="AB66" s="53"/>
      <c r="AC66" s="53"/>
      <c r="AD66" s="153">
        <v>7021</v>
      </c>
      <c r="AE66" s="53">
        <f t="shared" si="31"/>
        <v>5897640</v>
      </c>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3"/>
      <c r="BN66" s="53"/>
      <c r="BO66" s="53"/>
      <c r="BP66" s="53"/>
      <c r="BQ66" s="53"/>
      <c r="BR66" s="53"/>
      <c r="BS66" s="53"/>
      <c r="BT66" s="53"/>
      <c r="BU66" s="53"/>
      <c r="BV66" s="53"/>
      <c r="BW66" s="53"/>
      <c r="BX66" s="53"/>
      <c r="BY66" s="53"/>
      <c r="BZ66" s="53"/>
      <c r="CA66" s="53"/>
      <c r="CB66" s="53"/>
      <c r="CC66" s="53"/>
      <c r="CD66" s="53"/>
      <c r="CE66" s="53"/>
      <c r="CF66" s="53"/>
      <c r="CG66" s="53"/>
      <c r="CH66" s="53"/>
      <c r="CI66" s="53"/>
      <c r="CJ66" s="53"/>
      <c r="CK66" s="53"/>
      <c r="CL66" s="53"/>
      <c r="CM66" s="53"/>
      <c r="CN66" s="53"/>
      <c r="CO66" s="53"/>
      <c r="CP66" s="53"/>
      <c r="CQ66" s="53"/>
      <c r="CR66" s="53">
        <v>6287</v>
      </c>
      <c r="CS66" s="53">
        <f t="shared" ref="CS66" si="37">+CR66*E66</f>
        <v>5281080</v>
      </c>
      <c r="CT66" s="53"/>
      <c r="CU66" s="53"/>
      <c r="CV66" s="53"/>
      <c r="CW66" s="53"/>
      <c r="CX66" s="53"/>
      <c r="CY66" s="53"/>
      <c r="CZ66" s="53"/>
      <c r="DA66" s="53"/>
      <c r="DB66" s="53"/>
      <c r="DC66" s="53"/>
      <c r="DD66" s="53"/>
      <c r="DE66" s="53"/>
      <c r="DF66" s="53"/>
      <c r="DG66" s="53"/>
      <c r="DH66" s="53"/>
      <c r="DI66" s="53"/>
      <c r="DJ66" s="53"/>
      <c r="DK66" s="53"/>
      <c r="DL66" s="53"/>
      <c r="DM66" s="53"/>
      <c r="DN66" s="53"/>
      <c r="DO66" s="53"/>
      <c r="DP66" s="53"/>
      <c r="DQ66" s="53"/>
      <c r="DR66" s="53"/>
      <c r="DS66" s="53"/>
      <c r="DT66" s="53"/>
      <c r="DU66" s="53"/>
      <c r="DV66" s="53"/>
      <c r="DW66" s="53"/>
      <c r="DX66" s="53"/>
      <c r="DY66" s="53"/>
      <c r="DZ66" s="53"/>
      <c r="EA66" s="53"/>
      <c r="EB66" s="53"/>
      <c r="EC66" s="53"/>
      <c r="ED66" s="53"/>
      <c r="EE66" s="53"/>
      <c r="EF66" s="53"/>
      <c r="EG66" s="53"/>
      <c r="EH66" s="53"/>
      <c r="EI66" s="53"/>
      <c r="EJ66" s="53"/>
      <c r="EK66" s="53"/>
      <c r="EL66" s="53"/>
      <c r="EM66" s="53"/>
      <c r="EN66" s="53"/>
      <c r="EO66" s="53"/>
      <c r="EP66" s="130">
        <f>MEDIAN(AD66,CR66)</f>
        <v>6654</v>
      </c>
      <c r="EQ66" s="130">
        <f>AVERAGE(AD66,CR66)</f>
        <v>6654</v>
      </c>
      <c r="ER66" s="131">
        <f>STDEV(AD66,CR66)</f>
        <v>519.01637739092587</v>
      </c>
      <c r="ES66" s="137">
        <f t="shared" si="17"/>
        <v>7.800065785857016E-2</v>
      </c>
      <c r="ET66" s="151">
        <f t="shared" si="18"/>
        <v>6654</v>
      </c>
      <c r="EU66" s="150">
        <f t="shared" si="21"/>
        <v>5589360</v>
      </c>
      <c r="EV66" s="148" t="s">
        <v>319</v>
      </c>
      <c r="EW66" s="192"/>
    </row>
    <row r="67" spans="1:153" ht="32.450000000000003" customHeight="1" x14ac:dyDescent="0.25">
      <c r="A67" s="65">
        <v>61</v>
      </c>
      <c r="B67" s="203" t="s">
        <v>582</v>
      </c>
      <c r="C67" s="76" t="s">
        <v>583</v>
      </c>
      <c r="D67" s="77" t="s">
        <v>466</v>
      </c>
      <c r="E67" s="65">
        <v>200</v>
      </c>
      <c r="F67" s="153"/>
      <c r="G67" s="153"/>
      <c r="H67" s="153"/>
      <c r="I67" s="153"/>
      <c r="J67" s="153"/>
      <c r="K67" s="153"/>
      <c r="L67" s="50"/>
      <c r="M67" s="50"/>
      <c r="N67" s="50"/>
      <c r="O67" s="50"/>
      <c r="P67" s="50"/>
      <c r="Q67" s="50"/>
      <c r="R67" s="50"/>
      <c r="S67" s="50"/>
      <c r="T67" s="50"/>
      <c r="U67" s="50"/>
      <c r="V67" s="50"/>
      <c r="W67" s="53"/>
      <c r="X67" s="53"/>
      <c r="Y67" s="53"/>
      <c r="Z67" s="53"/>
      <c r="AA67" s="53"/>
      <c r="AB67" s="53"/>
      <c r="AC67" s="53"/>
      <c r="AD67" s="153">
        <v>28666.742999999995</v>
      </c>
      <c r="AE67" s="53">
        <f t="shared" si="31"/>
        <v>5733348.5999999987</v>
      </c>
      <c r="AF67" s="53"/>
      <c r="AG67" s="53"/>
      <c r="AH67" s="53"/>
      <c r="AI67" s="53"/>
      <c r="AJ67" s="53"/>
      <c r="AK67" s="53"/>
      <c r="AL67" s="53"/>
      <c r="AM67" s="53"/>
      <c r="AN67" s="53"/>
      <c r="AO67" s="53"/>
      <c r="AP67" s="53"/>
      <c r="AQ67" s="53"/>
      <c r="AR67" s="53"/>
      <c r="AS67" s="53"/>
      <c r="AT67" s="53"/>
      <c r="AU67" s="53"/>
      <c r="AV67" s="53"/>
      <c r="AW67" s="53"/>
      <c r="AX67" s="53"/>
      <c r="AY67" s="53"/>
      <c r="AZ67" s="53"/>
      <c r="BA67" s="53"/>
      <c r="BB67" s="53"/>
      <c r="BC67" s="53"/>
      <c r="BD67" s="53"/>
      <c r="BE67" s="53"/>
      <c r="BF67" s="53"/>
      <c r="BG67" s="53"/>
      <c r="BH67" s="53">
        <v>25000</v>
      </c>
      <c r="BI67" s="53"/>
      <c r="BJ67" s="53"/>
      <c r="BK67" s="53"/>
      <c r="BL67" s="53"/>
      <c r="BM67" s="53"/>
      <c r="BN67" s="53"/>
      <c r="BO67" s="53"/>
      <c r="BP67" s="53">
        <v>45000</v>
      </c>
      <c r="BQ67" s="53"/>
      <c r="BR67" s="53"/>
      <c r="BS67" s="53"/>
      <c r="BT67" s="53"/>
      <c r="BU67" s="53"/>
      <c r="BV67" s="53"/>
      <c r="BW67" s="53"/>
      <c r="BX67" s="53"/>
      <c r="BY67" s="53"/>
      <c r="BZ67" s="53"/>
      <c r="CA67" s="53"/>
      <c r="CB67" s="53"/>
      <c r="CC67" s="53"/>
      <c r="CD67" s="53"/>
      <c r="CE67" s="53"/>
      <c r="CF67" s="53"/>
      <c r="CG67" s="53"/>
      <c r="CH67" s="53"/>
      <c r="CI67" s="53"/>
      <c r="CJ67" s="53"/>
      <c r="CK67" s="53"/>
      <c r="CL67" s="53"/>
      <c r="CM67" s="53"/>
      <c r="CN67" s="53"/>
      <c r="CO67" s="53"/>
      <c r="CP67" s="53"/>
      <c r="CQ67" s="53"/>
      <c r="CR67" s="53"/>
      <c r="CS67" s="53"/>
      <c r="CT67" s="53"/>
      <c r="CU67" s="53"/>
      <c r="CV67" s="53"/>
      <c r="CW67" s="53"/>
      <c r="CX67" s="53"/>
      <c r="CY67" s="53"/>
      <c r="CZ67" s="53"/>
      <c r="DA67" s="53"/>
      <c r="DB67" s="53"/>
      <c r="DC67" s="53"/>
      <c r="DD67" s="53"/>
      <c r="DE67" s="53"/>
      <c r="DF67" s="53"/>
      <c r="DG67" s="53"/>
      <c r="DH67" s="53"/>
      <c r="DI67" s="53"/>
      <c r="DJ67" s="53"/>
      <c r="DK67" s="53"/>
      <c r="DL67" s="53"/>
      <c r="DM67" s="53"/>
      <c r="DN67" s="53"/>
      <c r="DO67" s="53"/>
      <c r="DP67" s="53"/>
      <c r="DQ67" s="53"/>
      <c r="DR67" s="53"/>
      <c r="DS67" s="53"/>
      <c r="DT67" s="53"/>
      <c r="DU67" s="53"/>
      <c r="DV67" s="53"/>
      <c r="DW67" s="53"/>
      <c r="DX67" s="53"/>
      <c r="DY67" s="53"/>
      <c r="DZ67" s="53"/>
      <c r="EA67" s="53"/>
      <c r="EB67" s="53"/>
      <c r="EC67" s="53"/>
      <c r="ED67" s="53"/>
      <c r="EE67" s="53"/>
      <c r="EF67" s="53"/>
      <c r="EG67" s="53"/>
      <c r="EH67" s="53"/>
      <c r="EI67" s="53"/>
      <c r="EJ67" s="53"/>
      <c r="EK67" s="53"/>
      <c r="EL67" s="53"/>
      <c r="EM67" s="53"/>
      <c r="EN67" s="53"/>
      <c r="EO67" s="53"/>
      <c r="EP67" s="130">
        <f>MEDIAN(AD67,BH67)</f>
        <v>26833.371499999997</v>
      </c>
      <c r="EQ67" s="130">
        <f>AVERAGE(AD67,BH67)</f>
        <v>26833.371499999997</v>
      </c>
      <c r="ER67" s="131">
        <f>STDEV(AD67,BH67)</f>
        <v>2592.7788401683015</v>
      </c>
      <c r="ES67" s="137">
        <f t="shared" si="17"/>
        <v>9.6625160955577341E-2</v>
      </c>
      <c r="ET67" s="151">
        <f t="shared" si="18"/>
        <v>26834</v>
      </c>
      <c r="EU67" s="150">
        <f t="shared" si="21"/>
        <v>5366800</v>
      </c>
      <c r="EV67" s="148" t="s">
        <v>319</v>
      </c>
      <c r="EW67" s="192"/>
    </row>
    <row r="68" spans="1:153" ht="32.450000000000003" customHeight="1" x14ac:dyDescent="0.25">
      <c r="A68" s="65">
        <v>62</v>
      </c>
      <c r="B68" s="203" t="s">
        <v>584</v>
      </c>
      <c r="C68" s="76" t="s">
        <v>585</v>
      </c>
      <c r="D68" s="77" t="s">
        <v>466</v>
      </c>
      <c r="E68" s="65">
        <v>95</v>
      </c>
      <c r="F68" s="153"/>
      <c r="G68" s="153"/>
      <c r="H68" s="153"/>
      <c r="I68" s="153"/>
      <c r="J68" s="153"/>
      <c r="K68" s="153"/>
      <c r="L68" s="50"/>
      <c r="M68" s="50"/>
      <c r="N68" s="50"/>
      <c r="O68" s="50"/>
      <c r="P68" s="50"/>
      <c r="Q68" s="50"/>
      <c r="R68" s="50"/>
      <c r="S68" s="50"/>
      <c r="T68" s="50"/>
      <c r="U68" s="50"/>
      <c r="V68" s="50"/>
      <c r="W68" s="53"/>
      <c r="X68" s="53"/>
      <c r="Y68" s="53"/>
      <c r="Z68" s="53"/>
      <c r="AA68" s="53"/>
      <c r="AB68" s="53"/>
      <c r="AC68" s="53"/>
      <c r="AD68" s="153">
        <v>40440.959999999999</v>
      </c>
      <c r="AE68" s="53">
        <f t="shared" si="31"/>
        <v>3841891.1999999997</v>
      </c>
      <c r="AF68" s="53"/>
      <c r="AG68" s="53"/>
      <c r="AH68" s="53"/>
      <c r="AI68" s="53"/>
      <c r="AJ68" s="53"/>
      <c r="AK68" s="53"/>
      <c r="AL68" s="53"/>
      <c r="AM68" s="53"/>
      <c r="AN68" s="53"/>
      <c r="AO68" s="53"/>
      <c r="AP68" s="53"/>
      <c r="AQ68" s="53"/>
      <c r="AR68" s="53"/>
      <c r="AS68" s="53"/>
      <c r="AT68" s="53"/>
      <c r="AU68" s="53"/>
      <c r="AV68" s="53"/>
      <c r="AW68" s="53"/>
      <c r="AX68" s="53"/>
      <c r="AY68" s="53"/>
      <c r="AZ68" s="53"/>
      <c r="BA68" s="53"/>
      <c r="BB68" s="53"/>
      <c r="BC68" s="53"/>
      <c r="BD68" s="53"/>
      <c r="BE68" s="53"/>
      <c r="BF68" s="53"/>
      <c r="BG68" s="53"/>
      <c r="BH68" s="53"/>
      <c r="BI68" s="53"/>
      <c r="BJ68" s="53"/>
      <c r="BK68" s="53"/>
      <c r="BL68" s="53"/>
      <c r="BM68" s="53"/>
      <c r="BN68" s="53"/>
      <c r="BO68" s="53"/>
      <c r="BP68" s="53"/>
      <c r="BQ68" s="53"/>
      <c r="BR68" s="53"/>
      <c r="BS68" s="53"/>
      <c r="BT68" s="53"/>
      <c r="BU68" s="53"/>
      <c r="BV68" s="53"/>
      <c r="BW68" s="53"/>
      <c r="BX68" s="53"/>
      <c r="BY68" s="53"/>
      <c r="BZ68" s="53"/>
      <c r="CA68" s="53"/>
      <c r="CB68" s="53"/>
      <c r="CC68" s="53"/>
      <c r="CD68" s="53"/>
      <c r="CE68" s="53"/>
      <c r="CF68" s="53"/>
      <c r="CG68" s="53"/>
      <c r="CH68" s="53"/>
      <c r="CI68" s="53"/>
      <c r="CJ68" s="53"/>
      <c r="CK68" s="53"/>
      <c r="CL68" s="53"/>
      <c r="CM68" s="53"/>
      <c r="CN68" s="53"/>
      <c r="CO68" s="53"/>
      <c r="CP68" s="53"/>
      <c r="CQ68" s="53"/>
      <c r="CR68" s="53">
        <v>55000</v>
      </c>
      <c r="CS68" s="53">
        <f t="shared" ref="CS68" si="38">+CR68*E68</f>
        <v>5225000</v>
      </c>
      <c r="CT68" s="53"/>
      <c r="CU68" s="53"/>
      <c r="CV68" s="53"/>
      <c r="CW68" s="53"/>
      <c r="CX68" s="53"/>
      <c r="CY68" s="53"/>
      <c r="CZ68" s="53"/>
      <c r="DA68" s="53"/>
      <c r="DB68" s="53"/>
      <c r="DC68" s="53"/>
      <c r="DD68" s="53"/>
      <c r="DE68" s="53"/>
      <c r="DF68" s="53"/>
      <c r="DG68" s="53"/>
      <c r="DH68" s="53"/>
      <c r="DI68" s="53"/>
      <c r="DJ68" s="53"/>
      <c r="DK68" s="53"/>
      <c r="DL68" s="53"/>
      <c r="DM68" s="53"/>
      <c r="DN68" s="53"/>
      <c r="DO68" s="53"/>
      <c r="DP68" s="53"/>
      <c r="DQ68" s="53"/>
      <c r="DR68" s="53"/>
      <c r="DS68" s="53"/>
      <c r="DT68" s="53"/>
      <c r="DU68" s="53"/>
      <c r="DV68" s="53"/>
      <c r="DW68" s="53"/>
      <c r="DX68" s="53"/>
      <c r="DY68" s="53"/>
      <c r="DZ68" s="53"/>
      <c r="EA68" s="53"/>
      <c r="EB68" s="53"/>
      <c r="EC68" s="53"/>
      <c r="ED68" s="53"/>
      <c r="EE68" s="53"/>
      <c r="EF68" s="53"/>
      <c r="EG68" s="53"/>
      <c r="EH68" s="53"/>
      <c r="EI68" s="53"/>
      <c r="EJ68" s="53"/>
      <c r="EK68" s="53"/>
      <c r="EL68" s="53"/>
      <c r="EM68" s="53"/>
      <c r="EN68" s="53"/>
      <c r="EO68" s="53"/>
      <c r="EP68" s="130">
        <f>MEDIAN(AD68,CR68)</f>
        <v>47720.479999999996</v>
      </c>
      <c r="EQ68" s="130">
        <f>AVERAGE(AD68,CR68)</f>
        <v>47720.479999999996</v>
      </c>
      <c r="ER68" s="131">
        <f>STDEV(AD68,CR68)</f>
        <v>10294.795911566229</v>
      </c>
      <c r="ES68" s="137">
        <f t="shared" si="17"/>
        <v>0.21573118945086533</v>
      </c>
      <c r="ET68" s="151">
        <f t="shared" si="18"/>
        <v>47721</v>
      </c>
      <c r="EU68" s="150">
        <f t="shared" si="21"/>
        <v>4533495</v>
      </c>
      <c r="EV68" s="148" t="s">
        <v>322</v>
      </c>
      <c r="EW68" s="192"/>
    </row>
    <row r="69" spans="1:153" ht="32.450000000000003" customHeight="1" x14ac:dyDescent="0.25">
      <c r="A69" s="65">
        <v>63</v>
      </c>
      <c r="B69" s="203" t="s">
        <v>586</v>
      </c>
      <c r="C69" s="76" t="s">
        <v>587</v>
      </c>
      <c r="D69" s="77" t="s">
        <v>466</v>
      </c>
      <c r="E69" s="65">
        <v>20</v>
      </c>
      <c r="F69" s="153"/>
      <c r="G69" s="153"/>
      <c r="H69" s="153"/>
      <c r="I69" s="153"/>
      <c r="J69" s="153"/>
      <c r="K69" s="153"/>
      <c r="L69" s="50"/>
      <c r="M69" s="50"/>
      <c r="N69" s="50"/>
      <c r="O69" s="50"/>
      <c r="P69" s="50"/>
      <c r="Q69" s="50"/>
      <c r="R69" s="50"/>
      <c r="S69" s="50"/>
      <c r="T69" s="50"/>
      <c r="U69" s="50"/>
      <c r="V69" s="50"/>
      <c r="W69" s="53"/>
      <c r="X69" s="53"/>
      <c r="Y69" s="53"/>
      <c r="Z69" s="53"/>
      <c r="AA69" s="53"/>
      <c r="AB69" s="53"/>
      <c r="AC69" s="53"/>
      <c r="AD69" s="153">
        <v>226918.72</v>
      </c>
      <c r="AE69" s="53">
        <f t="shared" si="31"/>
        <v>4538374.4000000004</v>
      </c>
      <c r="AF69" s="53"/>
      <c r="AG69" s="53"/>
      <c r="AH69" s="53"/>
      <c r="AI69" s="53"/>
      <c r="AJ69" s="53"/>
      <c r="AK69" s="53"/>
      <c r="AL69" s="53"/>
      <c r="AM69" s="53"/>
      <c r="AN69" s="53">
        <v>213000</v>
      </c>
      <c r="AO69" s="53"/>
      <c r="AP69" s="53"/>
      <c r="AQ69" s="53"/>
      <c r="AR69" s="53"/>
      <c r="AS69" s="53"/>
      <c r="AT69" s="53"/>
      <c r="AU69" s="53"/>
      <c r="AV69" s="53"/>
      <c r="AW69" s="53"/>
      <c r="AX69" s="53"/>
      <c r="AY69" s="53"/>
      <c r="AZ69" s="53"/>
      <c r="BA69" s="53"/>
      <c r="BB69" s="53"/>
      <c r="BC69" s="53"/>
      <c r="BD69" s="53"/>
      <c r="BE69" s="53"/>
      <c r="BF69" s="53"/>
      <c r="BG69" s="53"/>
      <c r="BH69" s="53"/>
      <c r="BI69" s="53"/>
      <c r="BJ69" s="53"/>
      <c r="BK69" s="53"/>
      <c r="BL69" s="53"/>
      <c r="BM69" s="53"/>
      <c r="BN69" s="53"/>
      <c r="BO69" s="53"/>
      <c r="BP69" s="53"/>
      <c r="BQ69" s="53"/>
      <c r="BR69" s="53"/>
      <c r="BS69" s="53"/>
      <c r="BT69" s="53"/>
      <c r="BU69" s="53"/>
      <c r="BV69" s="53"/>
      <c r="BW69" s="53"/>
      <c r="BX69" s="53"/>
      <c r="BY69" s="53"/>
      <c r="BZ69" s="53"/>
      <c r="CA69" s="53"/>
      <c r="CB69" s="53"/>
      <c r="CC69" s="53"/>
      <c r="CD69" s="53"/>
      <c r="CE69" s="53"/>
      <c r="CF69" s="53"/>
      <c r="CG69" s="53"/>
      <c r="CH69" s="53"/>
      <c r="CI69" s="53"/>
      <c r="CJ69" s="53"/>
      <c r="CK69" s="53"/>
      <c r="CL69" s="53"/>
      <c r="CM69" s="53"/>
      <c r="CN69" s="53"/>
      <c r="CO69" s="53"/>
      <c r="CP69" s="53"/>
      <c r="CQ69" s="53"/>
      <c r="CR69" s="53"/>
      <c r="CS69" s="53"/>
      <c r="CT69" s="53"/>
      <c r="CU69" s="53"/>
      <c r="CV69" s="53"/>
      <c r="CW69" s="53"/>
      <c r="CX69" s="53"/>
      <c r="CY69" s="53"/>
      <c r="CZ69" s="53"/>
      <c r="DA69" s="53"/>
      <c r="DB69" s="53"/>
      <c r="DC69" s="53"/>
      <c r="DD69" s="53"/>
      <c r="DE69" s="53"/>
      <c r="DF69" s="53"/>
      <c r="DG69" s="53"/>
      <c r="DH69" s="53"/>
      <c r="DI69" s="53"/>
      <c r="DJ69" s="53"/>
      <c r="DK69" s="53"/>
      <c r="DL69" s="53"/>
      <c r="DM69" s="53"/>
      <c r="DN69" s="53"/>
      <c r="DO69" s="53"/>
      <c r="DP69" s="53"/>
      <c r="DQ69" s="53"/>
      <c r="DR69" s="53"/>
      <c r="DS69" s="53"/>
      <c r="DT69" s="53"/>
      <c r="DU69" s="53"/>
      <c r="DV69" s="53"/>
      <c r="DW69" s="53"/>
      <c r="DX69" s="53"/>
      <c r="DY69" s="53"/>
      <c r="DZ69" s="53"/>
      <c r="EA69" s="53"/>
      <c r="EB69" s="53"/>
      <c r="EC69" s="53"/>
      <c r="ED69" s="53"/>
      <c r="EE69" s="53"/>
      <c r="EF69" s="53"/>
      <c r="EG69" s="53"/>
      <c r="EH69" s="53"/>
      <c r="EI69" s="53"/>
      <c r="EJ69" s="53">
        <v>150000</v>
      </c>
      <c r="EK69" s="53">
        <f>+EJ69*E69</f>
        <v>3000000</v>
      </c>
      <c r="EL69" s="53"/>
      <c r="EM69" s="53"/>
      <c r="EN69" s="53"/>
      <c r="EO69" s="53"/>
      <c r="EP69" s="130">
        <f>MEDIAN(AD69,AN69)</f>
        <v>219959.36</v>
      </c>
      <c r="EQ69" s="130">
        <f>AVERAGE(AD69,AN69)</f>
        <v>219959.36</v>
      </c>
      <c r="ER69" s="131">
        <f>STDEV(AD69,AN69)</f>
        <v>9842.0212974368242</v>
      </c>
      <c r="ES69" s="137">
        <f t="shared" si="17"/>
        <v>4.4744726014100171E-2</v>
      </c>
      <c r="ET69" s="151">
        <f t="shared" si="18"/>
        <v>219960</v>
      </c>
      <c r="EU69" s="150">
        <f t="shared" si="21"/>
        <v>4399200</v>
      </c>
      <c r="EV69" s="148" t="s">
        <v>319</v>
      </c>
      <c r="EW69" s="192"/>
    </row>
    <row r="70" spans="1:153" ht="32.450000000000003" customHeight="1" x14ac:dyDescent="0.25">
      <c r="A70" s="65">
        <v>64</v>
      </c>
      <c r="B70" s="203" t="s">
        <v>588</v>
      </c>
      <c r="C70" s="76" t="s">
        <v>589</v>
      </c>
      <c r="D70" s="77" t="s">
        <v>466</v>
      </c>
      <c r="E70" s="65">
        <v>200</v>
      </c>
      <c r="F70" s="153"/>
      <c r="G70" s="153"/>
      <c r="H70" s="153"/>
      <c r="I70" s="153"/>
      <c r="J70" s="153"/>
      <c r="K70" s="153"/>
      <c r="L70" s="50"/>
      <c r="M70" s="50"/>
      <c r="N70" s="50"/>
      <c r="O70" s="50"/>
      <c r="P70" s="50"/>
      <c r="Q70" s="50"/>
      <c r="R70" s="50"/>
      <c r="S70" s="50"/>
      <c r="T70" s="50"/>
      <c r="U70" s="50"/>
      <c r="V70" s="50"/>
      <c r="W70" s="53"/>
      <c r="X70" s="53"/>
      <c r="Y70" s="53"/>
      <c r="Z70" s="53"/>
      <c r="AA70" s="53"/>
      <c r="AB70" s="53"/>
      <c r="AC70" s="53"/>
      <c r="AD70" s="153">
        <v>30892.399999999998</v>
      </c>
      <c r="AE70" s="53">
        <f t="shared" si="31"/>
        <v>6178480</v>
      </c>
      <c r="AF70" s="53"/>
      <c r="AG70" s="53"/>
      <c r="AH70" s="53"/>
      <c r="AI70" s="53"/>
      <c r="AJ70" s="53"/>
      <c r="AK70" s="53"/>
      <c r="AL70" s="53"/>
      <c r="AM70" s="53"/>
      <c r="AN70" s="53"/>
      <c r="AO70" s="53"/>
      <c r="AP70" s="53"/>
      <c r="AQ70" s="53"/>
      <c r="AR70" s="53"/>
      <c r="AS70" s="53"/>
      <c r="AT70" s="53"/>
      <c r="AU70" s="53"/>
      <c r="AV70" s="53"/>
      <c r="AW70" s="53"/>
      <c r="AX70" s="53">
        <v>1800</v>
      </c>
      <c r="AY70" s="53"/>
      <c r="AZ70" s="53"/>
      <c r="BA70" s="53"/>
      <c r="BB70" s="53"/>
      <c r="BC70" s="53"/>
      <c r="BD70" s="53"/>
      <c r="BE70" s="53"/>
      <c r="BF70" s="53"/>
      <c r="BG70" s="53"/>
      <c r="BH70" s="53"/>
      <c r="BI70" s="53"/>
      <c r="BJ70" s="53"/>
      <c r="BK70" s="53"/>
      <c r="BL70" s="53"/>
      <c r="BM70" s="53"/>
      <c r="BN70" s="53">
        <v>3000</v>
      </c>
      <c r="BO70" s="53"/>
      <c r="BP70" s="53"/>
      <c r="BQ70" s="53"/>
      <c r="BR70" s="53"/>
      <c r="BS70" s="53"/>
      <c r="BT70" s="53"/>
      <c r="BU70" s="53"/>
      <c r="BV70" s="53"/>
      <c r="BW70" s="53"/>
      <c r="BX70" s="53"/>
      <c r="BY70" s="53"/>
      <c r="BZ70" s="53"/>
      <c r="CA70" s="53"/>
      <c r="CB70" s="53"/>
      <c r="CC70" s="53"/>
      <c r="CD70" s="53"/>
      <c r="CE70" s="53"/>
      <c r="CF70" s="53"/>
      <c r="CG70" s="53"/>
      <c r="CH70" s="53"/>
      <c r="CI70" s="53"/>
      <c r="CJ70" s="53"/>
      <c r="CK70" s="53"/>
      <c r="CL70" s="53"/>
      <c r="CM70" s="53"/>
      <c r="CN70" s="53"/>
      <c r="CO70" s="53"/>
      <c r="CP70" s="53"/>
      <c r="CQ70" s="53"/>
      <c r="CR70" s="53">
        <v>4500</v>
      </c>
      <c r="CS70" s="53">
        <f t="shared" ref="CS70" si="39">+CR70*E70</f>
        <v>900000</v>
      </c>
      <c r="CT70" s="53"/>
      <c r="CU70" s="53"/>
      <c r="CV70" s="53"/>
      <c r="CW70" s="53"/>
      <c r="CX70" s="53"/>
      <c r="CY70" s="53"/>
      <c r="CZ70" s="53"/>
      <c r="DA70" s="53"/>
      <c r="DB70" s="53"/>
      <c r="DC70" s="53"/>
      <c r="DD70" s="53"/>
      <c r="DE70" s="53"/>
      <c r="DF70" s="53"/>
      <c r="DG70" s="53"/>
      <c r="DH70" s="53"/>
      <c r="DI70" s="53"/>
      <c r="DJ70" s="53"/>
      <c r="DK70" s="53"/>
      <c r="DL70" s="53"/>
      <c r="DM70" s="53"/>
      <c r="DN70" s="53"/>
      <c r="DO70" s="53"/>
      <c r="DP70" s="53"/>
      <c r="DQ70" s="53"/>
      <c r="DR70" s="53"/>
      <c r="DS70" s="53"/>
      <c r="DT70" s="53"/>
      <c r="DU70" s="53"/>
      <c r="DV70" s="53"/>
      <c r="DW70" s="53"/>
      <c r="DX70" s="53"/>
      <c r="DY70" s="53"/>
      <c r="DZ70" s="53"/>
      <c r="EA70" s="53"/>
      <c r="EB70" s="53"/>
      <c r="EC70" s="53"/>
      <c r="ED70" s="53"/>
      <c r="EE70" s="53"/>
      <c r="EF70" s="53"/>
      <c r="EG70" s="53"/>
      <c r="EH70" s="53"/>
      <c r="EI70" s="53"/>
      <c r="EJ70" s="53"/>
      <c r="EK70" s="53"/>
      <c r="EL70" s="53"/>
      <c r="EM70" s="53"/>
      <c r="EN70" s="53"/>
      <c r="EO70" s="53"/>
      <c r="EP70" s="130">
        <f>MEDIAN(BN70,CR70)</f>
        <v>3750</v>
      </c>
      <c r="EQ70" s="130">
        <f>AVERAGE(BN70,CR70)</f>
        <v>3750</v>
      </c>
      <c r="ER70" s="131">
        <f>STDEV(BN70,CR70)</f>
        <v>1060.6601717798212</v>
      </c>
      <c r="ES70" s="137">
        <f t="shared" si="17"/>
        <v>0.28284271247461901</v>
      </c>
      <c r="ET70" s="151">
        <f t="shared" si="18"/>
        <v>3750</v>
      </c>
      <c r="EU70" s="150">
        <f t="shared" si="21"/>
        <v>750000</v>
      </c>
      <c r="EV70" s="148" t="s">
        <v>322</v>
      </c>
      <c r="EW70" s="192"/>
    </row>
    <row r="71" spans="1:153" ht="32.450000000000003" customHeight="1" x14ac:dyDescent="0.25">
      <c r="A71" s="65">
        <v>65</v>
      </c>
      <c r="B71" s="203" t="s">
        <v>590</v>
      </c>
      <c r="C71" s="76" t="s">
        <v>591</v>
      </c>
      <c r="D71" s="77" t="s">
        <v>466</v>
      </c>
      <c r="E71" s="65">
        <v>103</v>
      </c>
      <c r="F71" s="153"/>
      <c r="G71" s="153"/>
      <c r="H71" s="153"/>
      <c r="I71" s="153"/>
      <c r="J71" s="153"/>
      <c r="K71" s="153"/>
      <c r="L71" s="50"/>
      <c r="M71" s="50"/>
      <c r="N71" s="50"/>
      <c r="O71" s="50"/>
      <c r="P71" s="50"/>
      <c r="Q71" s="50"/>
      <c r="R71" s="50"/>
      <c r="S71" s="50"/>
      <c r="T71" s="50"/>
      <c r="U71" s="50"/>
      <c r="V71" s="50"/>
      <c r="W71" s="53"/>
      <c r="X71" s="53"/>
      <c r="Y71" s="53"/>
      <c r="Z71" s="53"/>
      <c r="AA71" s="53"/>
      <c r="AB71" s="53"/>
      <c r="AC71" s="53"/>
      <c r="AD71" s="153">
        <v>23730.98</v>
      </c>
      <c r="AE71" s="53">
        <f t="shared" si="31"/>
        <v>2444290.94</v>
      </c>
      <c r="AF71" s="53"/>
      <c r="AG71" s="53"/>
      <c r="AH71" s="53"/>
      <c r="AI71" s="53"/>
      <c r="AJ71" s="53"/>
      <c r="AK71" s="53"/>
      <c r="AL71" s="53"/>
      <c r="AM71" s="53"/>
      <c r="AN71" s="53"/>
      <c r="AO71" s="53"/>
      <c r="AP71" s="53"/>
      <c r="AQ71" s="53"/>
      <c r="AR71" s="53"/>
      <c r="AS71" s="53"/>
      <c r="AT71" s="53"/>
      <c r="AU71" s="53"/>
      <c r="AV71" s="53"/>
      <c r="AW71" s="53"/>
      <c r="AX71" s="53"/>
      <c r="AY71" s="53"/>
      <c r="AZ71" s="53"/>
      <c r="BA71" s="53"/>
      <c r="BB71" s="53"/>
      <c r="BC71" s="53"/>
      <c r="BD71" s="53"/>
      <c r="BE71" s="53"/>
      <c r="BF71" s="53"/>
      <c r="BG71" s="53"/>
      <c r="BH71" s="53"/>
      <c r="BI71" s="53"/>
      <c r="BJ71" s="53"/>
      <c r="BK71" s="53"/>
      <c r="BL71" s="53"/>
      <c r="BM71" s="53"/>
      <c r="BN71" s="53"/>
      <c r="BO71" s="53"/>
      <c r="BP71" s="53"/>
      <c r="BQ71" s="53"/>
      <c r="BR71" s="53"/>
      <c r="BS71" s="53"/>
      <c r="BT71" s="53"/>
      <c r="BU71" s="53"/>
      <c r="BV71" s="53"/>
      <c r="BW71" s="53"/>
      <c r="BX71" s="53"/>
      <c r="BY71" s="53"/>
      <c r="BZ71" s="53"/>
      <c r="CA71" s="53"/>
      <c r="CB71" s="53"/>
      <c r="CC71" s="53"/>
      <c r="CD71" s="53"/>
      <c r="CE71" s="53"/>
      <c r="CF71" s="53"/>
      <c r="CG71" s="53"/>
      <c r="CH71" s="53"/>
      <c r="CI71" s="53"/>
      <c r="CJ71" s="53"/>
      <c r="CK71" s="53"/>
      <c r="CL71" s="53"/>
      <c r="CM71" s="53"/>
      <c r="CN71" s="53"/>
      <c r="CO71" s="53"/>
      <c r="CP71" s="53"/>
      <c r="CQ71" s="53"/>
      <c r="CR71" s="53"/>
      <c r="CS71" s="53"/>
      <c r="CT71" s="53"/>
      <c r="CU71" s="53"/>
      <c r="CV71" s="53"/>
      <c r="CW71" s="53"/>
      <c r="CX71" s="53"/>
      <c r="CY71" s="53"/>
      <c r="CZ71" s="53"/>
      <c r="DA71" s="53"/>
      <c r="DB71" s="53"/>
      <c r="DC71" s="53"/>
      <c r="DD71" s="53"/>
      <c r="DE71" s="53"/>
      <c r="DF71" s="53"/>
      <c r="DG71" s="53"/>
      <c r="DH71" s="53"/>
      <c r="DI71" s="53"/>
      <c r="DJ71" s="53"/>
      <c r="DK71" s="53"/>
      <c r="DL71" s="53"/>
      <c r="DM71" s="53"/>
      <c r="DN71" s="53">
        <v>21294</v>
      </c>
      <c r="DO71" s="53">
        <f>+DN71*E71</f>
        <v>2193282</v>
      </c>
      <c r="DP71" s="53"/>
      <c r="DQ71" s="53"/>
      <c r="DR71" s="53"/>
      <c r="DS71" s="53"/>
      <c r="DT71" s="53"/>
      <c r="DU71" s="53"/>
      <c r="DV71" s="53"/>
      <c r="DW71" s="53"/>
      <c r="DX71" s="53"/>
      <c r="DY71" s="53"/>
      <c r="DZ71" s="53"/>
      <c r="EA71" s="53"/>
      <c r="EB71" s="53"/>
      <c r="EC71" s="53"/>
      <c r="ED71" s="53"/>
      <c r="EE71" s="53"/>
      <c r="EF71" s="53"/>
      <c r="EG71" s="53"/>
      <c r="EH71" s="53"/>
      <c r="EI71" s="53"/>
      <c r="EJ71" s="53"/>
      <c r="EK71" s="53"/>
      <c r="EL71" s="53"/>
      <c r="EM71" s="53"/>
      <c r="EN71" s="53"/>
      <c r="EO71" s="53"/>
      <c r="EP71" s="130">
        <f>MEDIAN(AD71,DN71)</f>
        <v>22512.489999999998</v>
      </c>
      <c r="EQ71" s="130">
        <f>AVERAGE(AD71,DN71)</f>
        <v>22512.489999999998</v>
      </c>
      <c r="ER71" s="131">
        <f>STDEV(AD71,DN71)</f>
        <v>1723.2050836159922</v>
      </c>
      <c r="ES71" s="137">
        <f t="shared" si="17"/>
        <v>7.6544401957135452E-2</v>
      </c>
      <c r="ET71" s="151">
        <f t="shared" si="18"/>
        <v>22513</v>
      </c>
      <c r="EU71" s="150">
        <f t="shared" si="21"/>
        <v>2318839</v>
      </c>
      <c r="EV71" s="148" t="s">
        <v>319</v>
      </c>
      <c r="EW71" s="192"/>
    </row>
    <row r="72" spans="1:153" ht="32.450000000000003" customHeight="1" x14ac:dyDescent="0.25">
      <c r="A72" s="65">
        <v>66</v>
      </c>
      <c r="B72" s="203" t="s">
        <v>592</v>
      </c>
      <c r="C72" s="195" t="s">
        <v>593</v>
      </c>
      <c r="D72" s="77" t="s">
        <v>466</v>
      </c>
      <c r="E72" s="65">
        <v>300</v>
      </c>
      <c r="F72" s="153"/>
      <c r="G72" s="153"/>
      <c r="H72" s="153"/>
      <c r="I72" s="153"/>
      <c r="J72" s="153"/>
      <c r="K72" s="153"/>
      <c r="L72" s="50"/>
      <c r="M72" s="50"/>
      <c r="N72" s="50"/>
      <c r="O72" s="50"/>
      <c r="P72" s="50"/>
      <c r="Q72" s="50"/>
      <c r="R72" s="50"/>
      <c r="S72" s="50"/>
      <c r="T72" s="50"/>
      <c r="U72" s="50"/>
      <c r="V72" s="50"/>
      <c r="W72" s="53"/>
      <c r="X72" s="53"/>
      <c r="Y72" s="53"/>
      <c r="Z72" s="53"/>
      <c r="AA72" s="53"/>
      <c r="AB72" s="53"/>
      <c r="AC72" s="53"/>
      <c r="AD72" s="153">
        <v>129186.4</v>
      </c>
      <c r="AE72" s="53">
        <f t="shared" si="31"/>
        <v>38755920</v>
      </c>
      <c r="AF72" s="53"/>
      <c r="AG72" s="53"/>
      <c r="AH72" s="53"/>
      <c r="AI72" s="53"/>
      <c r="AJ72" s="53"/>
      <c r="AK72" s="53"/>
      <c r="AL72" s="53"/>
      <c r="AM72" s="53"/>
      <c r="AN72" s="53"/>
      <c r="AO72" s="53"/>
      <c r="AP72" s="53"/>
      <c r="AQ72" s="53"/>
      <c r="AR72" s="53"/>
      <c r="AS72" s="53"/>
      <c r="AT72" s="53"/>
      <c r="AU72" s="53"/>
      <c r="AV72" s="53"/>
      <c r="AW72" s="53"/>
      <c r="AX72" s="53"/>
      <c r="AY72" s="53"/>
      <c r="AZ72" s="53"/>
      <c r="BA72" s="53"/>
      <c r="BB72" s="53"/>
      <c r="BC72" s="53"/>
      <c r="BD72" s="53"/>
      <c r="BE72" s="53"/>
      <c r="BF72" s="53"/>
      <c r="BG72" s="53"/>
      <c r="BH72" s="53"/>
      <c r="BI72" s="53"/>
      <c r="BJ72" s="53"/>
      <c r="BK72" s="53"/>
      <c r="BL72" s="53"/>
      <c r="BM72" s="53"/>
      <c r="BN72" s="53"/>
      <c r="BO72" s="53"/>
      <c r="BP72" s="53"/>
      <c r="BQ72" s="53"/>
      <c r="BR72" s="53"/>
      <c r="BS72" s="53"/>
      <c r="BT72" s="53"/>
      <c r="BU72" s="53"/>
      <c r="BV72" s="53"/>
      <c r="BW72" s="53"/>
      <c r="BX72" s="53"/>
      <c r="BY72" s="53"/>
      <c r="BZ72" s="53"/>
      <c r="CA72" s="53"/>
      <c r="CB72" s="53"/>
      <c r="CC72" s="53"/>
      <c r="CD72" s="53"/>
      <c r="CE72" s="53"/>
      <c r="CF72" s="53"/>
      <c r="CG72" s="53"/>
      <c r="CH72" s="53"/>
      <c r="CI72" s="53"/>
      <c r="CJ72" s="53"/>
      <c r="CK72" s="53"/>
      <c r="CL72" s="53"/>
      <c r="CM72" s="53"/>
      <c r="CN72" s="53"/>
      <c r="CO72" s="53"/>
      <c r="CP72" s="53"/>
      <c r="CQ72" s="53"/>
      <c r="CR72" s="53"/>
      <c r="CS72" s="53"/>
      <c r="CT72" s="53"/>
      <c r="CU72" s="53"/>
      <c r="CV72" s="53"/>
      <c r="CW72" s="53"/>
      <c r="CX72" s="53"/>
      <c r="CY72" s="53"/>
      <c r="CZ72" s="53"/>
      <c r="DA72" s="53"/>
      <c r="DB72" s="53"/>
      <c r="DC72" s="53"/>
      <c r="DD72" s="53">
        <v>140000</v>
      </c>
      <c r="DE72" s="53">
        <f>+DD72*E72</f>
        <v>42000000</v>
      </c>
      <c r="DF72" s="53"/>
      <c r="DG72" s="53"/>
      <c r="DH72" s="53"/>
      <c r="DI72" s="53"/>
      <c r="DJ72" s="53"/>
      <c r="DK72" s="53"/>
      <c r="DL72" s="53"/>
      <c r="DM72" s="53"/>
      <c r="DN72" s="53"/>
      <c r="DO72" s="53"/>
      <c r="DP72" s="53"/>
      <c r="DQ72" s="53"/>
      <c r="DR72" s="53"/>
      <c r="DS72" s="53"/>
      <c r="DT72" s="53"/>
      <c r="DU72" s="53"/>
      <c r="DV72" s="53"/>
      <c r="DW72" s="53"/>
      <c r="DX72" s="53"/>
      <c r="DY72" s="53"/>
      <c r="DZ72" s="53"/>
      <c r="EA72" s="53"/>
      <c r="EB72" s="53"/>
      <c r="EC72" s="53"/>
      <c r="ED72" s="53"/>
      <c r="EE72" s="53"/>
      <c r="EF72" s="53"/>
      <c r="EG72" s="53"/>
      <c r="EH72" s="53"/>
      <c r="EI72" s="53"/>
      <c r="EJ72" s="53"/>
      <c r="EK72" s="53"/>
      <c r="EL72" s="53"/>
      <c r="EM72" s="53"/>
      <c r="EN72" s="53"/>
      <c r="EO72" s="53"/>
      <c r="EP72" s="130">
        <f>MEDIAN(AD72,DD72)</f>
        <v>134593.20000000001</v>
      </c>
      <c r="EQ72" s="130">
        <f>AVERAGE(AD72,DD72)</f>
        <v>134593.20000000001</v>
      </c>
      <c r="ER72" s="131">
        <f>STDEV(AD72,DD72)</f>
        <v>7646.3698890388541</v>
      </c>
      <c r="ES72" s="137">
        <f t="shared" si="17"/>
        <v>5.6810967337420117E-2</v>
      </c>
      <c r="ET72" s="151">
        <f t="shared" si="18"/>
        <v>134594</v>
      </c>
      <c r="EU72" s="150">
        <f t="shared" si="21"/>
        <v>40378200</v>
      </c>
      <c r="EV72" s="148" t="s">
        <v>319</v>
      </c>
      <c r="EW72" s="192"/>
    </row>
    <row r="73" spans="1:153" ht="63" customHeight="1" x14ac:dyDescent="0.25">
      <c r="A73" s="65">
        <v>67</v>
      </c>
      <c r="B73" s="203" t="s">
        <v>594</v>
      </c>
      <c r="C73" s="80" t="s">
        <v>595</v>
      </c>
      <c r="D73" s="81" t="s">
        <v>172</v>
      </c>
      <c r="E73" s="79">
        <v>250</v>
      </c>
      <c r="F73" s="153"/>
      <c r="G73" s="153"/>
      <c r="H73" s="153"/>
      <c r="I73" s="153"/>
      <c r="J73" s="153"/>
      <c r="K73" s="153"/>
      <c r="L73" s="50"/>
      <c r="M73" s="50"/>
      <c r="N73" s="50"/>
      <c r="O73" s="50"/>
      <c r="P73" s="50"/>
      <c r="Q73" s="50"/>
      <c r="R73" s="50"/>
      <c r="S73" s="50"/>
      <c r="T73" s="50"/>
      <c r="U73" s="50"/>
      <c r="V73" s="50"/>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c r="BL73" s="53"/>
      <c r="BM73" s="53"/>
      <c r="BN73" s="53"/>
      <c r="BO73" s="53"/>
      <c r="BP73" s="53"/>
      <c r="BQ73" s="53"/>
      <c r="BR73" s="53"/>
      <c r="BS73" s="53"/>
      <c r="BT73" s="53"/>
      <c r="BU73" s="53"/>
      <c r="BV73" s="53"/>
      <c r="BW73" s="53"/>
      <c r="BX73" s="53"/>
      <c r="BY73" s="53"/>
      <c r="BZ73" s="53"/>
      <c r="CA73" s="53"/>
      <c r="CB73" s="53"/>
      <c r="CC73" s="53"/>
      <c r="CD73" s="53"/>
      <c r="CE73" s="53"/>
      <c r="CF73" s="53"/>
      <c r="CG73" s="53"/>
      <c r="CH73" s="53"/>
      <c r="CI73" s="53"/>
      <c r="CJ73" s="53"/>
      <c r="CK73" s="53"/>
      <c r="CL73" s="53"/>
      <c r="CM73" s="53"/>
      <c r="CN73" s="53"/>
      <c r="CO73" s="53"/>
      <c r="CP73" s="53"/>
      <c r="CQ73" s="53"/>
      <c r="CR73" s="53">
        <v>10500</v>
      </c>
      <c r="CS73" s="53"/>
      <c r="CT73" s="53"/>
      <c r="CU73" s="53"/>
      <c r="CV73" s="53">
        <v>11100</v>
      </c>
      <c r="CW73" s="53"/>
      <c r="CX73" s="53"/>
      <c r="CY73" s="53"/>
      <c r="CZ73" s="53"/>
      <c r="DA73" s="53"/>
      <c r="DB73" s="53"/>
      <c r="DC73" s="53"/>
      <c r="DD73" s="53"/>
      <c r="DE73" s="53"/>
      <c r="DF73" s="53"/>
      <c r="DG73" s="53"/>
      <c r="DH73" s="53"/>
      <c r="DI73" s="53"/>
      <c r="DJ73" s="53"/>
      <c r="DK73" s="53"/>
      <c r="DL73" s="53"/>
      <c r="DM73" s="53"/>
      <c r="DN73" s="53"/>
      <c r="DO73" s="53"/>
      <c r="DP73" s="53"/>
      <c r="DQ73" s="53"/>
      <c r="DR73" s="53"/>
      <c r="DS73" s="53"/>
      <c r="DT73" s="53"/>
      <c r="DU73" s="53"/>
      <c r="DV73" s="53"/>
      <c r="DW73" s="53"/>
      <c r="DX73" s="53"/>
      <c r="DY73" s="53"/>
      <c r="DZ73" s="53"/>
      <c r="EA73" s="53"/>
      <c r="EB73" s="53"/>
      <c r="EC73" s="53"/>
      <c r="ED73" s="53"/>
      <c r="EE73" s="53"/>
      <c r="EF73" s="53"/>
      <c r="EG73" s="53"/>
      <c r="EH73" s="53"/>
      <c r="EI73" s="53"/>
      <c r="EJ73" s="53"/>
      <c r="EK73" s="53"/>
      <c r="EL73" s="53"/>
      <c r="EM73" s="53"/>
      <c r="EN73" s="53"/>
      <c r="EO73" s="53"/>
      <c r="EP73" s="130">
        <f>MEDIAN(CR73,CV73)</f>
        <v>10800</v>
      </c>
      <c r="EQ73" s="130">
        <f>AVERAGE(CR73,CV73)</f>
        <v>10800</v>
      </c>
      <c r="ER73" s="131">
        <f>STDEV(CR73,CV73)</f>
        <v>424.26406871192853</v>
      </c>
      <c r="ES73" s="137">
        <f t="shared" si="17"/>
        <v>3.9283710065919311E-2</v>
      </c>
      <c r="ET73" s="151">
        <f t="shared" si="18"/>
        <v>10800</v>
      </c>
      <c r="EU73" s="150">
        <f t="shared" si="21"/>
        <v>2700000</v>
      </c>
      <c r="EV73" s="148" t="s">
        <v>319</v>
      </c>
      <c r="EW73" s="192"/>
    </row>
    <row r="74" spans="1:153" ht="45.75" customHeight="1" x14ac:dyDescent="0.25">
      <c r="A74" s="65">
        <v>68</v>
      </c>
      <c r="B74" s="203" t="s">
        <v>597</v>
      </c>
      <c r="C74" s="76" t="s">
        <v>598</v>
      </c>
      <c r="D74" s="77" t="s">
        <v>466</v>
      </c>
      <c r="E74" s="41">
        <v>290</v>
      </c>
      <c r="F74" s="153"/>
      <c r="G74" s="153"/>
      <c r="H74" s="153"/>
      <c r="I74" s="153"/>
      <c r="J74" s="153"/>
      <c r="K74" s="153"/>
      <c r="L74" s="50">
        <v>25000</v>
      </c>
      <c r="M74" s="50">
        <f t="shared" ref="M74:M77" si="40">+L74*E74</f>
        <v>7250000</v>
      </c>
      <c r="N74" s="50"/>
      <c r="O74" s="50"/>
      <c r="P74" s="50"/>
      <c r="Q74" s="50"/>
      <c r="R74" s="50"/>
      <c r="S74" s="50"/>
      <c r="T74" s="50"/>
      <c r="U74" s="50"/>
      <c r="V74" s="50"/>
      <c r="W74" s="53"/>
      <c r="X74" s="53"/>
      <c r="Y74" s="53"/>
      <c r="Z74" s="53"/>
      <c r="AA74" s="53"/>
      <c r="AB74" s="53"/>
      <c r="AC74" s="53"/>
      <c r="AD74" s="153">
        <v>77090.58</v>
      </c>
      <c r="AE74" s="53">
        <f t="shared" ref="AE74:AE79" si="41">AD74*E74</f>
        <v>22356268.199999999</v>
      </c>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3"/>
      <c r="BN74" s="53"/>
      <c r="BO74" s="53"/>
      <c r="BP74" s="53"/>
      <c r="BQ74" s="53"/>
      <c r="BR74" s="53"/>
      <c r="BS74" s="53"/>
      <c r="BT74" s="53"/>
      <c r="BU74" s="53"/>
      <c r="BV74" s="53"/>
      <c r="BW74" s="53"/>
      <c r="BX74" s="53"/>
      <c r="BY74" s="53"/>
      <c r="BZ74" s="53"/>
      <c r="CA74" s="53"/>
      <c r="CB74" s="53"/>
      <c r="CC74" s="53"/>
      <c r="CD74" s="53"/>
      <c r="CE74" s="53"/>
      <c r="CF74" s="53"/>
      <c r="CG74" s="53"/>
      <c r="CH74" s="53"/>
      <c r="CI74" s="53"/>
      <c r="CJ74" s="53"/>
      <c r="CK74" s="53"/>
      <c r="CL74" s="53"/>
      <c r="CM74" s="53"/>
      <c r="CN74" s="53"/>
      <c r="CO74" s="53"/>
      <c r="CP74" s="53"/>
      <c r="CQ74" s="53"/>
      <c r="CR74" s="53">
        <v>63000</v>
      </c>
      <c r="CS74" s="53">
        <f t="shared" ref="CS74:CS83" si="42">+CR74*E74</f>
        <v>18270000</v>
      </c>
      <c r="CT74" s="53"/>
      <c r="CU74" s="53"/>
      <c r="CV74" s="53"/>
      <c r="CW74" s="53"/>
      <c r="CX74" s="53"/>
      <c r="CY74" s="53"/>
      <c r="CZ74" s="53"/>
      <c r="DA74" s="53"/>
      <c r="DB74" s="53"/>
      <c r="DC74" s="53"/>
      <c r="DD74" s="53"/>
      <c r="DE74" s="53"/>
      <c r="DF74" s="53"/>
      <c r="DG74" s="53"/>
      <c r="DH74" s="53"/>
      <c r="DI74" s="53"/>
      <c r="DJ74" s="53"/>
      <c r="DK74" s="53"/>
      <c r="DL74" s="53"/>
      <c r="DM74" s="53"/>
      <c r="DN74" s="53"/>
      <c r="DO74" s="53"/>
      <c r="DP74" s="53"/>
      <c r="DQ74" s="53"/>
      <c r="DR74" s="53"/>
      <c r="DS74" s="53"/>
      <c r="DT74" s="53"/>
      <c r="DU74" s="53"/>
      <c r="DV74" s="53"/>
      <c r="DW74" s="53"/>
      <c r="DX74" s="53"/>
      <c r="DY74" s="53"/>
      <c r="DZ74" s="53"/>
      <c r="EA74" s="53"/>
      <c r="EB74" s="53"/>
      <c r="EC74" s="53"/>
      <c r="ED74" s="53"/>
      <c r="EE74" s="53"/>
      <c r="EF74" s="53"/>
      <c r="EG74" s="53"/>
      <c r="EH74" s="53"/>
      <c r="EI74" s="53"/>
      <c r="EJ74" s="53"/>
      <c r="EK74" s="53"/>
      <c r="EL74" s="53"/>
      <c r="EM74" s="53"/>
      <c r="EN74" s="53"/>
      <c r="EO74" s="53"/>
      <c r="EP74" s="130">
        <f>MEDIAN(AD74,CR74)</f>
        <v>70045.290000000008</v>
      </c>
      <c r="EQ74" s="130">
        <f>AVERAGE(AD74,CR74)</f>
        <v>70045.290000000008</v>
      </c>
      <c r="ER74" s="131">
        <f>STDEV(AD74,CR74)</f>
        <v>9963.5446688514621</v>
      </c>
      <c r="ES74" s="137">
        <f t="shared" si="17"/>
        <v>0.14224432033690576</v>
      </c>
      <c r="ET74" s="151">
        <f t="shared" si="18"/>
        <v>70046</v>
      </c>
      <c r="EU74" s="150">
        <f t="shared" si="21"/>
        <v>20313340</v>
      </c>
      <c r="EV74" s="148" t="s">
        <v>599</v>
      </c>
      <c r="EW74" s="192"/>
    </row>
    <row r="75" spans="1:153" ht="32.450000000000003" customHeight="1" x14ac:dyDescent="0.25">
      <c r="A75" s="65">
        <v>69</v>
      </c>
      <c r="B75" s="203" t="s">
        <v>600</v>
      </c>
      <c r="C75" s="76" t="s">
        <v>601</v>
      </c>
      <c r="D75" s="77" t="s">
        <v>466</v>
      </c>
      <c r="E75" s="79">
        <v>590</v>
      </c>
      <c r="F75" s="153"/>
      <c r="G75" s="153"/>
      <c r="H75" s="153"/>
      <c r="I75" s="153"/>
      <c r="J75" s="153"/>
      <c r="K75" s="153"/>
      <c r="L75" s="50">
        <v>13500</v>
      </c>
      <c r="M75" s="50">
        <f t="shared" si="40"/>
        <v>7965000</v>
      </c>
      <c r="N75" s="50"/>
      <c r="O75" s="50"/>
      <c r="P75" s="50"/>
      <c r="Q75" s="50"/>
      <c r="R75" s="50"/>
      <c r="S75" s="50"/>
      <c r="T75" s="50"/>
      <c r="U75" s="50"/>
      <c r="V75" s="50"/>
      <c r="W75" s="53"/>
      <c r="X75" s="53"/>
      <c r="Y75" s="53"/>
      <c r="Z75" s="53"/>
      <c r="AA75" s="53"/>
      <c r="AB75" s="53"/>
      <c r="AC75" s="53"/>
      <c r="AD75" s="153">
        <v>193779.6</v>
      </c>
      <c r="AE75" s="53">
        <f t="shared" si="41"/>
        <v>114329964</v>
      </c>
      <c r="AF75" s="53"/>
      <c r="AG75" s="53"/>
      <c r="AH75" s="53"/>
      <c r="AI75" s="53"/>
      <c r="AJ75" s="53"/>
      <c r="AK75" s="53"/>
      <c r="AL75" s="53"/>
      <c r="AM75" s="53"/>
      <c r="AN75" s="53"/>
      <c r="AO75" s="53"/>
      <c r="AP75" s="53"/>
      <c r="AQ75" s="53"/>
      <c r="AR75" s="53"/>
      <c r="AS75" s="53"/>
      <c r="AT75" s="53"/>
      <c r="AU75" s="53"/>
      <c r="AV75" s="53"/>
      <c r="AW75" s="53"/>
      <c r="AX75" s="53"/>
      <c r="AY75" s="53"/>
      <c r="AZ75" s="53"/>
      <c r="BA75" s="53"/>
      <c r="BB75" s="53"/>
      <c r="BC75" s="53"/>
      <c r="BD75" s="53"/>
      <c r="BE75" s="53"/>
      <c r="BF75" s="53"/>
      <c r="BG75" s="53"/>
      <c r="BH75" s="53"/>
      <c r="BI75" s="53"/>
      <c r="BJ75" s="53"/>
      <c r="BK75" s="53"/>
      <c r="BL75" s="53"/>
      <c r="BM75" s="53"/>
      <c r="BN75" s="53"/>
      <c r="BO75" s="53"/>
      <c r="BP75" s="53"/>
      <c r="BQ75" s="53"/>
      <c r="BR75" s="53"/>
      <c r="BS75" s="53"/>
      <c r="BT75" s="53"/>
      <c r="BU75" s="53"/>
      <c r="BV75" s="53"/>
      <c r="BW75" s="53"/>
      <c r="BX75" s="53"/>
      <c r="BY75" s="53"/>
      <c r="BZ75" s="53"/>
      <c r="CA75" s="53"/>
      <c r="CB75" s="53"/>
      <c r="CC75" s="53"/>
      <c r="CD75" s="53"/>
      <c r="CE75" s="53"/>
      <c r="CF75" s="53"/>
      <c r="CG75" s="53"/>
      <c r="CH75" s="53"/>
      <c r="CI75" s="53"/>
      <c r="CJ75" s="53"/>
      <c r="CK75" s="53"/>
      <c r="CL75" s="53"/>
      <c r="CM75" s="53"/>
      <c r="CN75" s="53"/>
      <c r="CO75" s="53"/>
      <c r="CP75" s="53"/>
      <c r="CQ75" s="53"/>
      <c r="CR75" s="53">
        <v>20034</v>
      </c>
      <c r="CS75" s="53">
        <f t="shared" si="42"/>
        <v>11820060</v>
      </c>
      <c r="CT75" s="53">
        <v>17388</v>
      </c>
      <c r="CU75" s="53"/>
      <c r="CV75" s="53"/>
      <c r="CW75" s="53"/>
      <c r="CX75" s="53"/>
      <c r="CY75" s="53"/>
      <c r="CZ75" s="53"/>
      <c r="DA75" s="53"/>
      <c r="DB75" s="53"/>
      <c r="DC75" s="53"/>
      <c r="DD75" s="53"/>
      <c r="DE75" s="53"/>
      <c r="DF75" s="53"/>
      <c r="DG75" s="53"/>
      <c r="DH75" s="53"/>
      <c r="DI75" s="53"/>
      <c r="DJ75" s="53"/>
      <c r="DK75" s="53"/>
      <c r="DL75" s="53"/>
      <c r="DM75" s="53"/>
      <c r="DN75" s="53"/>
      <c r="DO75" s="53"/>
      <c r="DP75" s="53"/>
      <c r="DQ75" s="53"/>
      <c r="DR75" s="53"/>
      <c r="DS75" s="53"/>
      <c r="DT75" s="53"/>
      <c r="DU75" s="53"/>
      <c r="DV75" s="53"/>
      <c r="DW75" s="53"/>
      <c r="DX75" s="53"/>
      <c r="DY75" s="53"/>
      <c r="DZ75" s="53"/>
      <c r="EA75" s="53"/>
      <c r="EB75" s="53"/>
      <c r="EC75" s="53"/>
      <c r="ED75" s="53"/>
      <c r="EE75" s="53"/>
      <c r="EF75" s="53"/>
      <c r="EG75" s="53"/>
      <c r="EH75" s="53"/>
      <c r="EI75" s="53"/>
      <c r="EJ75" s="53"/>
      <c r="EK75" s="53"/>
      <c r="EL75" s="53"/>
      <c r="EM75" s="53"/>
      <c r="EN75" s="53"/>
      <c r="EO75" s="53"/>
      <c r="EP75" s="130">
        <f>MEDIAN(CR75,CT75)</f>
        <v>18711</v>
      </c>
      <c r="EQ75" s="130">
        <f>AVERAGE(CR75,CT75)</f>
        <v>18711</v>
      </c>
      <c r="ER75" s="131">
        <f>STDEV(CR75,CT75)</f>
        <v>1871.0045430196049</v>
      </c>
      <c r="ES75" s="137">
        <f t="shared" si="17"/>
        <v>9.9994898349612782E-2</v>
      </c>
      <c r="ET75" s="151">
        <f t="shared" si="18"/>
        <v>18711</v>
      </c>
      <c r="EU75" s="150">
        <f t="shared" si="21"/>
        <v>11039490</v>
      </c>
      <c r="EV75" s="148" t="s">
        <v>319</v>
      </c>
      <c r="EW75" s="192"/>
    </row>
    <row r="76" spans="1:153" ht="32.450000000000003" customHeight="1" x14ac:dyDescent="0.25">
      <c r="A76" s="65">
        <v>70</v>
      </c>
      <c r="B76" s="203" t="s">
        <v>602</v>
      </c>
      <c r="C76" s="76" t="s">
        <v>603</v>
      </c>
      <c r="D76" s="77" t="s">
        <v>466</v>
      </c>
      <c r="E76" s="41">
        <v>590</v>
      </c>
      <c r="F76" s="153"/>
      <c r="G76" s="153"/>
      <c r="H76" s="153"/>
      <c r="I76" s="153"/>
      <c r="J76" s="153"/>
      <c r="K76" s="153"/>
      <c r="L76" s="50">
        <v>1500</v>
      </c>
      <c r="M76" s="50">
        <f t="shared" si="40"/>
        <v>885000</v>
      </c>
      <c r="N76" s="50"/>
      <c r="O76" s="50"/>
      <c r="P76" s="50"/>
      <c r="Q76" s="50"/>
      <c r="R76" s="50"/>
      <c r="S76" s="50"/>
      <c r="T76" s="50"/>
      <c r="U76" s="50"/>
      <c r="V76" s="50"/>
      <c r="W76" s="53"/>
      <c r="X76" s="53"/>
      <c r="Y76" s="53"/>
      <c r="Z76" s="53"/>
      <c r="AA76" s="53"/>
      <c r="AB76" s="53"/>
      <c r="AC76" s="53"/>
      <c r="AD76" s="153">
        <v>3744.5333333333328</v>
      </c>
      <c r="AE76" s="53">
        <f t="shared" si="41"/>
        <v>2209274.6666666665</v>
      </c>
      <c r="AF76" s="53"/>
      <c r="AG76" s="53"/>
      <c r="AH76" s="53"/>
      <c r="AI76" s="53"/>
      <c r="AJ76" s="53"/>
      <c r="AK76" s="53"/>
      <c r="AL76" s="53"/>
      <c r="AM76" s="53"/>
      <c r="AN76" s="53"/>
      <c r="AO76" s="53"/>
      <c r="AP76" s="53"/>
      <c r="AQ76" s="53"/>
      <c r="AR76" s="53"/>
      <c r="AS76" s="53"/>
      <c r="AT76" s="53"/>
      <c r="AU76" s="53"/>
      <c r="AV76" s="53"/>
      <c r="AW76" s="53"/>
      <c r="AX76" s="53"/>
      <c r="AY76" s="53"/>
      <c r="AZ76" s="53"/>
      <c r="BA76" s="53"/>
      <c r="BB76" s="53"/>
      <c r="BC76" s="53"/>
      <c r="BD76" s="53"/>
      <c r="BE76" s="53"/>
      <c r="BF76" s="53"/>
      <c r="BG76" s="53"/>
      <c r="BH76" s="53"/>
      <c r="BI76" s="53"/>
      <c r="BJ76" s="53"/>
      <c r="BK76" s="53"/>
      <c r="BL76" s="53"/>
      <c r="BM76" s="53"/>
      <c r="BN76" s="53"/>
      <c r="BO76" s="53"/>
      <c r="BP76" s="53"/>
      <c r="BQ76" s="53"/>
      <c r="BR76" s="53"/>
      <c r="BS76" s="53"/>
      <c r="BT76" s="53"/>
      <c r="BU76" s="53"/>
      <c r="BV76" s="53"/>
      <c r="BW76" s="53"/>
      <c r="BX76" s="53"/>
      <c r="BY76" s="53"/>
      <c r="BZ76" s="53"/>
      <c r="CA76" s="53"/>
      <c r="CB76" s="53"/>
      <c r="CC76" s="53"/>
      <c r="CD76" s="53"/>
      <c r="CE76" s="53"/>
      <c r="CF76" s="53"/>
      <c r="CG76" s="53"/>
      <c r="CH76" s="53"/>
      <c r="CI76" s="53"/>
      <c r="CJ76" s="53"/>
      <c r="CK76" s="53"/>
      <c r="CL76" s="53"/>
      <c r="CM76" s="53"/>
      <c r="CN76" s="53"/>
      <c r="CO76" s="53"/>
      <c r="CP76" s="53"/>
      <c r="CQ76" s="53"/>
      <c r="CR76" s="53"/>
      <c r="CS76" s="53">
        <f t="shared" si="42"/>
        <v>0</v>
      </c>
      <c r="CT76" s="53">
        <v>2100</v>
      </c>
      <c r="CU76" s="53"/>
      <c r="CV76" s="53"/>
      <c r="CW76" s="53"/>
      <c r="CX76" s="53"/>
      <c r="CY76" s="53"/>
      <c r="CZ76" s="53"/>
      <c r="DA76" s="53"/>
      <c r="DB76" s="53"/>
      <c r="DC76" s="53"/>
      <c r="DD76" s="53"/>
      <c r="DE76" s="53"/>
      <c r="DF76" s="53"/>
      <c r="DG76" s="53"/>
      <c r="DH76" s="53"/>
      <c r="DI76" s="53"/>
      <c r="DJ76" s="53"/>
      <c r="DK76" s="53"/>
      <c r="DL76" s="53"/>
      <c r="DM76" s="53"/>
      <c r="DN76" s="53"/>
      <c r="DO76" s="53"/>
      <c r="DP76" s="53"/>
      <c r="DQ76" s="53"/>
      <c r="DR76" s="53"/>
      <c r="DS76" s="53"/>
      <c r="DT76" s="53"/>
      <c r="DU76" s="53"/>
      <c r="DV76" s="53"/>
      <c r="DW76" s="53"/>
      <c r="DX76" s="53"/>
      <c r="DY76" s="53"/>
      <c r="DZ76" s="53"/>
      <c r="EA76" s="53"/>
      <c r="EB76" s="53"/>
      <c r="EC76" s="53"/>
      <c r="ED76" s="53"/>
      <c r="EE76" s="53"/>
      <c r="EF76" s="53"/>
      <c r="EG76" s="53"/>
      <c r="EH76" s="53"/>
      <c r="EI76" s="53"/>
      <c r="EJ76" s="53"/>
      <c r="EK76" s="53"/>
      <c r="EL76" s="53"/>
      <c r="EM76" s="53"/>
      <c r="EN76" s="53"/>
      <c r="EO76" s="53"/>
      <c r="EP76" s="130">
        <f>MEDIAN(L76,CT76)</f>
        <v>1800</v>
      </c>
      <c r="EQ76" s="130">
        <f>AVERAGE(L76,CT76)</f>
        <v>1800</v>
      </c>
      <c r="ER76" s="131">
        <f>STDEV(L76,CT76)</f>
        <v>424.26406871192853</v>
      </c>
      <c r="ES76" s="137">
        <f t="shared" si="17"/>
        <v>0.23570226039551584</v>
      </c>
      <c r="ET76" s="151">
        <f t="shared" si="18"/>
        <v>1800</v>
      </c>
      <c r="EU76" s="150">
        <f t="shared" si="21"/>
        <v>1062000</v>
      </c>
      <c r="EV76" s="148" t="s">
        <v>322</v>
      </c>
      <c r="EW76" s="192"/>
    </row>
    <row r="77" spans="1:153" ht="32.450000000000003" customHeight="1" x14ac:dyDescent="0.25">
      <c r="A77" s="65">
        <v>71</v>
      </c>
      <c r="B77" s="203" t="s">
        <v>604</v>
      </c>
      <c r="C77" s="76" t="s">
        <v>605</v>
      </c>
      <c r="D77" s="77" t="s">
        <v>466</v>
      </c>
      <c r="E77" s="41">
        <v>590</v>
      </c>
      <c r="F77" s="153"/>
      <c r="G77" s="153"/>
      <c r="H77" s="153"/>
      <c r="I77" s="153"/>
      <c r="J77" s="153"/>
      <c r="K77" s="153"/>
      <c r="L77" s="50">
        <v>6500</v>
      </c>
      <c r="M77" s="50">
        <f t="shared" si="40"/>
        <v>3835000</v>
      </c>
      <c r="N77" s="50"/>
      <c r="O77" s="50"/>
      <c r="P77" s="50"/>
      <c r="Q77" s="50"/>
      <c r="R77" s="50"/>
      <c r="S77" s="50"/>
      <c r="T77" s="50"/>
      <c r="U77" s="50"/>
      <c r="V77" s="50"/>
      <c r="W77" s="53"/>
      <c r="X77" s="53"/>
      <c r="Y77" s="53"/>
      <c r="Z77" s="53"/>
      <c r="AA77" s="53"/>
      <c r="AB77" s="53"/>
      <c r="AC77" s="53"/>
      <c r="AD77" s="153">
        <v>8317</v>
      </c>
      <c r="AE77" s="53">
        <f t="shared" si="41"/>
        <v>4907030</v>
      </c>
      <c r="AF77" s="53"/>
      <c r="AG77" s="53"/>
      <c r="AH77" s="53"/>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c r="BJ77" s="53"/>
      <c r="BK77" s="53"/>
      <c r="BL77" s="53"/>
      <c r="BM77" s="53"/>
      <c r="BN77" s="53"/>
      <c r="BO77" s="53"/>
      <c r="BP77" s="53"/>
      <c r="BQ77" s="53"/>
      <c r="BR77" s="53"/>
      <c r="BS77" s="53"/>
      <c r="BT77" s="53"/>
      <c r="BU77" s="53"/>
      <c r="BV77" s="53"/>
      <c r="BW77" s="53"/>
      <c r="BX77" s="53"/>
      <c r="BY77" s="53"/>
      <c r="BZ77" s="53"/>
      <c r="CA77" s="53"/>
      <c r="CB77" s="53"/>
      <c r="CC77" s="53"/>
      <c r="CD77" s="53"/>
      <c r="CE77" s="53"/>
      <c r="CF77" s="53"/>
      <c r="CG77" s="53"/>
      <c r="CH77" s="53"/>
      <c r="CI77" s="53"/>
      <c r="CJ77" s="53"/>
      <c r="CK77" s="53"/>
      <c r="CL77" s="53"/>
      <c r="CM77" s="53"/>
      <c r="CN77" s="53"/>
      <c r="CO77" s="53"/>
      <c r="CP77" s="53"/>
      <c r="CQ77" s="53"/>
      <c r="CR77" s="53"/>
      <c r="CS77" s="53">
        <f t="shared" si="42"/>
        <v>0</v>
      </c>
      <c r="CT77" s="53"/>
      <c r="CU77" s="53"/>
      <c r="CV77" s="53"/>
      <c r="CW77" s="53"/>
      <c r="CX77" s="53"/>
      <c r="CY77" s="53"/>
      <c r="CZ77" s="53"/>
      <c r="DA77" s="53"/>
      <c r="DB77" s="53"/>
      <c r="DC77" s="53"/>
      <c r="DD77" s="53"/>
      <c r="DE77" s="53"/>
      <c r="DF77" s="53"/>
      <c r="DG77" s="53"/>
      <c r="DH77" s="53"/>
      <c r="DI77" s="53"/>
      <c r="DJ77" s="53"/>
      <c r="DK77" s="53"/>
      <c r="DL77" s="53"/>
      <c r="DM77" s="53"/>
      <c r="DN77" s="53"/>
      <c r="DO77" s="53"/>
      <c r="DP77" s="53"/>
      <c r="DQ77" s="53"/>
      <c r="DR77" s="53"/>
      <c r="DS77" s="53"/>
      <c r="DT77" s="53"/>
      <c r="DU77" s="53"/>
      <c r="DV77" s="53"/>
      <c r="DW77" s="53"/>
      <c r="DX77" s="53"/>
      <c r="DY77" s="53"/>
      <c r="DZ77" s="53"/>
      <c r="EA77" s="53"/>
      <c r="EB77" s="53"/>
      <c r="EC77" s="53"/>
      <c r="ED77" s="53"/>
      <c r="EE77" s="53"/>
      <c r="EF77" s="53"/>
      <c r="EG77" s="53"/>
      <c r="EH77" s="53"/>
      <c r="EI77" s="53"/>
      <c r="EJ77" s="53"/>
      <c r="EK77" s="53"/>
      <c r="EL77" s="53"/>
      <c r="EM77" s="53"/>
      <c r="EN77" s="53"/>
      <c r="EO77" s="53"/>
      <c r="EP77" s="130">
        <f>MEDIAN(L77,AD77)</f>
        <v>7408.5</v>
      </c>
      <c r="EQ77" s="130">
        <f>AVERAGE(L77,AD77)</f>
        <v>7408.5</v>
      </c>
      <c r="ER77" s="131">
        <f>STDEV(L77,AD77)</f>
        <v>1284.8130214159569</v>
      </c>
      <c r="ES77" s="137">
        <f t="shared" si="17"/>
        <v>0.173424177824925</v>
      </c>
      <c r="ET77" s="151">
        <f t="shared" si="18"/>
        <v>7409</v>
      </c>
      <c r="EU77" s="150">
        <f t="shared" si="21"/>
        <v>4371310</v>
      </c>
      <c r="EV77" s="148" t="s">
        <v>322</v>
      </c>
      <c r="EW77" s="192"/>
    </row>
    <row r="78" spans="1:153" ht="32.450000000000003" customHeight="1" x14ac:dyDescent="0.25">
      <c r="A78" s="65">
        <v>72</v>
      </c>
      <c r="B78" s="203" t="s">
        <v>606</v>
      </c>
      <c r="C78" s="76" t="s">
        <v>607</v>
      </c>
      <c r="D78" s="77" t="s">
        <v>466</v>
      </c>
      <c r="E78" s="41">
        <v>590</v>
      </c>
      <c r="F78" s="153"/>
      <c r="G78" s="153"/>
      <c r="H78" s="153"/>
      <c r="I78" s="153"/>
      <c r="J78" s="153"/>
      <c r="K78" s="153"/>
      <c r="L78" s="50">
        <v>4500</v>
      </c>
      <c r="M78" s="50">
        <f>+L78*E78</f>
        <v>2655000</v>
      </c>
      <c r="N78" s="50"/>
      <c r="O78" s="50"/>
      <c r="P78" s="50"/>
      <c r="Q78" s="50"/>
      <c r="R78" s="50"/>
      <c r="S78" s="50"/>
      <c r="T78" s="50"/>
      <c r="U78" s="50"/>
      <c r="V78" s="50"/>
      <c r="W78" s="53"/>
      <c r="X78" s="53"/>
      <c r="Y78" s="53"/>
      <c r="Z78" s="53"/>
      <c r="AA78" s="53"/>
      <c r="AB78" s="53"/>
      <c r="AC78" s="53"/>
      <c r="AD78" s="153">
        <v>6318.9</v>
      </c>
      <c r="AE78" s="53">
        <f t="shared" si="41"/>
        <v>3728151</v>
      </c>
      <c r="AF78" s="53"/>
      <c r="AG78" s="53"/>
      <c r="AH78" s="53"/>
      <c r="AI78" s="53"/>
      <c r="AJ78" s="53"/>
      <c r="AK78" s="53"/>
      <c r="AL78" s="53"/>
      <c r="AM78" s="53"/>
      <c r="AN78" s="53"/>
      <c r="AO78" s="53"/>
      <c r="AP78" s="53"/>
      <c r="AQ78" s="53"/>
      <c r="AR78" s="53"/>
      <c r="AS78" s="53"/>
      <c r="AT78" s="53"/>
      <c r="AU78" s="53"/>
      <c r="AV78" s="53"/>
      <c r="AW78" s="53"/>
      <c r="AX78" s="53"/>
      <c r="AY78" s="53"/>
      <c r="AZ78" s="53"/>
      <c r="BA78" s="53"/>
      <c r="BB78" s="53"/>
      <c r="BC78" s="53"/>
      <c r="BD78" s="53"/>
      <c r="BE78" s="53"/>
      <c r="BF78" s="53"/>
      <c r="BG78" s="53"/>
      <c r="BH78" s="53"/>
      <c r="BI78" s="53"/>
      <c r="BJ78" s="53"/>
      <c r="BK78" s="53"/>
      <c r="BL78" s="53"/>
      <c r="BM78" s="53"/>
      <c r="BN78" s="53"/>
      <c r="BO78" s="53"/>
      <c r="BP78" s="53"/>
      <c r="BQ78" s="53"/>
      <c r="BR78" s="53"/>
      <c r="BS78" s="53"/>
      <c r="BT78" s="53"/>
      <c r="BU78" s="53"/>
      <c r="BV78" s="53"/>
      <c r="BW78" s="53"/>
      <c r="BX78" s="53"/>
      <c r="BY78" s="53"/>
      <c r="BZ78" s="53"/>
      <c r="CA78" s="53"/>
      <c r="CB78" s="53"/>
      <c r="CC78" s="53"/>
      <c r="CD78" s="53"/>
      <c r="CE78" s="53"/>
      <c r="CF78" s="53"/>
      <c r="CG78" s="53"/>
      <c r="CH78" s="53"/>
      <c r="CI78" s="53"/>
      <c r="CJ78" s="53"/>
      <c r="CK78" s="53"/>
      <c r="CL78" s="53"/>
      <c r="CM78" s="53"/>
      <c r="CN78" s="53"/>
      <c r="CO78" s="53"/>
      <c r="CP78" s="53"/>
      <c r="CQ78" s="53"/>
      <c r="CR78" s="53"/>
      <c r="CS78" s="53">
        <f t="shared" si="42"/>
        <v>0</v>
      </c>
      <c r="CT78" s="53"/>
      <c r="CU78" s="53"/>
      <c r="CV78" s="53"/>
      <c r="CW78" s="53"/>
      <c r="CX78" s="53"/>
      <c r="CY78" s="53"/>
      <c r="CZ78" s="53"/>
      <c r="DA78" s="53"/>
      <c r="DB78" s="53"/>
      <c r="DC78" s="53"/>
      <c r="DD78" s="53"/>
      <c r="DE78" s="53"/>
      <c r="DF78" s="53"/>
      <c r="DG78" s="53"/>
      <c r="DH78" s="53"/>
      <c r="DI78" s="53"/>
      <c r="DJ78" s="53"/>
      <c r="DK78" s="53"/>
      <c r="DL78" s="53"/>
      <c r="DM78" s="53"/>
      <c r="DN78" s="53"/>
      <c r="DO78" s="53"/>
      <c r="DP78" s="53"/>
      <c r="DQ78" s="53"/>
      <c r="DR78" s="53"/>
      <c r="DS78" s="53"/>
      <c r="DT78" s="53"/>
      <c r="DU78" s="53"/>
      <c r="DV78" s="53"/>
      <c r="DW78" s="53"/>
      <c r="DX78" s="53"/>
      <c r="DY78" s="53"/>
      <c r="DZ78" s="53"/>
      <c r="EA78" s="53"/>
      <c r="EB78" s="53"/>
      <c r="EC78" s="53"/>
      <c r="ED78" s="53"/>
      <c r="EE78" s="53"/>
      <c r="EF78" s="53"/>
      <c r="EG78" s="53"/>
      <c r="EH78" s="53"/>
      <c r="EI78" s="53"/>
      <c r="EJ78" s="53"/>
      <c r="EK78" s="53"/>
      <c r="EL78" s="53"/>
      <c r="EM78" s="53"/>
      <c r="EN78" s="53"/>
      <c r="EO78" s="53"/>
      <c r="EP78" s="130">
        <f>MEDIAN(L78,AD78)</f>
        <v>5409.45</v>
      </c>
      <c r="EQ78" s="130">
        <f>AVERAGE(L78,AD78)</f>
        <v>5409.45</v>
      </c>
      <c r="ER78" s="131">
        <f>STDEV(L78,AD78)</f>
        <v>1286.1565243002101</v>
      </c>
      <c r="ES78" s="137">
        <f t="shared" si="17"/>
        <v>0.23776105228816424</v>
      </c>
      <c r="ET78" s="151">
        <f t="shared" si="18"/>
        <v>5410</v>
      </c>
      <c r="EU78" s="150">
        <f t="shared" si="21"/>
        <v>3191900</v>
      </c>
      <c r="EV78" s="148" t="s">
        <v>322</v>
      </c>
      <c r="EW78" s="192"/>
    </row>
    <row r="79" spans="1:153" ht="32.450000000000003" customHeight="1" x14ac:dyDescent="0.25">
      <c r="A79" s="65">
        <v>73</v>
      </c>
      <c r="B79" s="203" t="s">
        <v>608</v>
      </c>
      <c r="C79" s="76" t="s">
        <v>609</v>
      </c>
      <c r="D79" s="77" t="s">
        <v>466</v>
      </c>
      <c r="E79" s="41">
        <v>590</v>
      </c>
      <c r="F79" s="153"/>
      <c r="G79" s="153"/>
      <c r="H79" s="153"/>
      <c r="I79" s="153"/>
      <c r="J79" s="153"/>
      <c r="K79" s="153"/>
      <c r="L79" s="50"/>
      <c r="M79" s="50"/>
      <c r="N79" s="50"/>
      <c r="O79" s="50"/>
      <c r="P79" s="50"/>
      <c r="Q79" s="50"/>
      <c r="R79" s="50"/>
      <c r="S79" s="50"/>
      <c r="T79" s="50"/>
      <c r="U79" s="50"/>
      <c r="V79" s="50"/>
      <c r="W79" s="53"/>
      <c r="X79" s="53"/>
      <c r="Y79" s="53"/>
      <c r="Z79" s="53"/>
      <c r="AA79" s="53"/>
      <c r="AB79" s="53"/>
      <c r="AC79" s="53"/>
      <c r="AD79" s="153">
        <v>22467.200000000001</v>
      </c>
      <c r="AE79" s="53">
        <f t="shared" si="41"/>
        <v>13255648</v>
      </c>
      <c r="AF79" s="53"/>
      <c r="AG79" s="53"/>
      <c r="AH79" s="53"/>
      <c r="AI79" s="53"/>
      <c r="AJ79" s="53"/>
      <c r="AK79" s="53"/>
      <c r="AL79" s="53"/>
      <c r="AM79" s="53"/>
      <c r="AN79" s="53"/>
      <c r="AO79" s="53"/>
      <c r="AP79" s="53"/>
      <c r="AQ79" s="53"/>
      <c r="AR79" s="53"/>
      <c r="AS79" s="53"/>
      <c r="AT79" s="53"/>
      <c r="AU79" s="53"/>
      <c r="AV79" s="53"/>
      <c r="AW79" s="53"/>
      <c r="AX79" s="53"/>
      <c r="AY79" s="53"/>
      <c r="AZ79" s="53"/>
      <c r="BA79" s="53"/>
      <c r="BB79" s="53"/>
      <c r="BC79" s="53"/>
      <c r="BD79" s="53"/>
      <c r="BE79" s="53"/>
      <c r="BF79" s="53"/>
      <c r="BG79" s="53"/>
      <c r="BH79" s="53"/>
      <c r="BI79" s="53"/>
      <c r="BJ79" s="53"/>
      <c r="BK79" s="53"/>
      <c r="BL79" s="53"/>
      <c r="BM79" s="53"/>
      <c r="BN79" s="53"/>
      <c r="BO79" s="53"/>
      <c r="BP79" s="53"/>
      <c r="BQ79" s="53"/>
      <c r="BR79" s="53"/>
      <c r="BS79" s="53"/>
      <c r="BT79" s="53"/>
      <c r="BU79" s="53"/>
      <c r="BV79" s="53"/>
      <c r="BW79" s="53"/>
      <c r="BX79" s="53"/>
      <c r="BY79" s="53"/>
      <c r="BZ79" s="53"/>
      <c r="CA79" s="53"/>
      <c r="CB79" s="53"/>
      <c r="CC79" s="53"/>
      <c r="CD79" s="53"/>
      <c r="CE79" s="53"/>
      <c r="CF79" s="53"/>
      <c r="CG79" s="53"/>
      <c r="CH79" s="53"/>
      <c r="CI79" s="53"/>
      <c r="CJ79" s="53"/>
      <c r="CK79" s="53"/>
      <c r="CL79" s="53"/>
      <c r="CM79" s="53"/>
      <c r="CN79" s="53"/>
      <c r="CO79" s="53"/>
      <c r="CP79" s="53"/>
      <c r="CQ79" s="53"/>
      <c r="CR79" s="53">
        <v>20000</v>
      </c>
      <c r="CS79" s="53">
        <f t="shared" si="42"/>
        <v>11800000</v>
      </c>
      <c r="CT79" s="53"/>
      <c r="CU79" s="53"/>
      <c r="CV79" s="53"/>
      <c r="CW79" s="53"/>
      <c r="CX79" s="53"/>
      <c r="CY79" s="53"/>
      <c r="CZ79" s="53"/>
      <c r="DA79" s="53"/>
      <c r="DB79" s="53"/>
      <c r="DC79" s="53"/>
      <c r="DD79" s="53"/>
      <c r="DE79" s="53"/>
      <c r="DF79" s="53"/>
      <c r="DG79" s="53"/>
      <c r="DH79" s="53"/>
      <c r="DI79" s="53"/>
      <c r="DJ79" s="53"/>
      <c r="DK79" s="53"/>
      <c r="DL79" s="53"/>
      <c r="DM79" s="53"/>
      <c r="DN79" s="53"/>
      <c r="DO79" s="53"/>
      <c r="DP79" s="53"/>
      <c r="DQ79" s="53"/>
      <c r="DR79" s="53"/>
      <c r="DS79" s="53"/>
      <c r="DT79" s="53"/>
      <c r="DU79" s="53"/>
      <c r="DV79" s="53"/>
      <c r="DW79" s="53"/>
      <c r="DX79" s="53"/>
      <c r="DY79" s="53"/>
      <c r="DZ79" s="53"/>
      <c r="EA79" s="53"/>
      <c r="EB79" s="53"/>
      <c r="EC79" s="53"/>
      <c r="ED79" s="53"/>
      <c r="EE79" s="53"/>
      <c r="EF79" s="53"/>
      <c r="EG79" s="53"/>
      <c r="EH79" s="53"/>
      <c r="EI79" s="53"/>
      <c r="EJ79" s="53"/>
      <c r="EK79" s="53"/>
      <c r="EL79" s="53"/>
      <c r="EM79" s="53"/>
      <c r="EN79" s="53"/>
      <c r="EO79" s="53"/>
      <c r="EP79" s="130">
        <f>MEDIAN(AD79,CR79)</f>
        <v>21233.599999999999</v>
      </c>
      <c r="EQ79" s="130">
        <f>AVERAGE(AD79,CR79)</f>
        <v>21233.599999999999</v>
      </c>
      <c r="ER79" s="131">
        <f>STDEV(AD79,CR79)</f>
        <v>1744.5738505434506</v>
      </c>
      <c r="ES79" s="137">
        <f t="shared" si="17"/>
        <v>8.2161001928238775E-2</v>
      </c>
      <c r="ET79" s="151">
        <f t="shared" si="18"/>
        <v>21234</v>
      </c>
      <c r="EU79" s="150">
        <f t="shared" si="21"/>
        <v>12528060</v>
      </c>
      <c r="EV79" s="148" t="s">
        <v>319</v>
      </c>
      <c r="EW79" s="192"/>
    </row>
    <row r="80" spans="1:153" ht="32.450000000000003" customHeight="1" x14ac:dyDescent="0.25">
      <c r="A80" s="65">
        <v>74</v>
      </c>
      <c r="B80" s="41" t="s">
        <v>805</v>
      </c>
      <c r="C80" s="76" t="s">
        <v>610</v>
      </c>
      <c r="D80" s="77" t="s">
        <v>493</v>
      </c>
      <c r="E80" s="41">
        <v>1</v>
      </c>
      <c r="F80" s="153"/>
      <c r="G80" s="153"/>
      <c r="H80" s="153"/>
      <c r="I80" s="153"/>
      <c r="J80" s="153"/>
      <c r="K80" s="153"/>
      <c r="L80" s="50"/>
      <c r="M80" s="50"/>
      <c r="N80" s="50"/>
      <c r="O80" s="50"/>
      <c r="P80" s="50"/>
      <c r="Q80" s="50"/>
      <c r="R80" s="50"/>
      <c r="S80" s="50"/>
      <c r="T80" s="50"/>
      <c r="U80" s="50"/>
      <c r="V80" s="50"/>
      <c r="W80" s="53"/>
      <c r="X80" s="53"/>
      <c r="Y80" s="53"/>
      <c r="Z80" s="53"/>
      <c r="AA80" s="53"/>
      <c r="AB80" s="53"/>
      <c r="AC80" s="53"/>
      <c r="AD80" s="153">
        <v>11472.314</v>
      </c>
      <c r="AE80" s="53">
        <f>+AD80*E80</f>
        <v>11472.314</v>
      </c>
      <c r="AF80" s="53"/>
      <c r="AG80" s="53"/>
      <c r="AH80" s="53"/>
      <c r="AI80" s="53"/>
      <c r="AJ80" s="53"/>
      <c r="AK80" s="53"/>
      <c r="AL80" s="53"/>
      <c r="AM80" s="53"/>
      <c r="AN80" s="53"/>
      <c r="AO80" s="53"/>
      <c r="AP80" s="53"/>
      <c r="AQ80" s="53"/>
      <c r="AR80" s="53"/>
      <c r="AS80" s="53"/>
      <c r="AT80" s="53"/>
      <c r="AU80" s="53"/>
      <c r="AV80" s="53"/>
      <c r="AW80" s="53"/>
      <c r="AX80" s="53"/>
      <c r="AY80" s="53"/>
      <c r="AZ80" s="53"/>
      <c r="BA80" s="53"/>
      <c r="BB80" s="53"/>
      <c r="BC80" s="53"/>
      <c r="BD80" s="53"/>
      <c r="BE80" s="53"/>
      <c r="BF80" s="53"/>
      <c r="BG80" s="53"/>
      <c r="BH80" s="53"/>
      <c r="BI80" s="53"/>
      <c r="BJ80" s="53"/>
      <c r="BK80" s="53"/>
      <c r="BL80" s="53"/>
      <c r="BM80" s="53"/>
      <c r="BN80" s="53"/>
      <c r="BO80" s="53"/>
      <c r="BP80" s="53"/>
      <c r="BQ80" s="53"/>
      <c r="BR80" s="53"/>
      <c r="BS80" s="53"/>
      <c r="BT80" s="53"/>
      <c r="BU80" s="53"/>
      <c r="BV80" s="53"/>
      <c r="BW80" s="53"/>
      <c r="BX80" s="53"/>
      <c r="BY80" s="53"/>
      <c r="BZ80" s="53"/>
      <c r="CA80" s="53"/>
      <c r="CB80" s="53"/>
      <c r="CC80" s="53"/>
      <c r="CD80" s="53"/>
      <c r="CE80" s="53"/>
      <c r="CF80" s="53"/>
      <c r="CG80" s="53"/>
      <c r="CH80" s="53"/>
      <c r="CI80" s="53"/>
      <c r="CJ80" s="53"/>
      <c r="CK80" s="53"/>
      <c r="CL80" s="53"/>
      <c r="CM80" s="53"/>
      <c r="CN80" s="53"/>
      <c r="CO80" s="53"/>
      <c r="CP80" s="53"/>
      <c r="CQ80" s="53"/>
      <c r="CR80" s="53">
        <v>12348</v>
      </c>
      <c r="CS80" s="53">
        <f t="shared" si="42"/>
        <v>12348</v>
      </c>
      <c r="CT80" s="53"/>
      <c r="CU80" s="53"/>
      <c r="CV80" s="53"/>
      <c r="CW80" s="53"/>
      <c r="CX80" s="53"/>
      <c r="CY80" s="53"/>
      <c r="CZ80" s="53"/>
      <c r="DA80" s="53"/>
      <c r="DB80" s="53"/>
      <c r="DC80" s="53"/>
      <c r="DD80" s="53"/>
      <c r="DE80" s="53"/>
      <c r="DF80" s="53"/>
      <c r="DG80" s="53"/>
      <c r="DH80" s="53"/>
      <c r="DI80" s="53"/>
      <c r="DJ80" s="53"/>
      <c r="DK80" s="53"/>
      <c r="DL80" s="53"/>
      <c r="DM80" s="53"/>
      <c r="DN80" s="53"/>
      <c r="DO80" s="53"/>
      <c r="DP80" s="53"/>
      <c r="DQ80" s="53"/>
      <c r="DR80" s="53"/>
      <c r="DS80" s="53"/>
      <c r="DT80" s="53"/>
      <c r="DU80" s="53"/>
      <c r="DV80" s="53"/>
      <c r="DW80" s="53"/>
      <c r="DX80" s="53"/>
      <c r="DY80" s="53"/>
      <c r="DZ80" s="53"/>
      <c r="EA80" s="53"/>
      <c r="EB80" s="53"/>
      <c r="EC80" s="53"/>
      <c r="ED80" s="53"/>
      <c r="EE80" s="53"/>
      <c r="EF80" s="53"/>
      <c r="EG80" s="53"/>
      <c r="EH80" s="53"/>
      <c r="EI80" s="53"/>
      <c r="EJ80" s="53"/>
      <c r="EK80" s="53"/>
      <c r="EL80" s="53"/>
      <c r="EM80" s="53"/>
      <c r="EN80" s="53"/>
      <c r="EO80" s="53"/>
      <c r="EP80" s="130">
        <f>MEDIAN(AD80,CR80)</f>
        <v>11910.156999999999</v>
      </c>
      <c r="EQ80" s="130">
        <f>AVERAGE(AD80,CR80)</f>
        <v>11910.156999999999</v>
      </c>
      <c r="ER80" s="131">
        <f>STDEV(AD80,CR80)</f>
        <v>619.20350879012278</v>
      </c>
      <c r="ES80" s="137">
        <f t="shared" si="17"/>
        <v>5.1989533705569357E-2</v>
      </c>
      <c r="ET80" s="151">
        <f t="shared" si="18"/>
        <v>11911</v>
      </c>
      <c r="EU80" s="150">
        <f t="shared" si="21"/>
        <v>11911</v>
      </c>
      <c r="EV80" s="148" t="s">
        <v>319</v>
      </c>
      <c r="EW80" s="192"/>
    </row>
    <row r="81" spans="1:153" ht="32.450000000000003" customHeight="1" x14ac:dyDescent="0.25">
      <c r="A81" s="65">
        <v>75</v>
      </c>
      <c r="B81" s="203" t="s">
        <v>170</v>
      </c>
      <c r="C81" s="76" t="s">
        <v>611</v>
      </c>
      <c r="D81" s="77" t="s">
        <v>466</v>
      </c>
      <c r="E81" s="41">
        <v>590</v>
      </c>
      <c r="F81" s="153"/>
      <c r="G81" s="153"/>
      <c r="H81" s="153"/>
      <c r="I81" s="153"/>
      <c r="J81" s="153"/>
      <c r="K81" s="153"/>
      <c r="L81" s="50"/>
      <c r="M81" s="50"/>
      <c r="N81" s="50"/>
      <c r="O81" s="50"/>
      <c r="P81" s="50"/>
      <c r="Q81" s="50"/>
      <c r="R81" s="50"/>
      <c r="S81" s="50"/>
      <c r="T81" s="50"/>
      <c r="U81" s="50"/>
      <c r="V81" s="50"/>
      <c r="W81" s="53"/>
      <c r="X81" s="53"/>
      <c r="Y81" s="53"/>
      <c r="Z81" s="53"/>
      <c r="AA81" s="53"/>
      <c r="AB81" s="53"/>
      <c r="AC81" s="53"/>
      <c r="AD81" s="153">
        <v>9408.14</v>
      </c>
      <c r="AE81" s="53">
        <f t="shared" ref="AE81:AE84" si="43">+AD81*E81</f>
        <v>5550802.5999999996</v>
      </c>
      <c r="AF81" s="53"/>
      <c r="AG81" s="53"/>
      <c r="AH81" s="53"/>
      <c r="AI81" s="53"/>
      <c r="AJ81" s="53"/>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c r="BJ81" s="53"/>
      <c r="BK81" s="53"/>
      <c r="BL81" s="53"/>
      <c r="BM81" s="53"/>
      <c r="BN81" s="53"/>
      <c r="BO81" s="53"/>
      <c r="BP81" s="53"/>
      <c r="BQ81" s="53"/>
      <c r="BR81" s="53"/>
      <c r="BS81" s="53"/>
      <c r="BT81" s="53"/>
      <c r="BU81" s="53"/>
      <c r="BV81" s="53"/>
      <c r="BW81" s="53"/>
      <c r="BX81" s="53"/>
      <c r="BY81" s="53"/>
      <c r="BZ81" s="53"/>
      <c r="CA81" s="53"/>
      <c r="CB81" s="53"/>
      <c r="CC81" s="53"/>
      <c r="CD81" s="53"/>
      <c r="CE81" s="53"/>
      <c r="CF81" s="53"/>
      <c r="CG81" s="53"/>
      <c r="CH81" s="53"/>
      <c r="CI81" s="53"/>
      <c r="CJ81" s="53"/>
      <c r="CK81" s="53"/>
      <c r="CL81" s="53"/>
      <c r="CM81" s="53"/>
      <c r="CN81" s="53"/>
      <c r="CO81" s="53"/>
      <c r="CP81" s="53"/>
      <c r="CQ81" s="53"/>
      <c r="CR81" s="53"/>
      <c r="CS81" s="53">
        <f t="shared" si="42"/>
        <v>0</v>
      </c>
      <c r="CT81" s="50">
        <v>4202</v>
      </c>
      <c r="CU81" s="50">
        <v>3200</v>
      </c>
      <c r="CV81" s="50">
        <v>3415</v>
      </c>
      <c r="CW81" s="53">
        <f>+CV81*E81</f>
        <v>2014850</v>
      </c>
      <c r="CX81" s="53"/>
      <c r="CY81" s="53"/>
      <c r="CZ81" s="53"/>
      <c r="DA81" s="53"/>
      <c r="DB81" s="53"/>
      <c r="DC81" s="53"/>
      <c r="DD81" s="53"/>
      <c r="DE81" s="53"/>
      <c r="DF81" s="53"/>
      <c r="DG81" s="53"/>
      <c r="DH81" s="53"/>
      <c r="DI81" s="53"/>
      <c r="DJ81" s="53"/>
      <c r="DK81" s="53"/>
      <c r="DL81" s="53"/>
      <c r="DM81" s="53"/>
      <c r="DN81" s="53"/>
      <c r="DO81" s="53"/>
      <c r="DP81" s="53"/>
      <c r="DQ81" s="53"/>
      <c r="DR81" s="53"/>
      <c r="DS81" s="53"/>
      <c r="DT81" s="53"/>
      <c r="DU81" s="53"/>
      <c r="DV81" s="53"/>
      <c r="DW81" s="53"/>
      <c r="DX81" s="53"/>
      <c r="DY81" s="53"/>
      <c r="DZ81" s="53"/>
      <c r="EA81" s="53"/>
      <c r="EB81" s="53"/>
      <c r="EC81" s="53"/>
      <c r="ED81" s="53"/>
      <c r="EE81" s="53"/>
      <c r="EF81" s="53"/>
      <c r="EG81" s="53"/>
      <c r="EH81" s="53"/>
      <c r="EI81" s="53"/>
      <c r="EJ81" s="53"/>
      <c r="EK81" s="53"/>
      <c r="EL81" s="53"/>
      <c r="EM81" s="53"/>
      <c r="EN81" s="53"/>
      <c r="EO81" s="53"/>
      <c r="EP81" s="130">
        <f>MEDIAN(CT81,CU81,CV81)</f>
        <v>3415</v>
      </c>
      <c r="EQ81" s="130">
        <f>AVERAGE(CT81,CU81,CV81)</f>
        <v>3605.6666666666665</v>
      </c>
      <c r="ER81" s="131">
        <f>STDEV(CT81,CU81,CV81)</f>
        <v>527.50955757534109</v>
      </c>
      <c r="ES81" s="137">
        <f t="shared" si="17"/>
        <v>0.14630014539391914</v>
      </c>
      <c r="ET81" s="151">
        <f t="shared" si="18"/>
        <v>3606</v>
      </c>
      <c r="EU81" s="150">
        <f t="shared" si="21"/>
        <v>2127540</v>
      </c>
      <c r="EV81" s="148" t="s">
        <v>319</v>
      </c>
      <c r="EW81" s="192"/>
    </row>
    <row r="82" spans="1:153" ht="32.450000000000003" customHeight="1" x14ac:dyDescent="0.25">
      <c r="A82" s="65">
        <v>76</v>
      </c>
      <c r="B82" s="203" t="s">
        <v>612</v>
      </c>
      <c r="C82" s="76" t="s">
        <v>613</v>
      </c>
      <c r="D82" s="77" t="s">
        <v>493</v>
      </c>
      <c r="E82" s="41">
        <v>90</v>
      </c>
      <c r="F82" s="153"/>
      <c r="G82" s="153"/>
      <c r="H82" s="153"/>
      <c r="I82" s="153"/>
      <c r="J82" s="153"/>
      <c r="K82" s="153"/>
      <c r="L82" s="50">
        <v>7500</v>
      </c>
      <c r="M82" s="50">
        <f>+L82*E82</f>
        <v>675000</v>
      </c>
      <c r="N82" s="50"/>
      <c r="O82" s="50"/>
      <c r="P82" s="50"/>
      <c r="Q82" s="50"/>
      <c r="R82" s="50"/>
      <c r="S82" s="50"/>
      <c r="T82" s="50"/>
      <c r="U82" s="50"/>
      <c r="V82" s="50"/>
      <c r="W82" s="53"/>
      <c r="X82" s="53"/>
      <c r="Y82" s="53"/>
      <c r="Z82" s="53"/>
      <c r="AA82" s="53"/>
      <c r="AB82" s="53"/>
      <c r="AC82" s="53"/>
      <c r="AD82" s="153">
        <v>9688.98</v>
      </c>
      <c r="AE82" s="53">
        <f t="shared" si="43"/>
        <v>872008.2</v>
      </c>
      <c r="AF82" s="53"/>
      <c r="AG82" s="53"/>
      <c r="AH82" s="53"/>
      <c r="AI82" s="53"/>
      <c r="AJ82" s="53"/>
      <c r="AK82" s="53"/>
      <c r="AL82" s="53"/>
      <c r="AM82" s="53"/>
      <c r="AN82" s="53"/>
      <c r="AO82" s="53"/>
      <c r="AP82" s="53"/>
      <c r="AQ82" s="53"/>
      <c r="AR82" s="53"/>
      <c r="AS82" s="53"/>
      <c r="AT82" s="53"/>
      <c r="AU82" s="53"/>
      <c r="AV82" s="53"/>
      <c r="AW82" s="53"/>
      <c r="AX82" s="53"/>
      <c r="AY82" s="53"/>
      <c r="AZ82" s="53"/>
      <c r="BA82" s="53"/>
      <c r="BB82" s="53"/>
      <c r="BC82" s="53"/>
      <c r="BD82" s="53"/>
      <c r="BE82" s="53"/>
      <c r="BF82" s="53"/>
      <c r="BG82" s="53"/>
      <c r="BH82" s="53"/>
      <c r="BI82" s="53"/>
      <c r="BJ82" s="53"/>
      <c r="BK82" s="53"/>
      <c r="BL82" s="53"/>
      <c r="BM82" s="53"/>
      <c r="BN82" s="53"/>
      <c r="BO82" s="53"/>
      <c r="BP82" s="53"/>
      <c r="BQ82" s="53"/>
      <c r="BR82" s="53"/>
      <c r="BS82" s="53"/>
      <c r="BT82" s="53"/>
      <c r="BU82" s="53"/>
      <c r="BV82" s="53"/>
      <c r="BW82" s="53"/>
      <c r="BX82" s="53"/>
      <c r="BY82" s="53"/>
      <c r="BZ82" s="53"/>
      <c r="CA82" s="53"/>
      <c r="CB82" s="53"/>
      <c r="CC82" s="53"/>
      <c r="CD82" s="53"/>
      <c r="CE82" s="53"/>
      <c r="CF82" s="53"/>
      <c r="CG82" s="53"/>
      <c r="CH82" s="53"/>
      <c r="CI82" s="53"/>
      <c r="CJ82" s="53"/>
      <c r="CK82" s="53"/>
      <c r="CL82" s="53"/>
      <c r="CM82" s="53"/>
      <c r="CN82" s="53"/>
      <c r="CO82" s="53"/>
      <c r="CP82" s="53"/>
      <c r="CQ82" s="53"/>
      <c r="CR82" s="53"/>
      <c r="CS82" s="53">
        <f t="shared" si="42"/>
        <v>0</v>
      </c>
      <c r="CT82" s="53"/>
      <c r="CU82" s="53"/>
      <c r="CV82" s="53"/>
      <c r="CW82" s="53"/>
      <c r="CX82" s="53"/>
      <c r="CY82" s="53"/>
      <c r="CZ82" s="53"/>
      <c r="DA82" s="53"/>
      <c r="DB82" s="53"/>
      <c r="DC82" s="53"/>
      <c r="DD82" s="53"/>
      <c r="DE82" s="53"/>
      <c r="DF82" s="53"/>
      <c r="DG82" s="53"/>
      <c r="DH82" s="53"/>
      <c r="DI82" s="53"/>
      <c r="DJ82" s="53"/>
      <c r="DK82" s="53"/>
      <c r="DL82" s="53"/>
      <c r="DM82" s="53"/>
      <c r="DN82" s="53"/>
      <c r="DO82" s="53"/>
      <c r="DP82" s="53"/>
      <c r="DQ82" s="53"/>
      <c r="DR82" s="53"/>
      <c r="DS82" s="53"/>
      <c r="DT82" s="53"/>
      <c r="DU82" s="53"/>
      <c r="DV82" s="53"/>
      <c r="DW82" s="53"/>
      <c r="DX82" s="53"/>
      <c r="DY82" s="53"/>
      <c r="DZ82" s="53"/>
      <c r="EA82" s="53"/>
      <c r="EB82" s="53"/>
      <c r="EC82" s="53"/>
      <c r="ED82" s="53"/>
      <c r="EE82" s="53"/>
      <c r="EF82" s="53"/>
      <c r="EG82" s="53"/>
      <c r="EH82" s="53"/>
      <c r="EI82" s="53"/>
      <c r="EJ82" s="53"/>
      <c r="EK82" s="53"/>
      <c r="EL82" s="53"/>
      <c r="EM82" s="53"/>
      <c r="EN82" s="53"/>
      <c r="EO82" s="53"/>
      <c r="EP82" s="130">
        <f>MEDIAN(L82,AD82)</f>
        <v>8594.49</v>
      </c>
      <c r="EQ82" s="130">
        <f>AVERAGE(L82,AD82)</f>
        <v>8594.49</v>
      </c>
      <c r="ER82" s="131">
        <f>STDEV(L82,AD82)</f>
        <v>1547.8426018817295</v>
      </c>
      <c r="ES82" s="137">
        <f t="shared" si="17"/>
        <v>0.1800970856771873</v>
      </c>
      <c r="ET82" s="151">
        <f t="shared" si="18"/>
        <v>8595</v>
      </c>
      <c r="EU82" s="150">
        <f t="shared" si="21"/>
        <v>773550</v>
      </c>
      <c r="EV82" s="148" t="s">
        <v>322</v>
      </c>
      <c r="EW82" s="192"/>
    </row>
    <row r="83" spans="1:153" ht="32.450000000000003" customHeight="1" x14ac:dyDescent="0.25">
      <c r="A83" s="65">
        <v>77</v>
      </c>
      <c r="B83" s="203" t="s">
        <v>614</v>
      </c>
      <c r="C83" s="76" t="s">
        <v>615</v>
      </c>
      <c r="D83" s="77" t="s">
        <v>493</v>
      </c>
      <c r="E83" s="41">
        <v>80</v>
      </c>
      <c r="F83" s="153"/>
      <c r="G83" s="153"/>
      <c r="H83" s="153"/>
      <c r="I83" s="153"/>
      <c r="J83" s="153"/>
      <c r="K83" s="153"/>
      <c r="L83" s="50"/>
      <c r="M83" s="50">
        <f t="shared" ref="M83:M92" si="44">+L83*E83</f>
        <v>0</v>
      </c>
      <c r="N83" s="50"/>
      <c r="O83" s="50"/>
      <c r="P83" s="50"/>
      <c r="Q83" s="50"/>
      <c r="R83" s="50"/>
      <c r="S83" s="50"/>
      <c r="T83" s="50"/>
      <c r="U83" s="50"/>
      <c r="V83" s="50"/>
      <c r="W83" s="53"/>
      <c r="X83" s="53"/>
      <c r="Y83" s="53"/>
      <c r="Z83" s="53"/>
      <c r="AA83" s="53"/>
      <c r="AB83" s="53"/>
      <c r="AC83" s="53"/>
      <c r="AD83" s="153">
        <v>14298.968599999998</v>
      </c>
      <c r="AE83" s="53">
        <f t="shared" si="43"/>
        <v>1143917.4879999999</v>
      </c>
      <c r="AF83" s="53"/>
      <c r="AG83" s="53"/>
      <c r="AH83" s="53"/>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53"/>
      <c r="BY83" s="53"/>
      <c r="BZ83" s="53"/>
      <c r="CA83" s="53"/>
      <c r="CB83" s="53"/>
      <c r="CC83" s="53"/>
      <c r="CD83" s="53"/>
      <c r="CE83" s="53"/>
      <c r="CF83" s="53"/>
      <c r="CG83" s="53"/>
      <c r="CH83" s="53"/>
      <c r="CI83" s="53"/>
      <c r="CJ83" s="53"/>
      <c r="CK83" s="53"/>
      <c r="CL83" s="53"/>
      <c r="CM83" s="53"/>
      <c r="CN83" s="53"/>
      <c r="CO83" s="53"/>
      <c r="CP83" s="53"/>
      <c r="CQ83" s="53"/>
      <c r="CR83" s="53">
        <v>19278</v>
      </c>
      <c r="CS83" s="53">
        <f t="shared" si="42"/>
        <v>1542240</v>
      </c>
      <c r="CT83" s="53"/>
      <c r="CU83" s="53"/>
      <c r="CV83" s="53"/>
      <c r="CW83" s="53"/>
      <c r="CX83" s="53"/>
      <c r="CY83" s="53"/>
      <c r="CZ83" s="53"/>
      <c r="DA83" s="53"/>
      <c r="DB83" s="53"/>
      <c r="DC83" s="53"/>
      <c r="DD83" s="53"/>
      <c r="DE83" s="53"/>
      <c r="DF83" s="53"/>
      <c r="DG83" s="53"/>
      <c r="DH83" s="53"/>
      <c r="DI83" s="53"/>
      <c r="DJ83" s="53"/>
      <c r="DK83" s="53"/>
      <c r="DL83" s="53"/>
      <c r="DM83" s="53"/>
      <c r="DN83" s="53"/>
      <c r="DO83" s="53"/>
      <c r="DP83" s="53"/>
      <c r="DQ83" s="53"/>
      <c r="DR83" s="53"/>
      <c r="DS83" s="53"/>
      <c r="DT83" s="53"/>
      <c r="DU83" s="53"/>
      <c r="DV83" s="53"/>
      <c r="DW83" s="53"/>
      <c r="DX83" s="53"/>
      <c r="DY83" s="53"/>
      <c r="DZ83" s="53"/>
      <c r="EA83" s="53"/>
      <c r="EB83" s="53"/>
      <c r="EC83" s="53"/>
      <c r="ED83" s="53"/>
      <c r="EE83" s="53"/>
      <c r="EF83" s="53"/>
      <c r="EG83" s="53"/>
      <c r="EH83" s="53"/>
      <c r="EI83" s="53"/>
      <c r="EJ83" s="53"/>
      <c r="EK83" s="53"/>
      <c r="EL83" s="53"/>
      <c r="EM83" s="53"/>
      <c r="EN83" s="53"/>
      <c r="EO83" s="53"/>
      <c r="EP83" s="130">
        <f>MEDIAN(AD83,CR83)</f>
        <v>16788.4843</v>
      </c>
      <c r="EQ83" s="130">
        <f>AVERAGE(AD83,CR83)</f>
        <v>16788.4843</v>
      </c>
      <c r="ER83" s="131">
        <f>STDEV(AD83,CR83)</f>
        <v>3520.7068666807445</v>
      </c>
      <c r="ES83" s="137">
        <f t="shared" si="17"/>
        <v>0.20970963213640104</v>
      </c>
      <c r="ET83" s="151">
        <f t="shared" si="18"/>
        <v>16789</v>
      </c>
      <c r="EU83" s="150">
        <f t="shared" si="21"/>
        <v>1343120</v>
      </c>
      <c r="EV83" s="148" t="s">
        <v>322</v>
      </c>
      <c r="EW83" s="192"/>
    </row>
    <row r="84" spans="1:153" ht="32.450000000000003" customHeight="1" x14ac:dyDescent="0.25">
      <c r="A84" s="65">
        <v>78</v>
      </c>
      <c r="B84" s="203" t="s">
        <v>616</v>
      </c>
      <c r="C84" s="76" t="s">
        <v>617</v>
      </c>
      <c r="D84" s="77" t="s">
        <v>466</v>
      </c>
      <c r="E84" s="41">
        <v>310</v>
      </c>
      <c r="F84" s="153"/>
      <c r="G84" s="153"/>
      <c r="H84" s="153"/>
      <c r="I84" s="153"/>
      <c r="J84" s="153"/>
      <c r="K84" s="153"/>
      <c r="L84" s="50">
        <v>45000</v>
      </c>
      <c r="M84" s="50">
        <f t="shared" si="44"/>
        <v>13950000</v>
      </c>
      <c r="N84" s="50"/>
      <c r="O84" s="50"/>
      <c r="P84" s="50"/>
      <c r="Q84" s="50"/>
      <c r="R84" s="50"/>
      <c r="S84" s="50"/>
      <c r="T84" s="50"/>
      <c r="U84" s="50"/>
      <c r="V84" s="50"/>
      <c r="W84" s="53"/>
      <c r="X84" s="53"/>
      <c r="Y84" s="53"/>
      <c r="Z84" s="53"/>
      <c r="AA84" s="53"/>
      <c r="AB84" s="53"/>
      <c r="AC84" s="53"/>
      <c r="AD84" s="153">
        <v>41985.58</v>
      </c>
      <c r="AE84" s="53">
        <f t="shared" si="43"/>
        <v>13015529.800000001</v>
      </c>
      <c r="AF84" s="53"/>
      <c r="AG84" s="53"/>
      <c r="AH84" s="53"/>
      <c r="AI84" s="53"/>
      <c r="AJ84" s="53"/>
      <c r="AK84" s="53"/>
      <c r="AL84" s="53"/>
      <c r="AM84" s="53"/>
      <c r="AN84" s="53"/>
      <c r="AO84" s="53"/>
      <c r="AP84" s="53"/>
      <c r="AQ84" s="53"/>
      <c r="AR84" s="53"/>
      <c r="AS84" s="53"/>
      <c r="AT84" s="53"/>
      <c r="AU84" s="53"/>
      <c r="AV84" s="53"/>
      <c r="AW84" s="53"/>
      <c r="AX84" s="53"/>
      <c r="AY84" s="53"/>
      <c r="AZ84" s="53"/>
      <c r="BA84" s="53"/>
      <c r="BB84" s="53"/>
      <c r="BC84" s="53"/>
      <c r="BD84" s="53"/>
      <c r="BE84" s="53"/>
      <c r="BF84" s="53"/>
      <c r="BG84" s="53"/>
      <c r="BH84" s="53"/>
      <c r="BI84" s="53"/>
      <c r="BJ84" s="53"/>
      <c r="BK84" s="53"/>
      <c r="BL84" s="53"/>
      <c r="BM84" s="53"/>
      <c r="BN84" s="53"/>
      <c r="BO84" s="53"/>
      <c r="BP84" s="53"/>
      <c r="BQ84" s="53"/>
      <c r="BR84" s="53"/>
      <c r="BS84" s="53"/>
      <c r="BT84" s="53"/>
      <c r="BU84" s="53"/>
      <c r="BV84" s="53"/>
      <c r="BW84" s="53"/>
      <c r="BX84" s="53"/>
      <c r="BY84" s="53"/>
      <c r="BZ84" s="53"/>
      <c r="CA84" s="53"/>
      <c r="CB84" s="53"/>
      <c r="CC84" s="53"/>
      <c r="CD84" s="53"/>
      <c r="CE84" s="53"/>
      <c r="CF84" s="53"/>
      <c r="CG84" s="53"/>
      <c r="CH84" s="53"/>
      <c r="CI84" s="53"/>
      <c r="CJ84" s="53"/>
      <c r="CK84" s="53"/>
      <c r="CL84" s="53"/>
      <c r="CM84" s="53"/>
      <c r="CN84" s="53"/>
      <c r="CO84" s="53"/>
      <c r="CP84" s="53"/>
      <c r="CQ84" s="53"/>
      <c r="CR84" s="53"/>
      <c r="CS84" s="53"/>
      <c r="CT84" s="53"/>
      <c r="CU84" s="53"/>
      <c r="CV84" s="53"/>
      <c r="CW84" s="53"/>
      <c r="CX84" s="53"/>
      <c r="CY84" s="53"/>
      <c r="CZ84" s="53"/>
      <c r="DA84" s="53"/>
      <c r="DB84" s="53"/>
      <c r="DC84" s="53"/>
      <c r="DD84" s="53"/>
      <c r="DE84" s="53"/>
      <c r="DF84" s="53"/>
      <c r="DG84" s="53"/>
      <c r="DH84" s="53"/>
      <c r="DI84" s="53"/>
      <c r="DJ84" s="53"/>
      <c r="DK84" s="53"/>
      <c r="DL84" s="53"/>
      <c r="DM84" s="53"/>
      <c r="DN84" s="53"/>
      <c r="DO84" s="53"/>
      <c r="DP84" s="53"/>
      <c r="DQ84" s="53"/>
      <c r="DR84" s="53"/>
      <c r="DS84" s="53"/>
      <c r="DT84" s="53"/>
      <c r="DU84" s="53"/>
      <c r="DV84" s="53"/>
      <c r="DW84" s="53"/>
      <c r="DX84" s="53"/>
      <c r="DY84" s="53"/>
      <c r="DZ84" s="53"/>
      <c r="EA84" s="53"/>
      <c r="EB84" s="53"/>
      <c r="EC84" s="53"/>
      <c r="ED84" s="53"/>
      <c r="EE84" s="53"/>
      <c r="EF84" s="53"/>
      <c r="EG84" s="53"/>
      <c r="EH84" s="53"/>
      <c r="EI84" s="53"/>
      <c r="EJ84" s="53"/>
      <c r="EK84" s="53"/>
      <c r="EL84" s="53"/>
      <c r="EM84" s="53"/>
      <c r="EN84" s="53"/>
      <c r="EO84" s="53"/>
      <c r="EP84" s="130">
        <f>MEDIAN(L84,AD84)</f>
        <v>43492.79</v>
      </c>
      <c r="EQ84" s="130">
        <f>AVERAGE(AD84,L84)</f>
        <v>43492.79</v>
      </c>
      <c r="ER84" s="131">
        <f>STDEV(L84,AD84)</f>
        <v>2131.5168233443515</v>
      </c>
      <c r="ES84" s="137">
        <f t="shared" si="17"/>
        <v>4.9008509763212513E-2</v>
      </c>
      <c r="ET84" s="151">
        <f t="shared" si="18"/>
        <v>43493</v>
      </c>
      <c r="EU84" s="150">
        <f t="shared" si="21"/>
        <v>13482830</v>
      </c>
      <c r="EV84" s="148" t="s">
        <v>319</v>
      </c>
      <c r="EW84" s="192"/>
    </row>
    <row r="85" spans="1:153" ht="32.450000000000003" customHeight="1" x14ac:dyDescent="0.25">
      <c r="A85" s="65">
        <v>79</v>
      </c>
      <c r="B85" s="203" t="s">
        <v>618</v>
      </c>
      <c r="C85" s="76" t="s">
        <v>619</v>
      </c>
      <c r="D85" s="77" t="s">
        <v>466</v>
      </c>
      <c r="E85" s="41">
        <v>150</v>
      </c>
      <c r="F85" s="153"/>
      <c r="G85" s="153"/>
      <c r="H85" s="153"/>
      <c r="I85" s="153"/>
      <c r="J85" s="153"/>
      <c r="K85" s="153"/>
      <c r="L85" s="50"/>
      <c r="M85" s="50">
        <f t="shared" si="44"/>
        <v>0</v>
      </c>
      <c r="N85" s="50"/>
      <c r="O85" s="50"/>
      <c r="P85" s="50"/>
      <c r="Q85" s="50"/>
      <c r="R85" s="50"/>
      <c r="S85" s="50"/>
      <c r="T85" s="50"/>
      <c r="U85" s="50"/>
      <c r="V85" s="50"/>
      <c r="W85" s="53"/>
      <c r="X85" s="53"/>
      <c r="Y85" s="53"/>
      <c r="Z85" s="53"/>
      <c r="AA85" s="53"/>
      <c r="AB85" s="53"/>
      <c r="AC85" s="53"/>
      <c r="AD85" s="1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3"/>
      <c r="BN85" s="53"/>
      <c r="BO85" s="53"/>
      <c r="BP85" s="53"/>
      <c r="BQ85" s="53"/>
      <c r="BR85" s="53"/>
      <c r="BS85" s="53"/>
      <c r="BT85" s="53"/>
      <c r="BU85" s="53"/>
      <c r="BV85" s="53"/>
      <c r="BW85" s="53"/>
      <c r="BX85" s="53"/>
      <c r="BY85" s="53"/>
      <c r="BZ85" s="53"/>
      <c r="CA85" s="53"/>
      <c r="CB85" s="53"/>
      <c r="CC85" s="53"/>
      <c r="CD85" s="53"/>
      <c r="CE85" s="53"/>
      <c r="CF85" s="53"/>
      <c r="CG85" s="53"/>
      <c r="CH85" s="53"/>
      <c r="CI85" s="53"/>
      <c r="CJ85" s="53"/>
      <c r="CK85" s="53"/>
      <c r="CL85" s="53"/>
      <c r="CM85" s="53"/>
      <c r="CN85" s="53"/>
      <c r="CO85" s="53"/>
      <c r="CP85" s="53"/>
      <c r="CQ85" s="53"/>
      <c r="CR85" s="53"/>
      <c r="CS85" s="53"/>
      <c r="CT85" s="53">
        <v>62987</v>
      </c>
      <c r="CU85" s="53">
        <f>+E85</f>
        <v>150</v>
      </c>
      <c r="CV85" s="53"/>
      <c r="CW85" s="53"/>
      <c r="CX85" s="53"/>
      <c r="CY85" s="53"/>
      <c r="CZ85" s="53">
        <v>89000</v>
      </c>
      <c r="DA85" s="53">
        <f>+CZ85*E85</f>
        <v>13350000</v>
      </c>
      <c r="DB85" s="53"/>
      <c r="DC85" s="53"/>
      <c r="DD85" s="53"/>
      <c r="DE85" s="53"/>
      <c r="DF85" s="53">
        <v>200000</v>
      </c>
      <c r="DG85" s="53">
        <f>+DF85*E85</f>
        <v>30000000</v>
      </c>
      <c r="DH85" s="53"/>
      <c r="DI85" s="53"/>
      <c r="DJ85" s="53"/>
      <c r="DK85" s="53"/>
      <c r="DL85" s="53"/>
      <c r="DM85" s="53"/>
      <c r="DN85" s="53"/>
      <c r="DO85" s="53"/>
      <c r="DP85" s="53"/>
      <c r="DQ85" s="53"/>
      <c r="DR85" s="53"/>
      <c r="DS85" s="53"/>
      <c r="DT85" s="53"/>
      <c r="DU85" s="53"/>
      <c r="DV85" s="53"/>
      <c r="DW85" s="53"/>
      <c r="DX85" s="53"/>
      <c r="DY85" s="53"/>
      <c r="DZ85" s="53"/>
      <c r="EA85" s="53"/>
      <c r="EB85" s="53"/>
      <c r="EC85" s="53"/>
      <c r="ED85" s="53"/>
      <c r="EE85" s="53"/>
      <c r="EF85" s="53"/>
      <c r="EG85" s="53"/>
      <c r="EH85" s="53"/>
      <c r="EI85" s="53"/>
      <c r="EJ85" s="53"/>
      <c r="EK85" s="53"/>
      <c r="EL85" s="53"/>
      <c r="EM85" s="53"/>
      <c r="EN85" s="53"/>
      <c r="EO85" s="53"/>
      <c r="EP85" s="130">
        <f>MEDIAN(CT85,CZ85)</f>
        <v>75993.5</v>
      </c>
      <c r="EQ85" s="130">
        <f>AVERAGE(CT85,CZ85)</f>
        <v>75993.5</v>
      </c>
      <c r="ER85" s="131">
        <f>STDEV(CT85,CZ85)</f>
        <v>18393.968699005662</v>
      </c>
      <c r="ES85" s="137">
        <f t="shared" si="17"/>
        <v>0.24204660528868471</v>
      </c>
      <c r="ET85" s="151">
        <f t="shared" si="18"/>
        <v>75994</v>
      </c>
      <c r="EU85" s="150">
        <f t="shared" si="21"/>
        <v>11399100</v>
      </c>
      <c r="EV85" s="148" t="s">
        <v>322</v>
      </c>
      <c r="EW85" s="192"/>
    </row>
    <row r="86" spans="1:153" ht="32.450000000000003" customHeight="1" x14ac:dyDescent="0.25">
      <c r="A86" s="65">
        <v>80</v>
      </c>
      <c r="B86" s="203" t="s">
        <v>620</v>
      </c>
      <c r="C86" s="76" t="s">
        <v>621</v>
      </c>
      <c r="D86" s="77" t="s">
        <v>466</v>
      </c>
      <c r="E86" s="41">
        <v>150</v>
      </c>
      <c r="F86" s="153"/>
      <c r="G86" s="153"/>
      <c r="H86" s="153"/>
      <c r="I86" s="153"/>
      <c r="J86" s="153"/>
      <c r="K86" s="153"/>
      <c r="L86" s="50"/>
      <c r="M86" s="50">
        <f t="shared" si="44"/>
        <v>0</v>
      </c>
      <c r="N86" s="50"/>
      <c r="O86" s="50"/>
      <c r="P86" s="50"/>
      <c r="Q86" s="50"/>
      <c r="R86" s="50"/>
      <c r="S86" s="50"/>
      <c r="T86" s="50"/>
      <c r="U86" s="50"/>
      <c r="V86" s="50"/>
      <c r="W86" s="53"/>
      <c r="X86" s="53"/>
      <c r="Y86" s="53"/>
      <c r="Z86" s="53"/>
      <c r="AA86" s="53"/>
      <c r="AB86" s="53"/>
      <c r="AC86" s="53"/>
      <c r="AD86" s="153"/>
      <c r="AE86" s="53"/>
      <c r="AF86" s="53"/>
      <c r="AG86" s="53"/>
      <c r="AH86" s="53"/>
      <c r="AI86" s="53"/>
      <c r="AJ86" s="53"/>
      <c r="AK86" s="53"/>
      <c r="AL86" s="53"/>
      <c r="AM86" s="53"/>
      <c r="AN86" s="53"/>
      <c r="AO86" s="53"/>
      <c r="AP86" s="53"/>
      <c r="AQ86" s="53"/>
      <c r="AR86" s="53"/>
      <c r="AS86" s="53"/>
      <c r="AT86" s="53"/>
      <c r="AU86" s="53"/>
      <c r="AV86" s="53"/>
      <c r="AW86" s="53"/>
      <c r="AX86" s="53"/>
      <c r="AY86" s="53"/>
      <c r="AZ86" s="53"/>
      <c r="BA86" s="53"/>
      <c r="BB86" s="53"/>
      <c r="BC86" s="53"/>
      <c r="BD86" s="53"/>
      <c r="BE86" s="53"/>
      <c r="BF86" s="53"/>
      <c r="BG86" s="53"/>
      <c r="BH86" s="53"/>
      <c r="BI86" s="53"/>
      <c r="BJ86" s="53"/>
      <c r="BK86" s="53"/>
      <c r="BL86" s="53"/>
      <c r="BM86" s="53"/>
      <c r="BN86" s="53"/>
      <c r="BO86" s="53"/>
      <c r="BP86" s="53"/>
      <c r="BQ86" s="53"/>
      <c r="BR86" s="53"/>
      <c r="BS86" s="53"/>
      <c r="BT86" s="53"/>
      <c r="BU86" s="53"/>
      <c r="BV86" s="53"/>
      <c r="BW86" s="53"/>
      <c r="BX86" s="53"/>
      <c r="BY86" s="53"/>
      <c r="BZ86" s="53"/>
      <c r="CA86" s="53"/>
      <c r="CB86" s="53"/>
      <c r="CC86" s="53"/>
      <c r="CD86" s="53"/>
      <c r="CE86" s="53"/>
      <c r="CF86" s="53"/>
      <c r="CG86" s="53"/>
      <c r="CH86" s="53"/>
      <c r="CI86" s="53"/>
      <c r="CJ86" s="53"/>
      <c r="CK86" s="53"/>
      <c r="CL86" s="53"/>
      <c r="CM86" s="53"/>
      <c r="CN86" s="53"/>
      <c r="CO86" s="53"/>
      <c r="CP86" s="53"/>
      <c r="CQ86" s="53"/>
      <c r="CR86" s="53"/>
      <c r="CS86" s="53"/>
      <c r="CT86" s="53">
        <v>77994</v>
      </c>
      <c r="CU86" s="53">
        <f>+E86</f>
        <v>150</v>
      </c>
      <c r="CV86" s="53"/>
      <c r="CW86" s="53"/>
      <c r="CX86" s="53"/>
      <c r="CY86" s="53"/>
      <c r="CZ86" s="53">
        <v>89900</v>
      </c>
      <c r="DA86" s="53">
        <f t="shared" ref="DA86:DA87" si="45">+CZ86*E86</f>
        <v>13485000</v>
      </c>
      <c r="DB86" s="53"/>
      <c r="DC86" s="53"/>
      <c r="DD86" s="53"/>
      <c r="DE86" s="53"/>
      <c r="DF86" s="53">
        <v>100000</v>
      </c>
      <c r="DG86" s="53">
        <f t="shared" ref="DG86:DG87" si="46">+DF86*E86</f>
        <v>15000000</v>
      </c>
      <c r="DH86" s="53"/>
      <c r="DI86" s="53"/>
      <c r="DJ86" s="53"/>
      <c r="DK86" s="53"/>
      <c r="DL86" s="53"/>
      <c r="DM86" s="53"/>
      <c r="DN86" s="53"/>
      <c r="DO86" s="53"/>
      <c r="DP86" s="53"/>
      <c r="DQ86" s="53"/>
      <c r="DR86" s="53"/>
      <c r="DS86" s="53"/>
      <c r="DT86" s="53"/>
      <c r="DU86" s="53"/>
      <c r="DV86" s="53"/>
      <c r="DW86" s="53"/>
      <c r="DX86" s="53"/>
      <c r="DY86" s="53"/>
      <c r="DZ86" s="53"/>
      <c r="EA86" s="53"/>
      <c r="EB86" s="53"/>
      <c r="EC86" s="53"/>
      <c r="ED86" s="53"/>
      <c r="EE86" s="53"/>
      <c r="EF86" s="53"/>
      <c r="EG86" s="53"/>
      <c r="EH86" s="53"/>
      <c r="EI86" s="53"/>
      <c r="EJ86" s="53"/>
      <c r="EK86" s="53"/>
      <c r="EL86" s="53"/>
      <c r="EM86" s="53"/>
      <c r="EN86" s="53"/>
      <c r="EO86" s="53"/>
      <c r="EP86" s="130">
        <f>MEDIAN(CT86,CZ86)</f>
        <v>83947</v>
      </c>
      <c r="EQ86" s="130">
        <f>AVERAGE(CT86,CZ86)</f>
        <v>83947</v>
      </c>
      <c r="ER86" s="131">
        <f>STDEV(CT86,CZ86)</f>
        <v>8418.8133368070339</v>
      </c>
      <c r="ES86" s="137">
        <f t="shared" si="17"/>
        <v>0.10028724477118937</v>
      </c>
      <c r="ET86" s="151">
        <f t="shared" si="18"/>
        <v>83947</v>
      </c>
      <c r="EU86" s="150">
        <f t="shared" si="21"/>
        <v>12592050</v>
      </c>
      <c r="EV86" s="148" t="s">
        <v>319</v>
      </c>
      <c r="EW86" s="192"/>
    </row>
    <row r="87" spans="1:153" ht="32.450000000000003" customHeight="1" x14ac:dyDescent="0.25">
      <c r="A87" s="65">
        <v>81</v>
      </c>
      <c r="B87" s="203" t="s">
        <v>622</v>
      </c>
      <c r="C87" s="76" t="s">
        <v>623</v>
      </c>
      <c r="D87" s="77" t="s">
        <v>466</v>
      </c>
      <c r="E87" s="41">
        <v>150</v>
      </c>
      <c r="F87" s="153"/>
      <c r="G87" s="153"/>
      <c r="H87" s="153"/>
      <c r="I87" s="153"/>
      <c r="J87" s="153"/>
      <c r="K87" s="153"/>
      <c r="L87" s="50"/>
      <c r="M87" s="50">
        <f t="shared" si="44"/>
        <v>0</v>
      </c>
      <c r="N87" s="50"/>
      <c r="O87" s="50"/>
      <c r="P87" s="50"/>
      <c r="Q87" s="50"/>
      <c r="R87" s="50"/>
      <c r="S87" s="50"/>
      <c r="T87" s="50"/>
      <c r="U87" s="50"/>
      <c r="V87" s="50"/>
      <c r="W87" s="53"/>
      <c r="X87" s="53"/>
      <c r="Y87" s="53"/>
      <c r="Z87" s="53"/>
      <c r="AA87" s="53"/>
      <c r="AB87" s="53"/>
      <c r="AC87" s="53"/>
      <c r="AD87" s="153"/>
      <c r="AE87" s="53"/>
      <c r="AF87" s="53"/>
      <c r="AG87" s="53"/>
      <c r="AH87" s="53"/>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c r="BJ87" s="53"/>
      <c r="BK87" s="53"/>
      <c r="BL87" s="53"/>
      <c r="BM87" s="53"/>
      <c r="BN87" s="53"/>
      <c r="BO87" s="53"/>
      <c r="BP87" s="53"/>
      <c r="BQ87" s="53"/>
      <c r="BR87" s="53"/>
      <c r="BS87" s="53"/>
      <c r="BT87" s="53"/>
      <c r="BU87" s="53"/>
      <c r="BV87" s="53"/>
      <c r="BW87" s="53"/>
      <c r="BX87" s="53"/>
      <c r="BY87" s="53"/>
      <c r="BZ87" s="53"/>
      <c r="CA87" s="53"/>
      <c r="CB87" s="53"/>
      <c r="CC87" s="53"/>
      <c r="CD87" s="53"/>
      <c r="CE87" s="53"/>
      <c r="CF87" s="53"/>
      <c r="CG87" s="53"/>
      <c r="CH87" s="53"/>
      <c r="CI87" s="53"/>
      <c r="CJ87" s="53"/>
      <c r="CK87" s="53"/>
      <c r="CL87" s="53"/>
      <c r="CM87" s="53"/>
      <c r="CN87" s="53"/>
      <c r="CO87" s="53"/>
      <c r="CP87" s="53"/>
      <c r="CQ87" s="53"/>
      <c r="CR87" s="53"/>
      <c r="CS87" s="53"/>
      <c r="CT87" s="53"/>
      <c r="CU87" s="53"/>
      <c r="CV87" s="53"/>
      <c r="CW87" s="53"/>
      <c r="CX87" s="53"/>
      <c r="CY87" s="53"/>
      <c r="CZ87" s="53">
        <v>89900</v>
      </c>
      <c r="DA87" s="53">
        <f t="shared" si="45"/>
        <v>13485000</v>
      </c>
      <c r="DB87" s="53"/>
      <c r="DC87" s="53"/>
      <c r="DD87" s="53"/>
      <c r="DE87" s="53"/>
      <c r="DF87" s="53">
        <v>100000</v>
      </c>
      <c r="DG87" s="53">
        <f t="shared" si="46"/>
        <v>15000000</v>
      </c>
      <c r="DH87" s="53"/>
      <c r="DI87" s="53"/>
      <c r="DJ87" s="53"/>
      <c r="DK87" s="53"/>
      <c r="DL87" s="53"/>
      <c r="DM87" s="53"/>
      <c r="DN87" s="53"/>
      <c r="DO87" s="53"/>
      <c r="DP87" s="53"/>
      <c r="DQ87" s="53"/>
      <c r="DR87" s="53"/>
      <c r="DS87" s="53"/>
      <c r="DT87" s="53"/>
      <c r="DU87" s="53"/>
      <c r="DV87" s="53"/>
      <c r="DW87" s="53"/>
      <c r="DX87" s="53"/>
      <c r="DY87" s="53"/>
      <c r="DZ87" s="53"/>
      <c r="EA87" s="53"/>
      <c r="EB87" s="53"/>
      <c r="EC87" s="53"/>
      <c r="ED87" s="53"/>
      <c r="EE87" s="53"/>
      <c r="EF87" s="53"/>
      <c r="EG87" s="53"/>
      <c r="EH87" s="53"/>
      <c r="EI87" s="53"/>
      <c r="EJ87" s="53"/>
      <c r="EK87" s="53"/>
      <c r="EL87" s="53"/>
      <c r="EM87" s="53"/>
      <c r="EN87" s="53"/>
      <c r="EO87" s="53"/>
      <c r="EP87" s="130">
        <f>MEDIAN(CZ87,DF87)</f>
        <v>94950</v>
      </c>
      <c r="EQ87" s="130">
        <f>AVERAGE(CZ87,DF87)</f>
        <v>94950</v>
      </c>
      <c r="ER87" s="131">
        <f>STDEV(CZ87,DF87)</f>
        <v>7141.7784899841299</v>
      </c>
      <c r="ES87" s="137">
        <f t="shared" si="17"/>
        <v>7.5216203159390524E-2</v>
      </c>
      <c r="ET87" s="151">
        <f t="shared" si="18"/>
        <v>94950</v>
      </c>
      <c r="EU87" s="150">
        <f t="shared" si="21"/>
        <v>14242500</v>
      </c>
      <c r="EV87" s="148" t="s">
        <v>319</v>
      </c>
      <c r="EW87" s="192"/>
    </row>
    <row r="88" spans="1:153" s="49" customFormat="1" ht="32.450000000000003" customHeight="1" x14ac:dyDescent="0.25">
      <c r="A88" s="65">
        <v>82</v>
      </c>
      <c r="B88" s="200" t="s">
        <v>624</v>
      </c>
      <c r="C88" s="66" t="s">
        <v>625</v>
      </c>
      <c r="D88" s="67" t="s">
        <v>493</v>
      </c>
      <c r="E88" s="41">
        <v>480</v>
      </c>
      <c r="F88" s="146"/>
      <c r="G88" s="146"/>
      <c r="H88" s="146"/>
      <c r="I88" s="146"/>
      <c r="J88" s="146"/>
      <c r="K88" s="146"/>
      <c r="L88" s="53">
        <v>10000</v>
      </c>
      <c r="M88" s="50">
        <f t="shared" si="44"/>
        <v>4800000</v>
      </c>
      <c r="N88" s="53"/>
      <c r="O88" s="53"/>
      <c r="P88" s="53"/>
      <c r="Q88" s="53"/>
      <c r="R88" s="53"/>
      <c r="S88" s="53"/>
      <c r="T88" s="53"/>
      <c r="U88" s="53"/>
      <c r="V88" s="53"/>
      <c r="W88" s="53"/>
      <c r="X88" s="53"/>
      <c r="Y88" s="53"/>
      <c r="Z88" s="53"/>
      <c r="AA88" s="53"/>
      <c r="AB88" s="53"/>
      <c r="AC88" s="53"/>
      <c r="AD88" s="153">
        <v>11233.6</v>
      </c>
      <c r="AE88" s="53">
        <f t="shared" ref="AE88:AE92" si="47">+AD88*E88</f>
        <v>5392128</v>
      </c>
      <c r="AF88" s="53"/>
      <c r="AG88" s="53"/>
      <c r="AH88" s="53"/>
      <c r="AI88" s="53"/>
      <c r="AJ88" s="53"/>
      <c r="AK88" s="53"/>
      <c r="AL88" s="53"/>
      <c r="AM88" s="53"/>
      <c r="AN88" s="53"/>
      <c r="AO88" s="53"/>
      <c r="AP88" s="53"/>
      <c r="AQ88" s="53"/>
      <c r="AR88" s="53"/>
      <c r="AS88" s="53"/>
      <c r="AT88" s="53"/>
      <c r="AU88" s="53"/>
      <c r="AV88" s="53"/>
      <c r="AW88" s="53"/>
      <c r="AX88" s="53"/>
      <c r="AY88" s="53"/>
      <c r="AZ88" s="53"/>
      <c r="BA88" s="53"/>
      <c r="BB88" s="53"/>
      <c r="BC88" s="53"/>
      <c r="BD88" s="53"/>
      <c r="BE88" s="53"/>
      <c r="BF88" s="53"/>
      <c r="BG88" s="53"/>
      <c r="BH88" s="53"/>
      <c r="BI88" s="53"/>
      <c r="BJ88" s="53"/>
      <c r="BK88" s="53"/>
      <c r="BL88" s="53"/>
      <c r="BM88" s="53"/>
      <c r="BN88" s="53"/>
      <c r="BO88" s="53"/>
      <c r="BP88" s="53"/>
      <c r="BQ88" s="53"/>
      <c r="BR88" s="53"/>
      <c r="BS88" s="53"/>
      <c r="BT88" s="53"/>
      <c r="BU88" s="53"/>
      <c r="BV88" s="53"/>
      <c r="BW88" s="53"/>
      <c r="BX88" s="53"/>
      <c r="BY88" s="53"/>
      <c r="BZ88" s="53"/>
      <c r="CA88" s="53"/>
      <c r="CB88" s="53"/>
      <c r="CC88" s="53"/>
      <c r="CD88" s="53"/>
      <c r="CE88" s="53"/>
      <c r="CF88" s="53"/>
      <c r="CG88" s="53"/>
      <c r="CH88" s="53"/>
      <c r="CI88" s="53"/>
      <c r="CJ88" s="53"/>
      <c r="CK88" s="53"/>
      <c r="CL88" s="53"/>
      <c r="CM88" s="53"/>
      <c r="CN88" s="53"/>
      <c r="CO88" s="53"/>
      <c r="CP88" s="53"/>
      <c r="CQ88" s="53"/>
      <c r="CR88" s="53"/>
      <c r="CS88" s="53"/>
      <c r="CT88" s="53"/>
      <c r="CU88" s="53"/>
      <c r="CV88" s="53"/>
      <c r="CW88" s="53"/>
      <c r="CX88" s="53"/>
      <c r="CY88" s="53"/>
      <c r="CZ88" s="53"/>
      <c r="DA88" s="53"/>
      <c r="DB88" s="53"/>
      <c r="DC88" s="53"/>
      <c r="DD88" s="53"/>
      <c r="DE88" s="53"/>
      <c r="DF88" s="53"/>
      <c r="DG88" s="53"/>
      <c r="DH88" s="53"/>
      <c r="DI88" s="53"/>
      <c r="DJ88" s="53"/>
      <c r="DK88" s="53"/>
      <c r="DL88" s="53"/>
      <c r="DM88" s="53"/>
      <c r="DN88" s="53"/>
      <c r="DO88" s="53"/>
      <c r="DP88" s="53"/>
      <c r="DQ88" s="53"/>
      <c r="DR88" s="53"/>
      <c r="DS88" s="53"/>
      <c r="DT88" s="53"/>
      <c r="DU88" s="53"/>
      <c r="DV88" s="53"/>
      <c r="DW88" s="53"/>
      <c r="DX88" s="53"/>
      <c r="DY88" s="53"/>
      <c r="DZ88" s="53"/>
      <c r="EA88" s="53"/>
      <c r="EB88" s="53"/>
      <c r="EC88" s="53"/>
      <c r="ED88" s="53"/>
      <c r="EE88" s="53"/>
      <c r="EF88" s="53"/>
      <c r="EG88" s="53"/>
      <c r="EH88" s="53"/>
      <c r="EI88" s="53"/>
      <c r="EJ88" s="53"/>
      <c r="EK88" s="53"/>
      <c r="EL88" s="53"/>
      <c r="EM88" s="53"/>
      <c r="EN88" s="53"/>
      <c r="EO88" s="53"/>
      <c r="EP88" s="130">
        <f>MEDIAN(L88,AD88)</f>
        <v>10616.8</v>
      </c>
      <c r="EQ88" s="130">
        <f>AVERAGE(L88,AD88)</f>
        <v>10616.8</v>
      </c>
      <c r="ER88" s="131">
        <f>STDEV(L88,AD88)</f>
        <v>872.28692527172529</v>
      </c>
      <c r="ES88" s="137">
        <f t="shared" si="17"/>
        <v>8.2161001928238775E-2</v>
      </c>
      <c r="ET88" s="151">
        <f t="shared" si="18"/>
        <v>10617</v>
      </c>
      <c r="EU88" s="150">
        <f t="shared" si="21"/>
        <v>5096160</v>
      </c>
      <c r="EV88" s="148" t="s">
        <v>319</v>
      </c>
      <c r="EW88" s="192"/>
    </row>
    <row r="89" spans="1:153" s="49" customFormat="1" ht="152.25" customHeight="1" x14ac:dyDescent="0.25">
      <c r="A89" s="65">
        <v>83</v>
      </c>
      <c r="B89" s="200" t="s">
        <v>626</v>
      </c>
      <c r="C89" s="66" t="s">
        <v>627</v>
      </c>
      <c r="D89" s="67" t="s">
        <v>466</v>
      </c>
      <c r="E89" s="41">
        <v>302</v>
      </c>
      <c r="F89" s="146"/>
      <c r="G89" s="146"/>
      <c r="H89" s="146"/>
      <c r="I89" s="146"/>
      <c r="J89" s="146"/>
      <c r="K89" s="146"/>
      <c r="L89" s="53">
        <v>14500</v>
      </c>
      <c r="M89" s="50">
        <f t="shared" si="44"/>
        <v>4379000</v>
      </c>
      <c r="N89" s="53"/>
      <c r="O89" s="53"/>
      <c r="P89" s="53"/>
      <c r="Q89" s="53"/>
      <c r="R89" s="53"/>
      <c r="S89" s="53"/>
      <c r="T89" s="53"/>
      <c r="U89" s="53"/>
      <c r="V89" s="53"/>
      <c r="W89" s="53"/>
      <c r="X89" s="53"/>
      <c r="Y89" s="53"/>
      <c r="Z89" s="53"/>
      <c r="AA89" s="53"/>
      <c r="AB89" s="53"/>
      <c r="AC89" s="53"/>
      <c r="AD89" s="153">
        <v>40721.799999999996</v>
      </c>
      <c r="AE89" s="53">
        <f t="shared" si="47"/>
        <v>12297983.599999998</v>
      </c>
      <c r="AF89" s="53"/>
      <c r="AG89" s="53"/>
      <c r="AH89" s="53"/>
      <c r="AI89" s="53"/>
      <c r="AJ89" s="53"/>
      <c r="AK89" s="53"/>
      <c r="AL89" s="53"/>
      <c r="AM89" s="53"/>
      <c r="AN89" s="53"/>
      <c r="AO89" s="53"/>
      <c r="AP89" s="53"/>
      <c r="AQ89" s="53"/>
      <c r="AR89" s="53"/>
      <c r="AS89" s="53"/>
      <c r="AT89" s="53"/>
      <c r="AU89" s="53"/>
      <c r="AV89" s="53"/>
      <c r="AW89" s="53"/>
      <c r="AX89" s="53"/>
      <c r="AY89" s="53"/>
      <c r="AZ89" s="53"/>
      <c r="BA89" s="53"/>
      <c r="BB89" s="53"/>
      <c r="BC89" s="53"/>
      <c r="BD89" s="53"/>
      <c r="BE89" s="53"/>
      <c r="BF89" s="53"/>
      <c r="BG89" s="53"/>
      <c r="BH89" s="53"/>
      <c r="BI89" s="53"/>
      <c r="BJ89" s="53"/>
      <c r="BK89" s="53"/>
      <c r="BL89" s="53"/>
      <c r="BM89" s="53"/>
      <c r="BN89" s="53"/>
      <c r="BO89" s="53"/>
      <c r="BP89" s="53"/>
      <c r="BQ89" s="53"/>
      <c r="BR89" s="53"/>
      <c r="BS89" s="53"/>
      <c r="BT89" s="53"/>
      <c r="BU89" s="53"/>
      <c r="BV89" s="53"/>
      <c r="BW89" s="53"/>
      <c r="BX89" s="53"/>
      <c r="BY89" s="53"/>
      <c r="BZ89" s="53"/>
      <c r="CA89" s="53"/>
      <c r="CB89" s="53"/>
      <c r="CC89" s="53"/>
      <c r="CD89" s="53"/>
      <c r="CE89" s="53"/>
      <c r="CF89" s="53"/>
      <c r="CG89" s="53"/>
      <c r="CH89" s="53"/>
      <c r="CI89" s="53"/>
      <c r="CJ89" s="53"/>
      <c r="CK89" s="53"/>
      <c r="CL89" s="53"/>
      <c r="CM89" s="53"/>
      <c r="CN89" s="53"/>
      <c r="CO89" s="53"/>
      <c r="CP89" s="53"/>
      <c r="CQ89" s="53"/>
      <c r="CR89" s="53">
        <v>12537</v>
      </c>
      <c r="CS89" s="53">
        <f t="shared" ref="CS89" si="48">+CR89*E89</f>
        <v>3786174</v>
      </c>
      <c r="CT89" s="53"/>
      <c r="CU89" s="53"/>
      <c r="CV89" s="53"/>
      <c r="CW89" s="53"/>
      <c r="CX89" s="53"/>
      <c r="CY89" s="53"/>
      <c r="CZ89" s="53"/>
      <c r="DA89" s="53"/>
      <c r="DB89" s="53"/>
      <c r="DC89" s="53"/>
      <c r="DD89" s="53"/>
      <c r="DE89" s="53"/>
      <c r="DF89" s="53"/>
      <c r="DG89" s="53"/>
      <c r="DH89" s="53"/>
      <c r="DI89" s="53"/>
      <c r="DJ89" s="53"/>
      <c r="DK89" s="53"/>
      <c r="DL89" s="53"/>
      <c r="DM89" s="53"/>
      <c r="DN89" s="53"/>
      <c r="DO89" s="53"/>
      <c r="DP89" s="53"/>
      <c r="DQ89" s="53"/>
      <c r="DR89" s="53"/>
      <c r="DS89" s="53"/>
      <c r="DT89" s="53"/>
      <c r="DU89" s="53"/>
      <c r="DV89" s="53"/>
      <c r="DW89" s="53"/>
      <c r="DX89" s="53"/>
      <c r="DY89" s="53"/>
      <c r="DZ89" s="53"/>
      <c r="EA89" s="53"/>
      <c r="EB89" s="53"/>
      <c r="EC89" s="53"/>
      <c r="ED89" s="53"/>
      <c r="EE89" s="53"/>
      <c r="EF89" s="53"/>
      <c r="EG89" s="53"/>
      <c r="EH89" s="53"/>
      <c r="EI89" s="53"/>
      <c r="EJ89" s="53"/>
      <c r="EK89" s="53"/>
      <c r="EL89" s="53"/>
      <c r="EM89" s="53"/>
      <c r="EN89" s="53"/>
      <c r="EO89" s="53"/>
      <c r="EP89" s="130">
        <f>MEDIAN(L89,CR89)</f>
        <v>13518.5</v>
      </c>
      <c r="EQ89" s="130">
        <f>AVERAGE(L89,CR89)</f>
        <v>13518.5</v>
      </c>
      <c r="ER89" s="131">
        <f>STDEV(L89,CR89)</f>
        <v>1388.0506114691927</v>
      </c>
      <c r="ES89" s="137">
        <f t="shared" si="17"/>
        <v>0.10267785711944319</v>
      </c>
      <c r="ET89" s="151">
        <f t="shared" si="18"/>
        <v>13519</v>
      </c>
      <c r="EU89" s="150">
        <f t="shared" si="21"/>
        <v>4082738</v>
      </c>
      <c r="EV89" s="148" t="s">
        <v>319</v>
      </c>
      <c r="EW89" s="192"/>
    </row>
    <row r="90" spans="1:153" ht="32.450000000000003" customHeight="1" x14ac:dyDescent="0.25">
      <c r="A90" s="65">
        <v>84</v>
      </c>
      <c r="B90" s="203" t="s">
        <v>628</v>
      </c>
      <c r="C90" s="76" t="s">
        <v>629</v>
      </c>
      <c r="D90" s="77" t="s">
        <v>466</v>
      </c>
      <c r="E90" s="41">
        <v>390</v>
      </c>
      <c r="F90" s="153"/>
      <c r="G90" s="153"/>
      <c r="H90" s="153"/>
      <c r="I90" s="153"/>
      <c r="J90" s="153"/>
      <c r="K90" s="153"/>
      <c r="L90" s="50">
        <v>5500</v>
      </c>
      <c r="M90" s="50">
        <f t="shared" si="44"/>
        <v>2145000</v>
      </c>
      <c r="N90" s="50"/>
      <c r="O90" s="50"/>
      <c r="P90" s="50"/>
      <c r="Q90" s="50"/>
      <c r="R90" s="50"/>
      <c r="S90" s="50"/>
      <c r="T90" s="50"/>
      <c r="U90" s="50"/>
      <c r="V90" s="50"/>
      <c r="W90" s="53"/>
      <c r="X90" s="53"/>
      <c r="Y90" s="53"/>
      <c r="Z90" s="53"/>
      <c r="AA90" s="53"/>
      <c r="AB90" s="53"/>
      <c r="AC90" s="53"/>
      <c r="AD90" s="153">
        <v>7050.4881999999998</v>
      </c>
      <c r="AE90" s="53">
        <f t="shared" si="47"/>
        <v>2749690.398</v>
      </c>
      <c r="AF90" s="53"/>
      <c r="AG90" s="53"/>
      <c r="AH90" s="53"/>
      <c r="AI90" s="53"/>
      <c r="AJ90" s="53"/>
      <c r="AK90" s="53"/>
      <c r="AL90" s="53"/>
      <c r="AM90" s="53"/>
      <c r="AN90" s="53"/>
      <c r="AO90" s="53"/>
      <c r="AP90" s="53"/>
      <c r="AQ90" s="53"/>
      <c r="AR90" s="53"/>
      <c r="AS90" s="53"/>
      <c r="AT90" s="53"/>
      <c r="AU90" s="53"/>
      <c r="AV90" s="53"/>
      <c r="AW90" s="53"/>
      <c r="AX90" s="53"/>
      <c r="AY90" s="53"/>
      <c r="AZ90" s="53"/>
      <c r="BA90" s="53"/>
      <c r="BB90" s="53"/>
      <c r="BC90" s="53"/>
      <c r="BD90" s="53"/>
      <c r="BE90" s="53"/>
      <c r="BF90" s="53"/>
      <c r="BG90" s="53"/>
      <c r="BH90" s="53"/>
      <c r="BI90" s="53"/>
      <c r="BJ90" s="53"/>
      <c r="BK90" s="53"/>
      <c r="BL90" s="53"/>
      <c r="BM90" s="53"/>
      <c r="BN90" s="53"/>
      <c r="BO90" s="53"/>
      <c r="BP90" s="53"/>
      <c r="BQ90" s="53"/>
      <c r="BR90" s="53"/>
      <c r="BS90" s="53"/>
      <c r="BT90" s="53"/>
      <c r="BU90" s="53"/>
      <c r="BV90" s="53"/>
      <c r="BW90" s="53"/>
      <c r="BX90" s="53"/>
      <c r="BY90" s="53"/>
      <c r="BZ90" s="53"/>
      <c r="CA90" s="53"/>
      <c r="CB90" s="53"/>
      <c r="CC90" s="53"/>
      <c r="CD90" s="53"/>
      <c r="CE90" s="53"/>
      <c r="CF90" s="53"/>
      <c r="CG90" s="53"/>
      <c r="CH90" s="53"/>
      <c r="CI90" s="53"/>
      <c r="CJ90" s="53"/>
      <c r="CK90" s="53"/>
      <c r="CL90" s="53"/>
      <c r="CM90" s="53"/>
      <c r="CN90" s="53"/>
      <c r="CO90" s="53"/>
      <c r="CP90" s="53"/>
      <c r="CQ90" s="53"/>
      <c r="CR90" s="53"/>
      <c r="CS90" s="53"/>
      <c r="CT90" s="53"/>
      <c r="CU90" s="53"/>
      <c r="CV90" s="53"/>
      <c r="CW90" s="53"/>
      <c r="CX90" s="53"/>
      <c r="CY90" s="53"/>
      <c r="CZ90" s="53"/>
      <c r="DA90" s="53"/>
      <c r="DB90" s="53"/>
      <c r="DC90" s="53"/>
      <c r="DD90" s="53"/>
      <c r="DE90" s="53"/>
      <c r="DF90" s="53"/>
      <c r="DG90" s="53"/>
      <c r="DH90" s="53"/>
      <c r="DI90" s="53"/>
      <c r="DJ90" s="53"/>
      <c r="DK90" s="53"/>
      <c r="DL90" s="53"/>
      <c r="DM90" s="53"/>
      <c r="DN90" s="53"/>
      <c r="DO90" s="53"/>
      <c r="DP90" s="53"/>
      <c r="DQ90" s="53"/>
      <c r="DR90" s="53"/>
      <c r="DS90" s="53"/>
      <c r="DT90" s="53"/>
      <c r="DU90" s="53"/>
      <c r="DV90" s="53"/>
      <c r="DW90" s="53"/>
      <c r="DX90" s="53"/>
      <c r="DY90" s="53"/>
      <c r="DZ90" s="53"/>
      <c r="EA90" s="53"/>
      <c r="EB90" s="53"/>
      <c r="EC90" s="53"/>
      <c r="ED90" s="53"/>
      <c r="EE90" s="53"/>
      <c r="EF90" s="53"/>
      <c r="EG90" s="53"/>
      <c r="EH90" s="53"/>
      <c r="EI90" s="53"/>
      <c r="EJ90" s="53"/>
      <c r="EK90" s="53"/>
      <c r="EL90" s="53"/>
      <c r="EM90" s="53"/>
      <c r="EN90" s="53"/>
      <c r="EO90" s="53"/>
      <c r="EP90" s="130">
        <f>MEDIAN(L90,AD90)</f>
        <v>6275.2440999999999</v>
      </c>
      <c r="EQ90" s="130">
        <f>AVERAGE(L90,AD90)</f>
        <v>6275.2440999999999</v>
      </c>
      <c r="ER90" s="131">
        <f>STDEV(L90,AD90)</f>
        <v>1096.3607203697222</v>
      </c>
      <c r="ES90" s="137">
        <f t="shared" ref="ES90:ES128" si="49">ER90/EQ90</f>
        <v>0.17471204353145756</v>
      </c>
      <c r="ET90" s="151">
        <f t="shared" ref="ET90:ET128" si="50">ROUNDUP(IF(ES90&lt;15%,EQ90,EP90),0)</f>
        <v>6276</v>
      </c>
      <c r="EU90" s="150">
        <f t="shared" ref="EU90:EU128" si="51">+ET90*E90</f>
        <v>2447640</v>
      </c>
      <c r="EV90" s="148" t="s">
        <v>322</v>
      </c>
      <c r="EW90" s="192"/>
    </row>
    <row r="91" spans="1:153" ht="32.450000000000003" customHeight="1" x14ac:dyDescent="0.25">
      <c r="A91" s="65">
        <v>85</v>
      </c>
      <c r="B91" s="203" t="s">
        <v>630</v>
      </c>
      <c r="C91" s="76" t="s">
        <v>629</v>
      </c>
      <c r="D91" s="77" t="s">
        <v>466</v>
      </c>
      <c r="E91" s="41">
        <v>390</v>
      </c>
      <c r="F91" s="153"/>
      <c r="G91" s="153"/>
      <c r="H91" s="153"/>
      <c r="I91" s="153"/>
      <c r="J91" s="153"/>
      <c r="K91" s="153"/>
      <c r="L91" s="50">
        <v>6500</v>
      </c>
      <c r="M91" s="50">
        <f t="shared" si="44"/>
        <v>2535000</v>
      </c>
      <c r="N91" s="50"/>
      <c r="O91" s="50"/>
      <c r="P91" s="50"/>
      <c r="Q91" s="50"/>
      <c r="R91" s="50"/>
      <c r="S91" s="50"/>
      <c r="T91" s="50"/>
      <c r="U91" s="50"/>
      <c r="V91" s="50"/>
      <c r="W91" s="53"/>
      <c r="X91" s="53"/>
      <c r="Y91" s="53"/>
      <c r="Z91" s="53"/>
      <c r="AA91" s="53"/>
      <c r="AB91" s="53"/>
      <c r="AC91" s="53"/>
      <c r="AD91" s="153">
        <v>7723.0999999999995</v>
      </c>
      <c r="AE91" s="53">
        <f t="shared" si="47"/>
        <v>3012009</v>
      </c>
      <c r="AF91" s="53"/>
      <c r="AG91" s="53"/>
      <c r="AH91" s="53"/>
      <c r="AI91" s="53"/>
      <c r="AJ91" s="53"/>
      <c r="AK91" s="53"/>
      <c r="AL91" s="53"/>
      <c r="AM91" s="53"/>
      <c r="AN91" s="53"/>
      <c r="AO91" s="53"/>
      <c r="AP91" s="53"/>
      <c r="AQ91" s="53"/>
      <c r="AR91" s="53"/>
      <c r="AS91" s="53"/>
      <c r="AT91" s="53"/>
      <c r="AU91" s="53"/>
      <c r="AV91" s="53"/>
      <c r="AW91" s="53"/>
      <c r="AX91" s="53"/>
      <c r="AY91" s="53"/>
      <c r="AZ91" s="53"/>
      <c r="BA91" s="53"/>
      <c r="BB91" s="53"/>
      <c r="BC91" s="53"/>
      <c r="BD91" s="53"/>
      <c r="BE91" s="53"/>
      <c r="BF91" s="53"/>
      <c r="BG91" s="53"/>
      <c r="BH91" s="53"/>
      <c r="BI91" s="53"/>
      <c r="BJ91" s="53"/>
      <c r="BK91" s="53"/>
      <c r="BL91" s="53"/>
      <c r="BM91" s="53"/>
      <c r="BN91" s="53"/>
      <c r="BO91" s="53"/>
      <c r="BP91" s="53"/>
      <c r="BQ91" s="53"/>
      <c r="BR91" s="53"/>
      <c r="BS91" s="53"/>
      <c r="BT91" s="53"/>
      <c r="BU91" s="53"/>
      <c r="BV91" s="53"/>
      <c r="BW91" s="53"/>
      <c r="BX91" s="53"/>
      <c r="BY91" s="53"/>
      <c r="BZ91" s="53"/>
      <c r="CA91" s="53"/>
      <c r="CB91" s="53"/>
      <c r="CC91" s="53"/>
      <c r="CD91" s="53"/>
      <c r="CE91" s="53"/>
      <c r="CF91" s="53"/>
      <c r="CG91" s="53"/>
      <c r="CH91" s="53"/>
      <c r="CI91" s="53"/>
      <c r="CJ91" s="53"/>
      <c r="CK91" s="53"/>
      <c r="CL91" s="53"/>
      <c r="CM91" s="53"/>
      <c r="CN91" s="53"/>
      <c r="CO91" s="53"/>
      <c r="CP91" s="53"/>
      <c r="CQ91" s="53"/>
      <c r="CR91" s="53"/>
      <c r="CS91" s="53"/>
      <c r="CT91" s="53"/>
      <c r="CU91" s="53"/>
      <c r="CV91" s="53"/>
      <c r="CW91" s="53"/>
      <c r="CX91" s="53"/>
      <c r="CY91" s="53"/>
      <c r="CZ91" s="53"/>
      <c r="DA91" s="53"/>
      <c r="DB91" s="53"/>
      <c r="DC91" s="53"/>
      <c r="DD91" s="53"/>
      <c r="DE91" s="53"/>
      <c r="DF91" s="53"/>
      <c r="DG91" s="53"/>
      <c r="DH91" s="53"/>
      <c r="DI91" s="53"/>
      <c r="DJ91" s="53"/>
      <c r="DK91" s="53"/>
      <c r="DL91" s="53"/>
      <c r="DM91" s="53"/>
      <c r="DN91" s="53"/>
      <c r="DO91" s="53"/>
      <c r="DP91" s="53"/>
      <c r="DQ91" s="53"/>
      <c r="DR91" s="53"/>
      <c r="DS91" s="53"/>
      <c r="DT91" s="53"/>
      <c r="DU91" s="53"/>
      <c r="DV91" s="53"/>
      <c r="DW91" s="53"/>
      <c r="DX91" s="53"/>
      <c r="DY91" s="53"/>
      <c r="DZ91" s="53"/>
      <c r="EA91" s="53"/>
      <c r="EB91" s="53"/>
      <c r="EC91" s="53"/>
      <c r="ED91" s="53"/>
      <c r="EE91" s="53"/>
      <c r="EF91" s="53"/>
      <c r="EG91" s="53"/>
      <c r="EH91" s="53"/>
      <c r="EI91" s="53"/>
      <c r="EJ91" s="53"/>
      <c r="EK91" s="53"/>
      <c r="EL91" s="53"/>
      <c r="EM91" s="53"/>
      <c r="EN91" s="53"/>
      <c r="EO91" s="53"/>
      <c r="EP91" s="130">
        <f>MEDIAN(L91,AD91)</f>
        <v>7111.5499999999993</v>
      </c>
      <c r="EQ91" s="130">
        <f>AVERAGE(L91,AD91)</f>
        <v>7111.5499999999993</v>
      </c>
      <c r="ER91" s="131">
        <f>STDEV(L91,AD91)</f>
        <v>864.86230406926586</v>
      </c>
      <c r="ES91" s="137">
        <f t="shared" si="49"/>
        <v>0.12161375566075834</v>
      </c>
      <c r="ET91" s="151">
        <f t="shared" si="50"/>
        <v>7112</v>
      </c>
      <c r="EU91" s="150">
        <f t="shared" si="51"/>
        <v>2773680</v>
      </c>
      <c r="EV91" s="148" t="s">
        <v>319</v>
      </c>
      <c r="EW91" s="192"/>
    </row>
    <row r="92" spans="1:153" s="49" customFormat="1" ht="32.450000000000003" customHeight="1" x14ac:dyDescent="0.25">
      <c r="A92" s="65">
        <v>86</v>
      </c>
      <c r="B92" s="200" t="s">
        <v>631</v>
      </c>
      <c r="C92" s="66" t="s">
        <v>632</v>
      </c>
      <c r="D92" s="68" t="s">
        <v>466</v>
      </c>
      <c r="E92" s="41">
        <v>400</v>
      </c>
      <c r="F92" s="155"/>
      <c r="G92" s="155"/>
      <c r="H92" s="155"/>
      <c r="I92" s="155"/>
      <c r="J92" s="155"/>
      <c r="K92" s="155"/>
      <c r="L92" s="53">
        <v>7500</v>
      </c>
      <c r="M92" s="53">
        <f t="shared" si="44"/>
        <v>3000000</v>
      </c>
      <c r="N92" s="53"/>
      <c r="O92" s="53"/>
      <c r="P92" s="53"/>
      <c r="Q92" s="53"/>
      <c r="R92" s="53"/>
      <c r="S92" s="53"/>
      <c r="T92" s="53"/>
      <c r="U92" s="53"/>
      <c r="V92" s="53"/>
      <c r="W92" s="53"/>
      <c r="X92" s="53"/>
      <c r="Y92" s="53"/>
      <c r="Z92" s="53"/>
      <c r="AA92" s="53"/>
      <c r="AB92" s="53"/>
      <c r="AC92" s="53"/>
      <c r="AD92" s="146">
        <v>4914.7</v>
      </c>
      <c r="AE92" s="53">
        <f t="shared" si="47"/>
        <v>1965880</v>
      </c>
      <c r="AF92" s="53"/>
      <c r="AG92" s="53"/>
      <c r="AH92" s="53"/>
      <c r="AI92" s="53"/>
      <c r="AJ92" s="53"/>
      <c r="AK92" s="53"/>
      <c r="AL92" s="53"/>
      <c r="AM92" s="53"/>
      <c r="AN92" s="53"/>
      <c r="AO92" s="53"/>
      <c r="AP92" s="53"/>
      <c r="AQ92" s="53"/>
      <c r="AR92" s="53"/>
      <c r="AS92" s="53"/>
      <c r="AT92" s="53"/>
      <c r="AU92" s="53"/>
      <c r="AV92" s="53"/>
      <c r="AW92" s="53"/>
      <c r="AX92" s="53"/>
      <c r="AY92" s="53"/>
      <c r="AZ92" s="53"/>
      <c r="BA92" s="53"/>
      <c r="BB92" s="53"/>
      <c r="BC92" s="53"/>
      <c r="BD92" s="53"/>
      <c r="BE92" s="53"/>
      <c r="BF92" s="53"/>
      <c r="BG92" s="53"/>
      <c r="BH92" s="53"/>
      <c r="BI92" s="53"/>
      <c r="BJ92" s="53"/>
      <c r="BK92" s="53"/>
      <c r="BL92" s="53"/>
      <c r="BM92" s="53"/>
      <c r="BN92" s="53"/>
      <c r="BO92" s="53"/>
      <c r="BP92" s="53"/>
      <c r="BQ92" s="53"/>
      <c r="BR92" s="53"/>
      <c r="BS92" s="53"/>
      <c r="BT92" s="53"/>
      <c r="BU92" s="53"/>
      <c r="BV92" s="53"/>
      <c r="BW92" s="53"/>
      <c r="BX92" s="53"/>
      <c r="BY92" s="53"/>
      <c r="BZ92" s="53"/>
      <c r="CA92" s="53"/>
      <c r="CB92" s="53"/>
      <c r="CC92" s="53"/>
      <c r="CD92" s="53"/>
      <c r="CE92" s="53"/>
      <c r="CF92" s="53"/>
      <c r="CG92" s="53"/>
      <c r="CH92" s="53"/>
      <c r="CI92" s="53"/>
      <c r="CJ92" s="53"/>
      <c r="CK92" s="53"/>
      <c r="CL92" s="53"/>
      <c r="CM92" s="53"/>
      <c r="CN92" s="53"/>
      <c r="CO92" s="53"/>
      <c r="CP92" s="53"/>
      <c r="CQ92" s="53"/>
      <c r="CR92" s="53">
        <v>6302</v>
      </c>
      <c r="CS92" s="53">
        <f>+CR92*E92</f>
        <v>2520800</v>
      </c>
      <c r="CT92" s="53"/>
      <c r="CU92" s="53"/>
      <c r="CV92" s="53"/>
      <c r="CW92" s="53"/>
      <c r="CX92" s="53"/>
      <c r="CY92" s="53"/>
      <c r="CZ92" s="53"/>
      <c r="DA92" s="53"/>
      <c r="DB92" s="53"/>
      <c r="DC92" s="53"/>
      <c r="DD92" s="53"/>
      <c r="DE92" s="53"/>
      <c r="DF92" s="53"/>
      <c r="DG92" s="53"/>
      <c r="DH92" s="53"/>
      <c r="DI92" s="53"/>
      <c r="DJ92" s="53"/>
      <c r="DK92" s="53"/>
      <c r="DL92" s="53"/>
      <c r="DM92" s="53"/>
      <c r="DN92" s="53"/>
      <c r="DO92" s="53"/>
      <c r="DP92" s="53"/>
      <c r="DQ92" s="53"/>
      <c r="DR92" s="53"/>
      <c r="DS92" s="53"/>
      <c r="DT92" s="53"/>
      <c r="DU92" s="53"/>
      <c r="DV92" s="53"/>
      <c r="DW92" s="53"/>
      <c r="DX92" s="53"/>
      <c r="DY92" s="53"/>
      <c r="DZ92" s="53"/>
      <c r="EA92" s="53"/>
      <c r="EB92" s="53"/>
      <c r="EC92" s="53"/>
      <c r="ED92" s="53"/>
      <c r="EE92" s="53"/>
      <c r="EF92" s="53"/>
      <c r="EG92" s="53"/>
      <c r="EH92" s="53"/>
      <c r="EI92" s="53"/>
      <c r="EJ92" s="53"/>
      <c r="EK92" s="53"/>
      <c r="EL92" s="53"/>
      <c r="EM92" s="53"/>
      <c r="EN92" s="53"/>
      <c r="EO92" s="53"/>
      <c r="EP92" s="130">
        <f>MEDIAN(L92,AD92,CR92)</f>
        <v>6302</v>
      </c>
      <c r="EQ92" s="130">
        <f>AVERAGE(L92,AD92,CR92)</f>
        <v>6238.9000000000005</v>
      </c>
      <c r="ER92" s="131">
        <f>STDEV(L92,AD92,CR92)</f>
        <v>1293.8045563376243</v>
      </c>
      <c r="ES92" s="137">
        <f t="shared" si="49"/>
        <v>0.20737703062040169</v>
      </c>
      <c r="ET92" s="151">
        <f t="shared" si="50"/>
        <v>6302</v>
      </c>
      <c r="EU92" s="150">
        <f t="shared" si="51"/>
        <v>2520800</v>
      </c>
      <c r="EV92" s="148" t="s">
        <v>322</v>
      </c>
      <c r="EW92" s="192"/>
    </row>
    <row r="93" spans="1:153" ht="68.25" customHeight="1" x14ac:dyDescent="0.25">
      <c r="A93" s="65">
        <v>87</v>
      </c>
      <c r="B93" s="203" t="s">
        <v>633</v>
      </c>
      <c r="C93" s="76" t="s">
        <v>634</v>
      </c>
      <c r="D93" s="77" t="s">
        <v>466</v>
      </c>
      <c r="E93" s="41">
        <v>350</v>
      </c>
      <c r="F93" s="153"/>
      <c r="G93" s="153"/>
      <c r="H93" s="153"/>
      <c r="I93" s="153"/>
      <c r="J93" s="153">
        <v>55450</v>
      </c>
      <c r="K93" s="153">
        <f>+J93*E93</f>
        <v>19407500</v>
      </c>
      <c r="L93" s="50"/>
      <c r="M93" s="50"/>
      <c r="N93" s="50"/>
      <c r="O93" s="50"/>
      <c r="P93" s="50"/>
      <c r="Q93" s="50"/>
      <c r="R93" s="50"/>
      <c r="S93" s="50"/>
      <c r="T93" s="50"/>
      <c r="U93" s="50"/>
      <c r="V93" s="50"/>
      <c r="W93" s="53"/>
      <c r="X93" s="53"/>
      <c r="Y93" s="53"/>
      <c r="Z93" s="53"/>
      <c r="AA93" s="53"/>
      <c r="AB93" s="53"/>
      <c r="AC93" s="53"/>
      <c r="AD93" s="153">
        <v>41985.58</v>
      </c>
      <c r="AE93" s="53">
        <f>+AD93*E93</f>
        <v>14694953</v>
      </c>
      <c r="AF93" s="53"/>
      <c r="AG93" s="53"/>
      <c r="AH93" s="53"/>
      <c r="AI93" s="53"/>
      <c r="AJ93" s="53"/>
      <c r="AK93" s="53"/>
      <c r="AL93" s="53"/>
      <c r="AM93" s="53"/>
      <c r="AN93" s="53"/>
      <c r="AO93" s="53"/>
      <c r="AP93" s="53"/>
      <c r="AQ93" s="53"/>
      <c r="AR93" s="53"/>
      <c r="AS93" s="53"/>
      <c r="AT93" s="53"/>
      <c r="AU93" s="53"/>
      <c r="AV93" s="53"/>
      <c r="AW93" s="53"/>
      <c r="AX93" s="53"/>
      <c r="AY93" s="53"/>
      <c r="AZ93" s="53"/>
      <c r="BA93" s="53"/>
      <c r="BB93" s="53"/>
      <c r="BC93" s="53"/>
      <c r="BD93" s="53"/>
      <c r="BE93" s="53"/>
      <c r="BF93" s="53"/>
      <c r="BG93" s="53"/>
      <c r="BH93" s="53"/>
      <c r="BI93" s="53"/>
      <c r="BJ93" s="53"/>
      <c r="BK93" s="53"/>
      <c r="BL93" s="53"/>
      <c r="BM93" s="53"/>
      <c r="BN93" s="53"/>
      <c r="BO93" s="53"/>
      <c r="BP93" s="53"/>
      <c r="BQ93" s="53"/>
      <c r="BR93" s="53"/>
      <c r="BS93" s="53"/>
      <c r="BT93" s="53"/>
      <c r="BU93" s="53"/>
      <c r="BV93" s="53"/>
      <c r="BW93" s="53"/>
      <c r="BX93" s="53"/>
      <c r="BY93" s="53"/>
      <c r="BZ93" s="53"/>
      <c r="CA93" s="53"/>
      <c r="CB93" s="53"/>
      <c r="CC93" s="53"/>
      <c r="CD93" s="53"/>
      <c r="CE93" s="53"/>
      <c r="CF93" s="53"/>
      <c r="CG93" s="53"/>
      <c r="CH93" s="53"/>
      <c r="CI93" s="53"/>
      <c r="CJ93" s="53"/>
      <c r="CK93" s="53"/>
      <c r="CL93" s="53"/>
      <c r="CM93" s="53"/>
      <c r="CN93" s="53"/>
      <c r="CO93" s="53"/>
      <c r="CP93" s="53"/>
      <c r="CQ93" s="53"/>
      <c r="CR93" s="53"/>
      <c r="CS93" s="53"/>
      <c r="CT93" s="53"/>
      <c r="CU93" s="53"/>
      <c r="CV93" s="53"/>
      <c r="CW93" s="53"/>
      <c r="CX93" s="53"/>
      <c r="CY93" s="53"/>
      <c r="CZ93" s="53"/>
      <c r="DA93" s="53"/>
      <c r="DB93" s="53"/>
      <c r="DC93" s="53"/>
      <c r="DD93" s="53"/>
      <c r="DE93" s="53"/>
      <c r="DF93" s="53"/>
      <c r="DG93" s="53"/>
      <c r="DH93" s="53"/>
      <c r="DI93" s="53"/>
      <c r="DJ93" s="53"/>
      <c r="DK93" s="53"/>
      <c r="DL93" s="53"/>
      <c r="DM93" s="53"/>
      <c r="DN93" s="53"/>
      <c r="DO93" s="53"/>
      <c r="DP93" s="53"/>
      <c r="DQ93" s="53"/>
      <c r="DR93" s="53"/>
      <c r="DS93" s="53"/>
      <c r="DT93" s="53"/>
      <c r="DU93" s="53"/>
      <c r="DV93" s="53"/>
      <c r="DW93" s="53"/>
      <c r="DX93" s="53"/>
      <c r="DY93" s="53"/>
      <c r="DZ93" s="53"/>
      <c r="EA93" s="53"/>
      <c r="EB93" s="53"/>
      <c r="EC93" s="53"/>
      <c r="ED93" s="53"/>
      <c r="EE93" s="53"/>
      <c r="EF93" s="53"/>
      <c r="EG93" s="53"/>
      <c r="EH93" s="53"/>
      <c r="EI93" s="53"/>
      <c r="EJ93" s="53"/>
      <c r="EK93" s="53"/>
      <c r="EL93" s="53"/>
      <c r="EM93" s="53"/>
      <c r="EN93" s="53"/>
      <c r="EO93" s="53"/>
      <c r="EP93" s="130">
        <f>MEDIAN(J93,AD93)</f>
        <v>48717.79</v>
      </c>
      <c r="EQ93" s="130">
        <f>AVERAGE(AD93,J93)</f>
        <v>48717.79</v>
      </c>
      <c r="ER93" s="131">
        <f>STDEV(J93,AD93)</f>
        <v>9520.7826867438107</v>
      </c>
      <c r="ES93" s="137">
        <f t="shared" si="49"/>
        <v>0.1954272286723969</v>
      </c>
      <c r="ET93" s="151">
        <f t="shared" si="50"/>
        <v>48718</v>
      </c>
      <c r="EU93" s="150">
        <f t="shared" si="51"/>
        <v>17051300</v>
      </c>
      <c r="EV93" s="148" t="s">
        <v>322</v>
      </c>
      <c r="EW93" s="192"/>
    </row>
    <row r="94" spans="1:153" s="49" customFormat="1" ht="32.450000000000003" customHeight="1" x14ac:dyDescent="0.25">
      <c r="A94" s="65">
        <v>88</v>
      </c>
      <c r="B94" s="203" t="s">
        <v>635</v>
      </c>
      <c r="C94" s="76" t="s">
        <v>636</v>
      </c>
      <c r="D94" s="77" t="s">
        <v>466</v>
      </c>
      <c r="E94" s="41">
        <v>350</v>
      </c>
      <c r="F94" s="146"/>
      <c r="G94" s="146"/>
      <c r="H94" s="146"/>
      <c r="I94" s="146"/>
      <c r="J94" s="146">
        <v>26000</v>
      </c>
      <c r="K94" s="146">
        <f t="shared" ref="K94:K100" si="52">+J94*E94</f>
        <v>9100000</v>
      </c>
      <c r="L94" s="53"/>
      <c r="M94" s="53"/>
      <c r="N94" s="53"/>
      <c r="O94" s="53"/>
      <c r="P94" s="53"/>
      <c r="Q94" s="53"/>
      <c r="R94" s="53"/>
      <c r="S94" s="53"/>
      <c r="T94" s="53"/>
      <c r="U94" s="53"/>
      <c r="V94" s="53"/>
      <c r="W94" s="53"/>
      <c r="X94" s="53"/>
      <c r="Y94" s="53"/>
      <c r="Z94" s="53"/>
      <c r="AA94" s="53"/>
      <c r="AB94" s="53"/>
      <c r="AC94" s="53"/>
      <c r="AD94" s="146">
        <v>13761.16</v>
      </c>
      <c r="AE94" s="53">
        <f t="shared" ref="AE94:AE104" si="53">+AD94*E94</f>
        <v>4816406</v>
      </c>
      <c r="AF94" s="53"/>
      <c r="AG94" s="53"/>
      <c r="AH94" s="53"/>
      <c r="AI94" s="53"/>
      <c r="AJ94" s="53"/>
      <c r="AK94" s="53"/>
      <c r="AL94" s="53"/>
      <c r="AM94" s="53"/>
      <c r="AN94" s="53"/>
      <c r="AO94" s="53"/>
      <c r="AP94" s="53"/>
      <c r="AQ94" s="53"/>
      <c r="AR94" s="53"/>
      <c r="AS94" s="53"/>
      <c r="AT94" s="53"/>
      <c r="AU94" s="53"/>
      <c r="AV94" s="53"/>
      <c r="AW94" s="53"/>
      <c r="AX94" s="53"/>
      <c r="AY94" s="53"/>
      <c r="AZ94" s="53"/>
      <c r="BA94" s="53"/>
      <c r="BB94" s="53"/>
      <c r="BC94" s="53"/>
      <c r="BD94" s="53"/>
      <c r="BE94" s="53"/>
      <c r="BF94" s="53"/>
      <c r="BG94" s="53"/>
      <c r="BH94" s="53"/>
      <c r="BI94" s="53"/>
      <c r="BJ94" s="53"/>
      <c r="BK94" s="53"/>
      <c r="BL94" s="53"/>
      <c r="BM94" s="53"/>
      <c r="BN94" s="53"/>
      <c r="BO94" s="53"/>
      <c r="BP94" s="53"/>
      <c r="BQ94" s="53"/>
      <c r="BR94" s="53"/>
      <c r="BS94" s="53"/>
      <c r="BT94" s="53"/>
      <c r="BU94" s="53"/>
      <c r="BV94" s="53">
        <v>35000</v>
      </c>
      <c r="BW94" s="53">
        <f>+BV94*E94</f>
        <v>12250000</v>
      </c>
      <c r="BX94" s="53"/>
      <c r="BY94" s="53"/>
      <c r="BZ94" s="53"/>
      <c r="CA94" s="53"/>
      <c r="CB94" s="53"/>
      <c r="CC94" s="53"/>
      <c r="CD94" s="53"/>
      <c r="CE94" s="53"/>
      <c r="CF94" s="53"/>
      <c r="CG94" s="53"/>
      <c r="CH94" s="53"/>
      <c r="CI94" s="53"/>
      <c r="CJ94" s="53"/>
      <c r="CK94" s="53"/>
      <c r="CL94" s="53"/>
      <c r="CM94" s="53"/>
      <c r="CN94" s="53"/>
      <c r="CO94" s="53"/>
      <c r="CP94" s="53"/>
      <c r="CQ94" s="53"/>
      <c r="CR94" s="53">
        <v>12906</v>
      </c>
      <c r="CS94" s="53">
        <f>+CR94*E94</f>
        <v>4517100</v>
      </c>
      <c r="CT94" s="53"/>
      <c r="CU94" s="53"/>
      <c r="CV94" s="53"/>
      <c r="CW94" s="53"/>
      <c r="CX94" s="53"/>
      <c r="CY94" s="53"/>
      <c r="CZ94" s="53"/>
      <c r="DA94" s="53"/>
      <c r="DB94" s="53"/>
      <c r="DC94" s="53"/>
      <c r="DD94" s="53"/>
      <c r="DE94" s="53"/>
      <c r="DF94" s="53"/>
      <c r="DG94" s="53"/>
      <c r="DH94" s="53"/>
      <c r="DI94" s="53"/>
      <c r="DJ94" s="53"/>
      <c r="DK94" s="53"/>
      <c r="DL94" s="53"/>
      <c r="DM94" s="53"/>
      <c r="DN94" s="53"/>
      <c r="DO94" s="53"/>
      <c r="DP94" s="53"/>
      <c r="DQ94" s="53"/>
      <c r="DR94" s="53"/>
      <c r="DS94" s="53"/>
      <c r="DT94" s="53"/>
      <c r="DU94" s="53"/>
      <c r="DV94" s="53"/>
      <c r="DW94" s="53"/>
      <c r="DX94" s="53"/>
      <c r="DY94" s="53"/>
      <c r="DZ94" s="53"/>
      <c r="EA94" s="53"/>
      <c r="EB94" s="53"/>
      <c r="EC94" s="53"/>
      <c r="ED94" s="53"/>
      <c r="EE94" s="53"/>
      <c r="EF94" s="53"/>
      <c r="EG94" s="53"/>
      <c r="EH94" s="53"/>
      <c r="EI94" s="53"/>
      <c r="EJ94" s="53"/>
      <c r="EK94" s="53"/>
      <c r="EL94" s="53"/>
      <c r="EM94" s="53"/>
      <c r="EN94" s="53"/>
      <c r="EO94" s="53"/>
      <c r="EP94" s="130">
        <f>MEDIAN(AD94,CR94)</f>
        <v>13333.58</v>
      </c>
      <c r="EQ94" s="130">
        <f>AVERAGE(AD94,CR94)</f>
        <v>13333.58</v>
      </c>
      <c r="ER94" s="131">
        <f>STDEV(AD94,CR94)</f>
        <v>604.68943499948784</v>
      </c>
      <c r="ES94" s="137">
        <f t="shared" si="49"/>
        <v>4.5350868633891858E-2</v>
      </c>
      <c r="ET94" s="151">
        <f t="shared" si="50"/>
        <v>13334</v>
      </c>
      <c r="EU94" s="150">
        <f t="shared" si="51"/>
        <v>4666900</v>
      </c>
      <c r="EV94" s="148" t="s">
        <v>319</v>
      </c>
      <c r="EW94" s="192"/>
    </row>
    <row r="95" spans="1:153" ht="32.450000000000003" customHeight="1" x14ac:dyDescent="0.25">
      <c r="A95" s="65">
        <v>89</v>
      </c>
      <c r="B95" s="203" t="s">
        <v>637</v>
      </c>
      <c r="C95" s="76" t="s">
        <v>638</v>
      </c>
      <c r="D95" s="77" t="s">
        <v>466</v>
      </c>
      <c r="E95" s="41">
        <v>350</v>
      </c>
      <c r="F95" s="153"/>
      <c r="G95" s="153"/>
      <c r="H95" s="153"/>
      <c r="I95" s="153"/>
      <c r="J95" s="153">
        <v>38000</v>
      </c>
      <c r="K95" s="153">
        <f t="shared" si="52"/>
        <v>13300000</v>
      </c>
      <c r="L95" s="50"/>
      <c r="M95" s="50"/>
      <c r="N95" s="50"/>
      <c r="O95" s="50"/>
      <c r="P95" s="50"/>
      <c r="Q95" s="50"/>
      <c r="R95" s="50"/>
      <c r="S95" s="50"/>
      <c r="T95" s="50"/>
      <c r="U95" s="50"/>
      <c r="V95" s="50"/>
      <c r="W95" s="53"/>
      <c r="X95" s="53"/>
      <c r="Y95" s="53"/>
      <c r="Z95" s="53"/>
      <c r="AA95" s="53"/>
      <c r="AB95" s="53"/>
      <c r="AC95" s="53"/>
      <c r="AD95" s="153">
        <v>17586.200799999999</v>
      </c>
      <c r="AE95" s="53">
        <f t="shared" si="53"/>
        <v>6155170.2799999993</v>
      </c>
      <c r="AF95" s="53"/>
      <c r="AG95" s="53"/>
      <c r="AH95" s="53"/>
      <c r="AI95" s="53"/>
      <c r="AJ95" s="53"/>
      <c r="AK95" s="53"/>
      <c r="AL95" s="53"/>
      <c r="AM95" s="53"/>
      <c r="AN95" s="53"/>
      <c r="AO95" s="53"/>
      <c r="AP95" s="53"/>
      <c r="AQ95" s="53"/>
      <c r="AR95" s="53"/>
      <c r="AS95" s="53"/>
      <c r="AT95" s="53"/>
      <c r="AU95" s="53"/>
      <c r="AV95" s="53"/>
      <c r="AW95" s="53"/>
      <c r="AX95" s="53"/>
      <c r="AY95" s="53"/>
      <c r="AZ95" s="53"/>
      <c r="BA95" s="53"/>
      <c r="BB95" s="53"/>
      <c r="BC95" s="53"/>
      <c r="BD95" s="53"/>
      <c r="BE95" s="53"/>
      <c r="BF95" s="53"/>
      <c r="BG95" s="53"/>
      <c r="BH95" s="53"/>
      <c r="BI95" s="53"/>
      <c r="BJ95" s="53"/>
      <c r="BK95" s="53"/>
      <c r="BL95" s="53"/>
      <c r="BM95" s="53"/>
      <c r="BN95" s="53"/>
      <c r="BO95" s="53"/>
      <c r="BP95" s="53"/>
      <c r="BQ95" s="53"/>
      <c r="BR95" s="53"/>
      <c r="BS95" s="53"/>
      <c r="BT95" s="53"/>
      <c r="BU95" s="53"/>
      <c r="BV95" s="53"/>
      <c r="BW95" s="53"/>
      <c r="BX95" s="53"/>
      <c r="BY95" s="53"/>
      <c r="BZ95" s="53"/>
      <c r="CA95" s="53"/>
      <c r="CB95" s="53"/>
      <c r="CC95" s="53"/>
      <c r="CD95" s="53"/>
      <c r="CE95" s="53"/>
      <c r="CF95" s="53"/>
      <c r="CG95" s="53"/>
      <c r="CH95" s="53"/>
      <c r="CI95" s="53"/>
      <c r="CJ95" s="53"/>
      <c r="CK95" s="53"/>
      <c r="CL95" s="53"/>
      <c r="CM95" s="53"/>
      <c r="CN95" s="53"/>
      <c r="CO95" s="53"/>
      <c r="CP95" s="53"/>
      <c r="CQ95" s="53"/>
      <c r="CR95" s="53">
        <v>44100</v>
      </c>
      <c r="CS95" s="53">
        <f t="shared" ref="CS95:CS96" si="54">+CR95*E95</f>
        <v>15435000</v>
      </c>
      <c r="CT95" s="53"/>
      <c r="CU95" s="53"/>
      <c r="CV95" s="53"/>
      <c r="CW95" s="53"/>
      <c r="CX95" s="53"/>
      <c r="CY95" s="53"/>
      <c r="CZ95" s="53"/>
      <c r="DA95" s="53"/>
      <c r="DB95" s="53"/>
      <c r="DC95" s="53"/>
      <c r="DD95" s="53"/>
      <c r="DE95" s="53"/>
      <c r="DF95" s="53"/>
      <c r="DG95" s="53"/>
      <c r="DH95" s="53"/>
      <c r="DI95" s="53"/>
      <c r="DJ95" s="53"/>
      <c r="DK95" s="53"/>
      <c r="DL95" s="53"/>
      <c r="DM95" s="53"/>
      <c r="DN95" s="53"/>
      <c r="DO95" s="53"/>
      <c r="DP95" s="53"/>
      <c r="DQ95" s="53"/>
      <c r="DR95" s="53"/>
      <c r="DS95" s="53"/>
      <c r="DT95" s="53"/>
      <c r="DU95" s="53"/>
      <c r="DV95" s="53"/>
      <c r="DW95" s="53"/>
      <c r="DX95" s="53"/>
      <c r="DY95" s="53"/>
      <c r="DZ95" s="53"/>
      <c r="EA95" s="53"/>
      <c r="EB95" s="53"/>
      <c r="EC95" s="53"/>
      <c r="ED95" s="53"/>
      <c r="EE95" s="53"/>
      <c r="EF95" s="53"/>
      <c r="EG95" s="53"/>
      <c r="EH95" s="53"/>
      <c r="EI95" s="53"/>
      <c r="EJ95" s="53"/>
      <c r="EK95" s="53"/>
      <c r="EL95" s="53"/>
      <c r="EM95" s="53"/>
      <c r="EN95" s="53"/>
      <c r="EO95" s="53"/>
      <c r="EP95" s="130">
        <f>MEDIAN(J95,CR95)</f>
        <v>41050</v>
      </c>
      <c r="EQ95" s="130">
        <f>AVERAGE(J95,CR95)</f>
        <v>41050</v>
      </c>
      <c r="ER95" s="131">
        <f>STDEV(J95,CR95)</f>
        <v>4313.3513652379397</v>
      </c>
      <c r="ES95" s="137">
        <f t="shared" si="49"/>
        <v>0.10507555091931643</v>
      </c>
      <c r="ET95" s="151">
        <f t="shared" si="50"/>
        <v>41050</v>
      </c>
      <c r="EU95" s="150">
        <f t="shared" si="51"/>
        <v>14367500</v>
      </c>
      <c r="EV95" s="148" t="s">
        <v>319</v>
      </c>
      <c r="EW95" s="192"/>
    </row>
    <row r="96" spans="1:153" ht="32.450000000000003" customHeight="1" x14ac:dyDescent="0.25">
      <c r="A96" s="65">
        <v>90</v>
      </c>
      <c r="B96" s="203" t="s">
        <v>639</v>
      </c>
      <c r="C96" s="76" t="s">
        <v>640</v>
      </c>
      <c r="D96" s="77" t="s">
        <v>466</v>
      </c>
      <c r="E96" s="41">
        <v>350</v>
      </c>
      <c r="F96" s="153"/>
      <c r="G96" s="153"/>
      <c r="H96" s="153"/>
      <c r="I96" s="153"/>
      <c r="J96" s="153">
        <v>21000</v>
      </c>
      <c r="K96" s="153">
        <f t="shared" si="52"/>
        <v>7350000</v>
      </c>
      <c r="L96" s="50"/>
      <c r="M96" s="50"/>
      <c r="N96" s="50"/>
      <c r="O96" s="50"/>
      <c r="P96" s="50"/>
      <c r="Q96" s="50"/>
      <c r="R96" s="50"/>
      <c r="S96" s="50"/>
      <c r="T96" s="50"/>
      <c r="U96" s="50"/>
      <c r="V96" s="50"/>
      <c r="W96" s="53"/>
      <c r="X96" s="53"/>
      <c r="Y96" s="53"/>
      <c r="Z96" s="53"/>
      <c r="AA96" s="53"/>
      <c r="AB96" s="53"/>
      <c r="AC96" s="53"/>
      <c r="AD96" s="153">
        <v>11093.18</v>
      </c>
      <c r="AE96" s="53">
        <f t="shared" si="53"/>
        <v>3882613</v>
      </c>
      <c r="AF96" s="53"/>
      <c r="AG96" s="53"/>
      <c r="AH96" s="53"/>
      <c r="AI96" s="53"/>
      <c r="AJ96" s="53"/>
      <c r="AK96" s="53"/>
      <c r="AL96" s="53"/>
      <c r="AM96" s="53"/>
      <c r="AN96" s="53"/>
      <c r="AO96" s="53"/>
      <c r="AP96" s="53"/>
      <c r="AQ96" s="53"/>
      <c r="AR96" s="53"/>
      <c r="AS96" s="53"/>
      <c r="AT96" s="53"/>
      <c r="AU96" s="53"/>
      <c r="AV96" s="53"/>
      <c r="AW96" s="53"/>
      <c r="AX96" s="53"/>
      <c r="AY96" s="53"/>
      <c r="AZ96" s="53"/>
      <c r="BA96" s="53"/>
      <c r="BB96" s="53"/>
      <c r="BC96" s="53"/>
      <c r="BD96" s="53"/>
      <c r="BE96" s="53"/>
      <c r="BF96" s="53"/>
      <c r="BG96" s="53"/>
      <c r="BH96" s="53"/>
      <c r="BI96" s="53"/>
      <c r="BJ96" s="53"/>
      <c r="BK96" s="53"/>
      <c r="BL96" s="53"/>
      <c r="BM96" s="53"/>
      <c r="BN96" s="53"/>
      <c r="BO96" s="53"/>
      <c r="BP96" s="53"/>
      <c r="BQ96" s="53"/>
      <c r="BR96" s="53"/>
      <c r="BS96" s="53"/>
      <c r="BT96" s="53"/>
      <c r="BU96" s="53"/>
      <c r="BV96" s="53"/>
      <c r="BW96" s="53"/>
      <c r="BX96" s="53"/>
      <c r="BY96" s="53"/>
      <c r="BZ96" s="53"/>
      <c r="CA96" s="53"/>
      <c r="CB96" s="53"/>
      <c r="CC96" s="53"/>
      <c r="CD96" s="53"/>
      <c r="CE96" s="53"/>
      <c r="CF96" s="53"/>
      <c r="CG96" s="53"/>
      <c r="CH96" s="53"/>
      <c r="CI96" s="53"/>
      <c r="CJ96" s="53"/>
      <c r="CK96" s="53"/>
      <c r="CL96" s="53"/>
      <c r="CM96" s="53"/>
      <c r="CN96" s="53"/>
      <c r="CO96" s="53"/>
      <c r="CP96" s="53"/>
      <c r="CQ96" s="53"/>
      <c r="CR96" s="53">
        <v>19656</v>
      </c>
      <c r="CS96" s="53">
        <f t="shared" si="54"/>
        <v>6879600</v>
      </c>
      <c r="CT96" s="53"/>
      <c r="CU96" s="53"/>
      <c r="CV96" s="53"/>
      <c r="CW96" s="53"/>
      <c r="CX96" s="53"/>
      <c r="CY96" s="53"/>
      <c r="CZ96" s="53"/>
      <c r="DA96" s="53"/>
      <c r="DB96" s="53"/>
      <c r="DC96" s="53"/>
      <c r="DD96" s="53"/>
      <c r="DE96" s="53"/>
      <c r="DF96" s="53"/>
      <c r="DG96" s="53"/>
      <c r="DH96" s="53"/>
      <c r="DI96" s="53"/>
      <c r="DJ96" s="53"/>
      <c r="DK96" s="53"/>
      <c r="DL96" s="53"/>
      <c r="DM96" s="53"/>
      <c r="DN96" s="53"/>
      <c r="DO96" s="53"/>
      <c r="DP96" s="53"/>
      <c r="DQ96" s="53"/>
      <c r="DR96" s="53"/>
      <c r="DS96" s="53"/>
      <c r="DT96" s="53"/>
      <c r="DU96" s="53"/>
      <c r="DV96" s="53"/>
      <c r="DW96" s="53"/>
      <c r="DX96" s="53"/>
      <c r="DY96" s="53"/>
      <c r="DZ96" s="53"/>
      <c r="EA96" s="53"/>
      <c r="EB96" s="53"/>
      <c r="EC96" s="53"/>
      <c r="ED96" s="53"/>
      <c r="EE96" s="53"/>
      <c r="EF96" s="53"/>
      <c r="EG96" s="53"/>
      <c r="EH96" s="53"/>
      <c r="EI96" s="53"/>
      <c r="EJ96" s="53"/>
      <c r="EK96" s="53"/>
      <c r="EL96" s="53"/>
      <c r="EM96" s="53"/>
      <c r="EN96" s="53"/>
      <c r="EO96" s="53"/>
      <c r="EP96" s="130">
        <f>MEDIAN(J96,CR96)</f>
        <v>20328</v>
      </c>
      <c r="EQ96" s="130">
        <f>AVERAGE(J96,CR96)</f>
        <v>20328</v>
      </c>
      <c r="ER96" s="131">
        <f>STDEV(J96,CR96)</f>
        <v>950.35151391471982</v>
      </c>
      <c r="ES96" s="137">
        <f t="shared" si="49"/>
        <v>4.6750861566052723E-2</v>
      </c>
      <c r="ET96" s="151">
        <f t="shared" si="50"/>
        <v>20328</v>
      </c>
      <c r="EU96" s="150">
        <f t="shared" si="51"/>
        <v>7114800</v>
      </c>
      <c r="EV96" s="148" t="s">
        <v>319</v>
      </c>
      <c r="EW96" s="192"/>
    </row>
    <row r="97" spans="1:153" s="49" customFormat="1" ht="32.450000000000003" customHeight="1" x14ac:dyDescent="0.25">
      <c r="A97" s="65">
        <v>91</v>
      </c>
      <c r="B97" s="200" t="s">
        <v>641</v>
      </c>
      <c r="C97" s="66" t="s">
        <v>642</v>
      </c>
      <c r="D97" s="67" t="s">
        <v>466</v>
      </c>
      <c r="E97" s="41">
        <v>350</v>
      </c>
      <c r="F97" s="146"/>
      <c r="G97" s="146"/>
      <c r="H97" s="146"/>
      <c r="I97" s="146"/>
      <c r="J97" s="146">
        <v>4500</v>
      </c>
      <c r="K97" s="146">
        <f t="shared" si="52"/>
        <v>1575000</v>
      </c>
      <c r="L97" s="53"/>
      <c r="M97" s="53"/>
      <c r="N97" s="53"/>
      <c r="O97" s="53"/>
      <c r="P97" s="53"/>
      <c r="Q97" s="53"/>
      <c r="R97" s="53"/>
      <c r="S97" s="53"/>
      <c r="T97" s="53"/>
      <c r="U97" s="53"/>
      <c r="V97" s="53"/>
      <c r="W97" s="53"/>
      <c r="X97" s="53"/>
      <c r="Y97" s="53"/>
      <c r="Z97" s="53"/>
      <c r="AA97" s="53"/>
      <c r="AB97" s="53"/>
      <c r="AC97" s="53"/>
      <c r="AD97" s="146">
        <v>3902.8568833333325</v>
      </c>
      <c r="AE97" s="53">
        <f t="shared" si="53"/>
        <v>1365999.9091666664</v>
      </c>
      <c r="AF97" s="53"/>
      <c r="AG97" s="53"/>
      <c r="AH97" s="53"/>
      <c r="AI97" s="53"/>
      <c r="AJ97" s="53"/>
      <c r="AK97" s="53"/>
      <c r="AL97" s="53"/>
      <c r="AM97" s="53"/>
      <c r="AN97" s="53"/>
      <c r="AO97" s="53"/>
      <c r="AP97" s="53"/>
      <c r="AQ97" s="53"/>
      <c r="AR97" s="53"/>
      <c r="AS97" s="53"/>
      <c r="AT97" s="53"/>
      <c r="AU97" s="53"/>
      <c r="AV97" s="53"/>
      <c r="AW97" s="53"/>
      <c r="AX97" s="53"/>
      <c r="AY97" s="53"/>
      <c r="AZ97" s="53"/>
      <c r="BA97" s="53"/>
      <c r="BB97" s="53"/>
      <c r="BC97" s="53"/>
      <c r="BD97" s="53"/>
      <c r="BE97" s="53"/>
      <c r="BF97" s="53"/>
      <c r="BG97" s="53"/>
      <c r="BH97" s="53"/>
      <c r="BI97" s="53"/>
      <c r="BJ97" s="53"/>
      <c r="BK97" s="53"/>
      <c r="BL97" s="53"/>
      <c r="BM97" s="53"/>
      <c r="BN97" s="53"/>
      <c r="BO97" s="53"/>
      <c r="BP97" s="53"/>
      <c r="BQ97" s="53"/>
      <c r="BR97" s="53"/>
      <c r="BS97" s="53"/>
      <c r="BT97" s="53"/>
      <c r="BU97" s="53"/>
      <c r="BV97" s="53"/>
      <c r="BW97" s="53"/>
      <c r="BX97" s="53"/>
      <c r="BY97" s="53"/>
      <c r="BZ97" s="53"/>
      <c r="CA97" s="53"/>
      <c r="CB97" s="53"/>
      <c r="CC97" s="53"/>
      <c r="CD97" s="53"/>
      <c r="CE97" s="53"/>
      <c r="CF97" s="53"/>
      <c r="CG97" s="53"/>
      <c r="CH97" s="53"/>
      <c r="CI97" s="53"/>
      <c r="CJ97" s="53"/>
      <c r="CK97" s="53"/>
      <c r="CL97" s="53"/>
      <c r="CM97" s="53"/>
      <c r="CN97" s="53"/>
      <c r="CO97" s="53"/>
      <c r="CP97" s="53"/>
      <c r="CQ97" s="53"/>
      <c r="CR97" s="53"/>
      <c r="CS97" s="53"/>
      <c r="CT97" s="53"/>
      <c r="CU97" s="53"/>
      <c r="CV97" s="53"/>
      <c r="CW97" s="53"/>
      <c r="CX97" s="53"/>
      <c r="CY97" s="53"/>
      <c r="CZ97" s="53"/>
      <c r="DA97" s="53"/>
      <c r="DB97" s="53"/>
      <c r="DC97" s="53"/>
      <c r="DD97" s="53"/>
      <c r="DE97" s="53"/>
      <c r="DF97" s="53"/>
      <c r="DG97" s="53"/>
      <c r="DH97" s="53"/>
      <c r="DI97" s="53"/>
      <c r="DJ97" s="53"/>
      <c r="DK97" s="53"/>
      <c r="DL97" s="53"/>
      <c r="DM97" s="53"/>
      <c r="DN97" s="53"/>
      <c r="DO97" s="53"/>
      <c r="DP97" s="53"/>
      <c r="DQ97" s="53"/>
      <c r="DR97" s="53"/>
      <c r="DS97" s="53"/>
      <c r="DT97" s="53"/>
      <c r="DU97" s="53"/>
      <c r="DV97" s="53"/>
      <c r="DW97" s="53"/>
      <c r="DX97" s="53"/>
      <c r="DY97" s="53"/>
      <c r="DZ97" s="53"/>
      <c r="EA97" s="53"/>
      <c r="EB97" s="53"/>
      <c r="EC97" s="53"/>
      <c r="ED97" s="53"/>
      <c r="EE97" s="53"/>
      <c r="EF97" s="53"/>
      <c r="EG97" s="53"/>
      <c r="EH97" s="53"/>
      <c r="EI97" s="53"/>
      <c r="EJ97" s="53"/>
      <c r="EK97" s="53"/>
      <c r="EL97" s="53"/>
      <c r="EM97" s="53"/>
      <c r="EN97" s="53"/>
      <c r="EO97" s="53"/>
      <c r="EP97" s="130">
        <f>MEDIAN(J97,AD97)</f>
        <v>4201.428441666666</v>
      </c>
      <c r="EQ97" s="130">
        <f>AVERAGE(J97,AD97)</f>
        <v>4201.428441666666</v>
      </c>
      <c r="ER97" s="131">
        <f>STDEV(J97,AD97)</f>
        <v>422.24394713387034</v>
      </c>
      <c r="ES97" s="137">
        <f t="shared" si="49"/>
        <v>0.10050009252719065</v>
      </c>
      <c r="ET97" s="151">
        <f t="shared" si="50"/>
        <v>4202</v>
      </c>
      <c r="EU97" s="150">
        <f t="shared" si="51"/>
        <v>1470700</v>
      </c>
      <c r="EV97" s="148" t="s">
        <v>319</v>
      </c>
      <c r="EW97" s="192"/>
    </row>
    <row r="98" spans="1:153" ht="51.75" customHeight="1" x14ac:dyDescent="0.25">
      <c r="A98" s="65">
        <v>92</v>
      </c>
      <c r="B98" s="203" t="s">
        <v>643</v>
      </c>
      <c r="C98" s="76" t="s">
        <v>644</v>
      </c>
      <c r="D98" s="77" t="s">
        <v>466</v>
      </c>
      <c r="E98" s="41">
        <v>350</v>
      </c>
      <c r="F98" s="153"/>
      <c r="G98" s="153"/>
      <c r="H98" s="153"/>
      <c r="I98" s="153"/>
      <c r="J98" s="153"/>
      <c r="K98" s="153">
        <f t="shared" si="52"/>
        <v>0</v>
      </c>
      <c r="L98" s="50"/>
      <c r="M98" s="50"/>
      <c r="N98" s="50"/>
      <c r="O98" s="50"/>
      <c r="P98" s="50"/>
      <c r="Q98" s="50"/>
      <c r="R98" s="50"/>
      <c r="S98" s="50"/>
      <c r="T98" s="50"/>
      <c r="U98" s="50"/>
      <c r="V98" s="50"/>
      <c r="W98" s="53"/>
      <c r="X98" s="53"/>
      <c r="Y98" s="53"/>
      <c r="Z98" s="53"/>
      <c r="AA98" s="53"/>
      <c r="AB98" s="53"/>
      <c r="AC98" s="53"/>
      <c r="AD98" s="153">
        <v>75194.91</v>
      </c>
      <c r="AE98" s="53">
        <f t="shared" si="53"/>
        <v>26318218.5</v>
      </c>
      <c r="AF98" s="53"/>
      <c r="AG98" s="53"/>
      <c r="AH98" s="53"/>
      <c r="AI98" s="53"/>
      <c r="AJ98" s="53"/>
      <c r="AK98" s="53"/>
      <c r="AL98" s="53"/>
      <c r="AM98" s="53"/>
      <c r="AN98" s="53"/>
      <c r="AO98" s="53"/>
      <c r="AP98" s="53"/>
      <c r="AQ98" s="53"/>
      <c r="AR98" s="53"/>
      <c r="AS98" s="53"/>
      <c r="AT98" s="53"/>
      <c r="AU98" s="53"/>
      <c r="AV98" s="53"/>
      <c r="AW98" s="53"/>
      <c r="AX98" s="53"/>
      <c r="AY98" s="53"/>
      <c r="AZ98" s="53"/>
      <c r="BA98" s="53"/>
      <c r="BB98" s="53"/>
      <c r="BC98" s="53"/>
      <c r="BD98" s="53"/>
      <c r="BE98" s="53"/>
      <c r="BF98" s="53"/>
      <c r="BG98" s="53"/>
      <c r="BH98" s="53"/>
      <c r="BI98" s="53"/>
      <c r="BJ98" s="53"/>
      <c r="BK98" s="53"/>
      <c r="BL98" s="53">
        <v>140000</v>
      </c>
      <c r="BM98" s="53"/>
      <c r="BN98" s="53">
        <v>75000</v>
      </c>
      <c r="BO98" s="53"/>
      <c r="BP98" s="53"/>
      <c r="BQ98" s="53"/>
      <c r="BR98" s="53"/>
      <c r="BS98" s="53"/>
      <c r="BT98" s="53"/>
      <c r="BU98" s="53"/>
      <c r="BV98" s="53"/>
      <c r="BW98" s="53"/>
      <c r="BX98" s="53"/>
      <c r="BY98" s="53"/>
      <c r="BZ98" s="53"/>
      <c r="CA98" s="53"/>
      <c r="CB98" s="53"/>
      <c r="CC98" s="53"/>
      <c r="CD98" s="53"/>
      <c r="CE98" s="53"/>
      <c r="CF98" s="53"/>
      <c r="CG98" s="53"/>
      <c r="CH98" s="53"/>
      <c r="CI98" s="53"/>
      <c r="CJ98" s="53"/>
      <c r="CK98" s="53"/>
      <c r="CL98" s="53"/>
      <c r="CM98" s="53"/>
      <c r="CN98" s="53"/>
      <c r="CO98" s="53"/>
      <c r="CP98" s="53"/>
      <c r="CQ98" s="53"/>
      <c r="CR98" s="53"/>
      <c r="CS98" s="53"/>
      <c r="CT98" s="53"/>
      <c r="CU98" s="53"/>
      <c r="CV98" s="53"/>
      <c r="CW98" s="53"/>
      <c r="CX98" s="53"/>
      <c r="CY98" s="53"/>
      <c r="CZ98" s="53"/>
      <c r="DA98" s="53"/>
      <c r="DB98" s="53"/>
      <c r="DC98" s="53"/>
      <c r="DD98" s="53"/>
      <c r="DE98" s="53"/>
      <c r="DF98" s="53"/>
      <c r="DG98" s="53"/>
      <c r="DH98" s="53"/>
      <c r="DI98" s="53"/>
      <c r="DJ98" s="53"/>
      <c r="DK98" s="53"/>
      <c r="DL98" s="53"/>
      <c r="DM98" s="53"/>
      <c r="DN98" s="53"/>
      <c r="DO98" s="53"/>
      <c r="DP98" s="53"/>
      <c r="DQ98" s="53"/>
      <c r="DR98" s="53"/>
      <c r="DS98" s="53"/>
      <c r="DT98" s="53"/>
      <c r="DU98" s="53"/>
      <c r="DV98" s="53"/>
      <c r="DW98" s="53"/>
      <c r="DX98" s="53"/>
      <c r="DY98" s="53"/>
      <c r="DZ98" s="53"/>
      <c r="EA98" s="53"/>
      <c r="EB98" s="53"/>
      <c r="EC98" s="53"/>
      <c r="ED98" s="53"/>
      <c r="EE98" s="53"/>
      <c r="EF98" s="53"/>
      <c r="EG98" s="53"/>
      <c r="EH98" s="53"/>
      <c r="EI98" s="53"/>
      <c r="EJ98" s="53"/>
      <c r="EK98" s="53"/>
      <c r="EL98" s="53"/>
      <c r="EM98" s="53"/>
      <c r="EN98" s="53"/>
      <c r="EO98" s="53"/>
      <c r="EP98" s="130">
        <f>MEDIAN(AD98,BN98)</f>
        <v>75097.455000000002</v>
      </c>
      <c r="EQ98" s="130">
        <f>AVERAGE(AD98,BN98)</f>
        <v>75097.455000000002</v>
      </c>
      <c r="ER98" s="131">
        <f>STDEV(AD98,BN98)</f>
        <v>137.82218272107244</v>
      </c>
      <c r="ES98" s="137">
        <f t="shared" si="49"/>
        <v>1.8352443863919547E-3</v>
      </c>
      <c r="ET98" s="151">
        <f t="shared" si="50"/>
        <v>75098</v>
      </c>
      <c r="EU98" s="150">
        <f t="shared" si="51"/>
        <v>26284300</v>
      </c>
      <c r="EV98" s="148" t="s">
        <v>319</v>
      </c>
      <c r="EW98" s="192"/>
    </row>
    <row r="99" spans="1:153" ht="45.75" customHeight="1" x14ac:dyDescent="0.25">
      <c r="A99" s="65">
        <v>93</v>
      </c>
      <c r="B99" s="203" t="s">
        <v>645</v>
      </c>
      <c r="C99" s="76" t="s">
        <v>646</v>
      </c>
      <c r="D99" s="77" t="s">
        <v>466</v>
      </c>
      <c r="E99" s="41">
        <v>350</v>
      </c>
      <c r="F99" s="153"/>
      <c r="G99" s="153"/>
      <c r="H99" s="153"/>
      <c r="I99" s="153"/>
      <c r="J99" s="153">
        <v>42300</v>
      </c>
      <c r="K99" s="153">
        <f t="shared" si="52"/>
        <v>14805000</v>
      </c>
      <c r="L99" s="50"/>
      <c r="M99" s="50"/>
      <c r="N99" s="50"/>
      <c r="O99" s="50"/>
      <c r="P99" s="50"/>
      <c r="Q99" s="50"/>
      <c r="R99" s="50"/>
      <c r="S99" s="50"/>
      <c r="T99" s="50"/>
      <c r="U99" s="50"/>
      <c r="V99" s="50"/>
      <c r="W99" s="53"/>
      <c r="X99" s="53"/>
      <c r="Y99" s="53"/>
      <c r="Z99" s="53"/>
      <c r="AA99" s="53"/>
      <c r="AB99" s="53"/>
      <c r="AC99" s="53"/>
      <c r="AD99" s="153">
        <v>54763.799999999996</v>
      </c>
      <c r="AE99" s="53">
        <f t="shared" si="53"/>
        <v>19167330</v>
      </c>
      <c r="AF99" s="53"/>
      <c r="AG99" s="53"/>
      <c r="AH99" s="53"/>
      <c r="AI99" s="53"/>
      <c r="AJ99" s="53"/>
      <c r="AK99" s="53"/>
      <c r="AL99" s="53"/>
      <c r="AM99" s="53"/>
      <c r="AN99" s="53"/>
      <c r="AO99" s="53"/>
      <c r="AP99" s="53"/>
      <c r="AQ99" s="53"/>
      <c r="AR99" s="53"/>
      <c r="AS99" s="53"/>
      <c r="AT99" s="53"/>
      <c r="AU99" s="53"/>
      <c r="AV99" s="53"/>
      <c r="AW99" s="53"/>
      <c r="AX99" s="53"/>
      <c r="AY99" s="53"/>
      <c r="AZ99" s="53"/>
      <c r="BA99" s="53"/>
      <c r="BB99" s="53"/>
      <c r="BC99" s="53"/>
      <c r="BD99" s="53"/>
      <c r="BE99" s="53"/>
      <c r="BF99" s="53"/>
      <c r="BG99" s="53"/>
      <c r="BH99" s="53"/>
      <c r="BI99" s="53"/>
      <c r="BJ99" s="53"/>
      <c r="BK99" s="53"/>
      <c r="BL99" s="53"/>
      <c r="BM99" s="53"/>
      <c r="BN99" s="53"/>
      <c r="BO99" s="53"/>
      <c r="BP99" s="53"/>
      <c r="BQ99" s="53"/>
      <c r="BR99" s="53"/>
      <c r="BS99" s="53"/>
      <c r="BT99" s="53"/>
      <c r="BU99" s="53"/>
      <c r="BV99" s="53"/>
      <c r="BW99" s="53"/>
      <c r="BX99" s="53"/>
      <c r="BY99" s="53"/>
      <c r="BZ99" s="53"/>
      <c r="CA99" s="53"/>
      <c r="CB99" s="53"/>
      <c r="CC99" s="53"/>
      <c r="CD99" s="53"/>
      <c r="CE99" s="53"/>
      <c r="CF99" s="53"/>
      <c r="CG99" s="53"/>
      <c r="CH99" s="53"/>
      <c r="CI99" s="53"/>
      <c r="CJ99" s="53"/>
      <c r="CK99" s="53"/>
      <c r="CL99" s="53"/>
      <c r="CM99" s="53"/>
      <c r="CN99" s="53"/>
      <c r="CO99" s="53"/>
      <c r="CP99" s="53"/>
      <c r="CQ99" s="53"/>
      <c r="CR99" s="53"/>
      <c r="CS99" s="53"/>
      <c r="CT99" s="53"/>
      <c r="CU99" s="53"/>
      <c r="CV99" s="53"/>
      <c r="CW99" s="53"/>
      <c r="CX99" s="53"/>
      <c r="CY99" s="53"/>
      <c r="CZ99" s="53"/>
      <c r="DA99" s="53"/>
      <c r="DB99" s="53"/>
      <c r="DC99" s="53"/>
      <c r="DD99" s="53"/>
      <c r="DE99" s="53"/>
      <c r="DF99" s="53"/>
      <c r="DG99" s="53"/>
      <c r="DH99" s="53"/>
      <c r="DI99" s="53"/>
      <c r="DJ99" s="53"/>
      <c r="DK99" s="53"/>
      <c r="DL99" s="53"/>
      <c r="DM99" s="53"/>
      <c r="DN99" s="53"/>
      <c r="DO99" s="53"/>
      <c r="DP99" s="53"/>
      <c r="DQ99" s="53"/>
      <c r="DR99" s="53"/>
      <c r="DS99" s="53"/>
      <c r="DT99" s="53"/>
      <c r="DU99" s="53"/>
      <c r="DV99" s="53"/>
      <c r="DW99" s="53"/>
      <c r="DX99" s="53"/>
      <c r="DY99" s="53"/>
      <c r="DZ99" s="53"/>
      <c r="EA99" s="53"/>
      <c r="EB99" s="53"/>
      <c r="EC99" s="53"/>
      <c r="ED99" s="53"/>
      <c r="EE99" s="53"/>
      <c r="EF99" s="53"/>
      <c r="EG99" s="53"/>
      <c r="EH99" s="53"/>
      <c r="EI99" s="53"/>
      <c r="EJ99" s="53"/>
      <c r="EK99" s="53"/>
      <c r="EL99" s="53"/>
      <c r="EM99" s="53"/>
      <c r="EN99" s="53"/>
      <c r="EO99" s="53"/>
      <c r="EP99" s="130">
        <f>MEDIAN(J99,AD99)</f>
        <v>48531.899999999994</v>
      </c>
      <c r="EQ99" s="130">
        <f>AVERAGE(J99,AD99)</f>
        <v>48531.899999999994</v>
      </c>
      <c r="ER99" s="131">
        <f>STDEV(J99,AD99)</f>
        <v>8813.2374993529065</v>
      </c>
      <c r="ES99" s="137">
        <f t="shared" si="49"/>
        <v>0.18159679508432408</v>
      </c>
      <c r="ET99" s="151">
        <f t="shared" si="50"/>
        <v>48532</v>
      </c>
      <c r="EU99" s="150">
        <f t="shared" si="51"/>
        <v>16986200</v>
      </c>
      <c r="EV99" s="148" t="s">
        <v>322</v>
      </c>
      <c r="EW99" s="192"/>
    </row>
    <row r="100" spans="1:153" ht="32.450000000000003" customHeight="1" x14ac:dyDescent="0.25">
      <c r="A100" s="65">
        <v>94</v>
      </c>
      <c r="B100" s="203" t="s">
        <v>647</v>
      </c>
      <c r="C100" s="76" t="s">
        <v>648</v>
      </c>
      <c r="D100" s="77" t="s">
        <v>466</v>
      </c>
      <c r="E100" s="41">
        <v>350</v>
      </c>
      <c r="F100" s="153"/>
      <c r="G100" s="153"/>
      <c r="H100" s="153">
        <v>15000</v>
      </c>
      <c r="I100" s="153">
        <f>+H100*E100</f>
        <v>5250000</v>
      </c>
      <c r="J100" s="153">
        <v>16000</v>
      </c>
      <c r="K100" s="153">
        <f t="shared" si="52"/>
        <v>5600000</v>
      </c>
      <c r="L100" s="50"/>
      <c r="M100" s="50"/>
      <c r="N100" s="50"/>
      <c r="O100" s="50"/>
      <c r="P100" s="50"/>
      <c r="Q100" s="50"/>
      <c r="R100" s="50"/>
      <c r="S100" s="50"/>
      <c r="T100" s="50"/>
      <c r="U100" s="50"/>
      <c r="V100" s="50"/>
      <c r="W100" s="53"/>
      <c r="X100" s="53"/>
      <c r="Y100" s="53"/>
      <c r="Z100" s="53"/>
      <c r="AA100" s="53"/>
      <c r="AB100" s="53"/>
      <c r="AC100" s="53"/>
      <c r="AD100" s="153">
        <v>28084</v>
      </c>
      <c r="AE100" s="53">
        <f t="shared" si="53"/>
        <v>9829400</v>
      </c>
      <c r="AF100" s="53"/>
      <c r="AG100" s="53"/>
      <c r="AH100" s="53"/>
      <c r="AI100" s="53"/>
      <c r="AJ100" s="53"/>
      <c r="AK100" s="53"/>
      <c r="AL100" s="53"/>
      <c r="AM100" s="53"/>
      <c r="AN100" s="53"/>
      <c r="AO100" s="53"/>
      <c r="AP100" s="53"/>
      <c r="AQ100" s="53"/>
      <c r="AR100" s="53"/>
      <c r="AS100" s="53"/>
      <c r="AT100" s="53"/>
      <c r="AU100" s="53"/>
      <c r="AV100" s="53"/>
      <c r="AW100" s="53"/>
      <c r="AX100" s="53"/>
      <c r="AY100" s="53"/>
      <c r="AZ100" s="53"/>
      <c r="BA100" s="53"/>
      <c r="BB100" s="53"/>
      <c r="BC100" s="53"/>
      <c r="BD100" s="53"/>
      <c r="BE100" s="53"/>
      <c r="BF100" s="53"/>
      <c r="BG100" s="53"/>
      <c r="BH100" s="53"/>
      <c r="BI100" s="53"/>
      <c r="BJ100" s="53"/>
      <c r="BK100" s="53"/>
      <c r="BL100" s="53"/>
      <c r="BM100" s="53"/>
      <c r="BN100" s="53"/>
      <c r="BO100" s="53"/>
      <c r="BP100" s="53"/>
      <c r="BQ100" s="53"/>
      <c r="BR100" s="53"/>
      <c r="BS100" s="53"/>
      <c r="BT100" s="53"/>
      <c r="BU100" s="53"/>
      <c r="BV100" s="53"/>
      <c r="BW100" s="53"/>
      <c r="BX100" s="53"/>
      <c r="BY100" s="53"/>
      <c r="BZ100" s="53"/>
      <c r="CA100" s="53"/>
      <c r="CB100" s="53"/>
      <c r="CC100" s="53"/>
      <c r="CD100" s="53"/>
      <c r="CE100" s="53"/>
      <c r="CF100" s="53"/>
      <c r="CG100" s="53"/>
      <c r="CH100" s="53"/>
      <c r="CI100" s="53"/>
      <c r="CJ100" s="53"/>
      <c r="CK100" s="53"/>
      <c r="CL100" s="53"/>
      <c r="CM100" s="53"/>
      <c r="CN100" s="53"/>
      <c r="CO100" s="53"/>
      <c r="CP100" s="53"/>
      <c r="CQ100" s="53"/>
      <c r="CR100" s="53"/>
      <c r="CS100" s="53"/>
      <c r="CT100" s="53"/>
      <c r="CU100" s="53"/>
      <c r="CV100" s="53"/>
      <c r="CW100" s="53"/>
      <c r="CX100" s="53"/>
      <c r="CY100" s="53"/>
      <c r="CZ100" s="53"/>
      <c r="DA100" s="53"/>
      <c r="DB100" s="53"/>
      <c r="DC100" s="53"/>
      <c r="DD100" s="53"/>
      <c r="DE100" s="53"/>
      <c r="DF100" s="53"/>
      <c r="DG100" s="53"/>
      <c r="DH100" s="53"/>
      <c r="DI100" s="53"/>
      <c r="DJ100" s="53"/>
      <c r="DK100" s="53"/>
      <c r="DL100" s="53"/>
      <c r="DM100" s="53"/>
      <c r="DN100" s="53"/>
      <c r="DO100" s="53"/>
      <c r="DP100" s="53"/>
      <c r="DQ100" s="53"/>
      <c r="DR100" s="53"/>
      <c r="DS100" s="53"/>
      <c r="DT100" s="53"/>
      <c r="DU100" s="53"/>
      <c r="DV100" s="53"/>
      <c r="DW100" s="53"/>
      <c r="DX100" s="53"/>
      <c r="DY100" s="53"/>
      <c r="DZ100" s="53"/>
      <c r="EA100" s="53"/>
      <c r="EB100" s="53"/>
      <c r="EC100" s="53"/>
      <c r="ED100" s="53"/>
      <c r="EE100" s="53"/>
      <c r="EF100" s="53"/>
      <c r="EG100" s="53"/>
      <c r="EH100" s="53"/>
      <c r="EI100" s="53"/>
      <c r="EJ100" s="53"/>
      <c r="EK100" s="53"/>
      <c r="EL100" s="53"/>
      <c r="EM100" s="53"/>
      <c r="EN100" s="53"/>
      <c r="EO100" s="53"/>
      <c r="EP100" s="130">
        <f>MEDIAN(H100,J100)</f>
        <v>15500</v>
      </c>
      <c r="EQ100" s="130">
        <f>AVERAGE(H100,J100)</f>
        <v>15500</v>
      </c>
      <c r="ER100" s="131">
        <f>STDEV(H100,J100)</f>
        <v>707.10678118654755</v>
      </c>
      <c r="ES100" s="137">
        <f t="shared" si="49"/>
        <v>4.5619792334615973E-2</v>
      </c>
      <c r="ET100" s="151">
        <f t="shared" si="50"/>
        <v>15500</v>
      </c>
      <c r="EU100" s="150">
        <f t="shared" si="51"/>
        <v>5425000</v>
      </c>
      <c r="EV100" s="148" t="s">
        <v>319</v>
      </c>
      <c r="EW100" s="192"/>
    </row>
    <row r="101" spans="1:153" ht="32.450000000000003" customHeight="1" x14ac:dyDescent="0.25">
      <c r="A101" s="65">
        <v>95</v>
      </c>
      <c r="B101" s="203" t="s">
        <v>649</v>
      </c>
      <c r="C101" s="76" t="s">
        <v>650</v>
      </c>
      <c r="D101" s="77" t="s">
        <v>466</v>
      </c>
      <c r="E101" s="41">
        <v>350</v>
      </c>
      <c r="F101" s="153"/>
      <c r="G101" s="153"/>
      <c r="H101" s="153"/>
      <c r="I101" s="153"/>
      <c r="J101" s="153"/>
      <c r="K101" s="153"/>
      <c r="L101" s="50"/>
      <c r="M101" s="50"/>
      <c r="N101" s="50"/>
      <c r="O101" s="50"/>
      <c r="P101" s="50"/>
      <c r="Q101" s="50"/>
      <c r="R101" s="50"/>
      <c r="S101" s="50"/>
      <c r="T101" s="50"/>
      <c r="U101" s="50"/>
      <c r="V101" s="50"/>
      <c r="W101" s="53"/>
      <c r="X101" s="53"/>
      <c r="Y101" s="53"/>
      <c r="Z101" s="53"/>
      <c r="AA101" s="53"/>
      <c r="AB101" s="53"/>
      <c r="AC101" s="53"/>
      <c r="AD101" s="153">
        <v>24994.76</v>
      </c>
      <c r="AE101" s="53">
        <f t="shared" si="53"/>
        <v>8748166</v>
      </c>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c r="BJ101" s="53"/>
      <c r="BK101" s="53"/>
      <c r="BL101" s="53"/>
      <c r="BM101" s="53"/>
      <c r="BN101" s="53"/>
      <c r="BO101" s="53"/>
      <c r="BP101" s="53"/>
      <c r="BQ101" s="53"/>
      <c r="BR101" s="53"/>
      <c r="BS101" s="53"/>
      <c r="BT101" s="53"/>
      <c r="BU101" s="53"/>
      <c r="BV101" s="53"/>
      <c r="BW101" s="53"/>
      <c r="BX101" s="53"/>
      <c r="BY101" s="53"/>
      <c r="BZ101" s="53"/>
      <c r="CA101" s="53"/>
      <c r="CB101" s="53"/>
      <c r="CC101" s="53"/>
      <c r="CD101" s="53"/>
      <c r="CE101" s="53"/>
      <c r="CF101" s="53"/>
      <c r="CG101" s="53"/>
      <c r="CH101" s="53"/>
      <c r="CI101" s="53"/>
      <c r="CJ101" s="53"/>
      <c r="CK101" s="53"/>
      <c r="CL101" s="53"/>
      <c r="CM101" s="53"/>
      <c r="CN101" s="53"/>
      <c r="CO101" s="53"/>
      <c r="CP101" s="53"/>
      <c r="CQ101" s="53"/>
      <c r="CR101" s="53">
        <v>25326</v>
      </c>
      <c r="CS101" s="53">
        <f t="shared" ref="CS101" si="55">+CR101*E101</f>
        <v>8864100</v>
      </c>
      <c r="CT101" s="53"/>
      <c r="CU101" s="53"/>
      <c r="CV101" s="53"/>
      <c r="CW101" s="53"/>
      <c r="CX101" s="53"/>
      <c r="CY101" s="53"/>
      <c r="CZ101" s="53"/>
      <c r="DA101" s="53"/>
      <c r="DB101" s="53"/>
      <c r="DC101" s="53"/>
      <c r="DD101" s="53"/>
      <c r="DE101" s="53"/>
      <c r="DF101" s="53"/>
      <c r="DG101" s="53"/>
      <c r="DH101" s="53"/>
      <c r="DI101" s="53"/>
      <c r="DJ101" s="53"/>
      <c r="DK101" s="53"/>
      <c r="DL101" s="53"/>
      <c r="DM101" s="53"/>
      <c r="DN101" s="53"/>
      <c r="DO101" s="53"/>
      <c r="DP101" s="53"/>
      <c r="DQ101" s="53"/>
      <c r="DR101" s="53"/>
      <c r="DS101" s="53"/>
      <c r="DT101" s="53"/>
      <c r="DU101" s="53"/>
      <c r="DV101" s="53"/>
      <c r="DW101" s="53"/>
      <c r="DX101" s="53"/>
      <c r="DY101" s="53"/>
      <c r="DZ101" s="53"/>
      <c r="EA101" s="53"/>
      <c r="EB101" s="53"/>
      <c r="EC101" s="53"/>
      <c r="ED101" s="53"/>
      <c r="EE101" s="53"/>
      <c r="EF101" s="53"/>
      <c r="EG101" s="53"/>
      <c r="EH101" s="53"/>
      <c r="EI101" s="53"/>
      <c r="EJ101" s="53"/>
      <c r="EK101" s="53"/>
      <c r="EL101" s="53"/>
      <c r="EM101" s="53"/>
      <c r="EN101" s="53"/>
      <c r="EO101" s="53"/>
      <c r="EP101" s="130">
        <f>MEDIAN(AD101,CR101)</f>
        <v>25160.379999999997</v>
      </c>
      <c r="EQ101" s="130">
        <f>AVERAGE(AD101,CR101)</f>
        <v>25160.379999999997</v>
      </c>
      <c r="ER101" s="131">
        <f>STDEV(AD101,CR101)</f>
        <v>234.22205020023313</v>
      </c>
      <c r="ES101" s="137">
        <f t="shared" si="49"/>
        <v>9.3091618727631758E-3</v>
      </c>
      <c r="ET101" s="151">
        <f t="shared" si="50"/>
        <v>25161</v>
      </c>
      <c r="EU101" s="150">
        <f t="shared" si="51"/>
        <v>8806350</v>
      </c>
      <c r="EV101" s="148" t="s">
        <v>319</v>
      </c>
      <c r="EW101" s="192"/>
    </row>
    <row r="102" spans="1:153" ht="66" customHeight="1" x14ac:dyDescent="0.25">
      <c r="A102" s="65">
        <v>96</v>
      </c>
      <c r="B102" s="203" t="s">
        <v>651</v>
      </c>
      <c r="C102" s="76" t="s">
        <v>652</v>
      </c>
      <c r="D102" s="77" t="s">
        <v>466</v>
      </c>
      <c r="E102" s="41">
        <v>350</v>
      </c>
      <c r="F102" s="153"/>
      <c r="G102" s="153"/>
      <c r="H102" s="153"/>
      <c r="I102" s="153"/>
      <c r="J102" s="153">
        <v>8100</v>
      </c>
      <c r="K102" s="153"/>
      <c r="L102" s="50"/>
      <c r="M102" s="50"/>
      <c r="N102" s="50"/>
      <c r="O102" s="50"/>
      <c r="P102" s="50"/>
      <c r="Q102" s="50"/>
      <c r="R102" s="50"/>
      <c r="S102" s="50"/>
      <c r="T102" s="50"/>
      <c r="U102" s="50"/>
      <c r="V102" s="50"/>
      <c r="W102" s="53"/>
      <c r="X102" s="53"/>
      <c r="Y102" s="53"/>
      <c r="Z102" s="53"/>
      <c r="AA102" s="53"/>
      <c r="AB102" s="53"/>
      <c r="AC102" s="53"/>
      <c r="AD102" s="153">
        <v>6009.9759999999997</v>
      </c>
      <c r="AE102" s="53">
        <f t="shared" si="53"/>
        <v>2103491.6</v>
      </c>
      <c r="AF102" s="53"/>
      <c r="AG102" s="53"/>
      <c r="AH102" s="53"/>
      <c r="AI102" s="53"/>
      <c r="AJ102" s="53"/>
      <c r="AK102" s="53"/>
      <c r="AL102" s="53"/>
      <c r="AM102" s="53"/>
      <c r="AN102" s="53"/>
      <c r="AO102" s="53"/>
      <c r="AP102" s="53"/>
      <c r="AQ102" s="53"/>
      <c r="AR102" s="53"/>
      <c r="AS102" s="53"/>
      <c r="AT102" s="53"/>
      <c r="AU102" s="53"/>
      <c r="AV102" s="53"/>
      <c r="AW102" s="53"/>
      <c r="AX102" s="53"/>
      <c r="AY102" s="53"/>
      <c r="AZ102" s="53"/>
      <c r="BA102" s="53"/>
      <c r="BB102" s="53"/>
      <c r="BC102" s="53"/>
      <c r="BD102" s="53"/>
      <c r="BE102" s="53"/>
      <c r="BF102" s="53"/>
      <c r="BG102" s="53"/>
      <c r="BH102" s="53"/>
      <c r="BI102" s="53"/>
      <c r="BJ102" s="53"/>
      <c r="BK102" s="53"/>
      <c r="BL102" s="53"/>
      <c r="BM102" s="53"/>
      <c r="BN102" s="53">
        <v>2500</v>
      </c>
      <c r="BO102" s="53"/>
      <c r="BP102" s="53"/>
      <c r="BQ102" s="53"/>
      <c r="BR102" s="53"/>
      <c r="BS102" s="53"/>
      <c r="BT102" s="53"/>
      <c r="BU102" s="53"/>
      <c r="BV102" s="53"/>
      <c r="BW102" s="53"/>
      <c r="BX102" s="53"/>
      <c r="BY102" s="53"/>
      <c r="BZ102" s="53"/>
      <c r="CA102" s="53"/>
      <c r="CB102" s="53"/>
      <c r="CC102" s="53"/>
      <c r="CD102" s="53"/>
      <c r="CE102" s="53"/>
      <c r="CF102" s="53"/>
      <c r="CG102" s="53"/>
      <c r="CH102" s="53"/>
      <c r="CI102" s="53"/>
      <c r="CJ102" s="53"/>
      <c r="CK102" s="53"/>
      <c r="CL102" s="53"/>
      <c r="CM102" s="53"/>
      <c r="CN102" s="53"/>
      <c r="CO102" s="53"/>
      <c r="CP102" s="53"/>
      <c r="CQ102" s="53"/>
      <c r="CR102" s="53"/>
      <c r="CS102" s="53"/>
      <c r="CT102" s="53"/>
      <c r="CU102" s="53"/>
      <c r="CV102" s="53"/>
      <c r="CW102" s="53"/>
      <c r="CX102" s="53"/>
      <c r="CY102" s="53"/>
      <c r="CZ102" s="53"/>
      <c r="DA102" s="53"/>
      <c r="DB102" s="53"/>
      <c r="DC102" s="53"/>
      <c r="DD102" s="53"/>
      <c r="DE102" s="53"/>
      <c r="DF102" s="53"/>
      <c r="DG102" s="53"/>
      <c r="DH102" s="53"/>
      <c r="DI102" s="53"/>
      <c r="DJ102" s="53"/>
      <c r="DK102" s="53"/>
      <c r="DL102" s="53"/>
      <c r="DM102" s="53"/>
      <c r="DN102" s="53"/>
      <c r="DO102" s="53"/>
      <c r="DP102" s="53"/>
      <c r="DQ102" s="53"/>
      <c r="DR102" s="53"/>
      <c r="DS102" s="53"/>
      <c r="DT102" s="53"/>
      <c r="DU102" s="53"/>
      <c r="DV102" s="53"/>
      <c r="DW102" s="53"/>
      <c r="DX102" s="53"/>
      <c r="DY102" s="53"/>
      <c r="DZ102" s="53"/>
      <c r="EA102" s="53"/>
      <c r="EB102" s="53"/>
      <c r="EC102" s="53"/>
      <c r="ED102" s="53"/>
      <c r="EE102" s="53"/>
      <c r="EF102" s="53"/>
      <c r="EG102" s="53"/>
      <c r="EH102" s="53"/>
      <c r="EI102" s="53"/>
      <c r="EJ102" s="53"/>
      <c r="EK102" s="53"/>
      <c r="EL102" s="53"/>
      <c r="EM102" s="53"/>
      <c r="EN102" s="53"/>
      <c r="EO102" s="53"/>
      <c r="EP102" s="130">
        <f>MEDIAN(AD102,J102)</f>
        <v>7054.9879999999994</v>
      </c>
      <c r="EQ102" s="130">
        <f>AVERAGE(AD102,J102)</f>
        <v>7054.9879999999994</v>
      </c>
      <c r="ER102" s="131">
        <f>STDEV(AD102,J102)</f>
        <v>1477.8701432426399</v>
      </c>
      <c r="ES102" s="137">
        <f t="shared" si="49"/>
        <v>0.20947876073533223</v>
      </c>
      <c r="ET102" s="151">
        <f t="shared" si="50"/>
        <v>7055</v>
      </c>
      <c r="EU102" s="150">
        <f t="shared" si="51"/>
        <v>2469250</v>
      </c>
      <c r="EV102" s="148" t="s">
        <v>322</v>
      </c>
      <c r="EW102" s="192"/>
    </row>
    <row r="103" spans="1:153" s="49" customFormat="1" ht="32.450000000000003" customHeight="1" x14ac:dyDescent="0.25">
      <c r="A103" s="65">
        <v>97</v>
      </c>
      <c r="B103" s="200" t="s">
        <v>653</v>
      </c>
      <c r="C103" s="66" t="s">
        <v>654</v>
      </c>
      <c r="D103" s="67" t="s">
        <v>466</v>
      </c>
      <c r="E103" s="41">
        <v>350</v>
      </c>
      <c r="F103" s="146"/>
      <c r="G103" s="146"/>
      <c r="H103" s="146"/>
      <c r="I103" s="146"/>
      <c r="J103" s="146"/>
      <c r="K103" s="146"/>
      <c r="L103" s="53"/>
      <c r="M103" s="53"/>
      <c r="N103" s="53"/>
      <c r="O103" s="53"/>
      <c r="P103" s="53"/>
      <c r="Q103" s="53"/>
      <c r="R103" s="53"/>
      <c r="S103" s="53"/>
      <c r="T103" s="53"/>
      <c r="U103" s="53"/>
      <c r="V103" s="53"/>
      <c r="W103" s="53"/>
      <c r="X103" s="53"/>
      <c r="Y103" s="53"/>
      <c r="Z103" s="53"/>
      <c r="AA103" s="53"/>
      <c r="AB103" s="53"/>
      <c r="AC103" s="53"/>
      <c r="AD103" s="146">
        <v>36712.808999999994</v>
      </c>
      <c r="AE103" s="53">
        <f t="shared" si="53"/>
        <v>12849483.149999999</v>
      </c>
      <c r="AF103" s="53"/>
      <c r="AG103" s="53"/>
      <c r="AH103" s="53"/>
      <c r="AI103" s="53"/>
      <c r="AJ103" s="53"/>
      <c r="AK103" s="53"/>
      <c r="AL103" s="53"/>
      <c r="AM103" s="53"/>
      <c r="AN103" s="53"/>
      <c r="AO103" s="53"/>
      <c r="AP103" s="53"/>
      <c r="AQ103" s="53"/>
      <c r="AR103" s="53"/>
      <c r="AS103" s="53"/>
      <c r="AT103" s="53"/>
      <c r="AU103" s="53"/>
      <c r="AV103" s="53"/>
      <c r="AW103" s="53"/>
      <c r="AX103" s="53"/>
      <c r="AY103" s="53"/>
      <c r="AZ103" s="53"/>
      <c r="BA103" s="53"/>
      <c r="BB103" s="53"/>
      <c r="BC103" s="53"/>
      <c r="BD103" s="53"/>
      <c r="BE103" s="53"/>
      <c r="BF103" s="53"/>
      <c r="BG103" s="53"/>
      <c r="BH103" s="53"/>
      <c r="BI103" s="53"/>
      <c r="BJ103" s="53"/>
      <c r="BK103" s="53"/>
      <c r="BL103" s="53"/>
      <c r="BM103" s="53"/>
      <c r="BN103" s="53"/>
      <c r="BO103" s="53"/>
      <c r="BP103" s="53"/>
      <c r="BQ103" s="53"/>
      <c r="BR103" s="53"/>
      <c r="BS103" s="53"/>
      <c r="BT103" s="53"/>
      <c r="BU103" s="53"/>
      <c r="BV103" s="53"/>
      <c r="BW103" s="53"/>
      <c r="BX103" s="53"/>
      <c r="BY103" s="53"/>
      <c r="BZ103" s="53"/>
      <c r="CA103" s="53"/>
      <c r="CB103" s="53"/>
      <c r="CC103" s="53"/>
      <c r="CD103" s="53"/>
      <c r="CE103" s="53"/>
      <c r="CF103" s="53"/>
      <c r="CG103" s="53"/>
      <c r="CH103" s="53"/>
      <c r="CI103" s="53"/>
      <c r="CJ103" s="53"/>
      <c r="CK103" s="53"/>
      <c r="CL103" s="53"/>
      <c r="CM103" s="53"/>
      <c r="CN103" s="53"/>
      <c r="CO103" s="53"/>
      <c r="CP103" s="53"/>
      <c r="CQ103" s="53"/>
      <c r="CR103" s="53">
        <v>15943</v>
      </c>
      <c r="CS103" s="53">
        <f t="shared" ref="CS103:CS104" si="56">+CR103*E103</f>
        <v>5580050</v>
      </c>
      <c r="CT103" s="53"/>
      <c r="CU103" s="53"/>
      <c r="CV103" s="53"/>
      <c r="CW103" s="53"/>
      <c r="CX103" s="53"/>
      <c r="CY103" s="53"/>
      <c r="CZ103" s="53"/>
      <c r="DA103" s="53"/>
      <c r="DB103" s="53"/>
      <c r="DC103" s="53"/>
      <c r="DD103" s="53"/>
      <c r="DE103" s="53"/>
      <c r="DF103" s="53"/>
      <c r="DG103" s="53"/>
      <c r="DH103" s="53"/>
      <c r="DI103" s="53"/>
      <c r="DJ103" s="53"/>
      <c r="DK103" s="53"/>
      <c r="DL103" s="53"/>
      <c r="DM103" s="53"/>
      <c r="DN103" s="53"/>
      <c r="DO103" s="53"/>
      <c r="DP103" s="53"/>
      <c r="DQ103" s="53"/>
      <c r="DR103" s="53"/>
      <c r="DS103" s="53"/>
      <c r="DT103" s="53"/>
      <c r="DU103" s="53"/>
      <c r="DV103" s="53"/>
      <c r="DW103" s="53"/>
      <c r="DX103" s="53"/>
      <c r="DY103" s="53"/>
      <c r="DZ103" s="53"/>
      <c r="EA103" s="53"/>
      <c r="EB103" s="53"/>
      <c r="EC103" s="53"/>
      <c r="ED103" s="53"/>
      <c r="EE103" s="53"/>
      <c r="EF103" s="53">
        <v>12733</v>
      </c>
      <c r="EG103" s="53">
        <f>+EF103*E103</f>
        <v>4456550</v>
      </c>
      <c r="EH103" s="53"/>
      <c r="EI103" s="53"/>
      <c r="EJ103" s="53"/>
      <c r="EK103" s="53"/>
      <c r="EL103" s="53"/>
      <c r="EM103" s="53"/>
      <c r="EN103" s="53"/>
      <c r="EO103" s="53"/>
      <c r="EP103" s="130">
        <f>MEDIAN(CR103,EF103)</f>
        <v>14338</v>
      </c>
      <c r="EQ103" s="130">
        <f>AVERAGE(CR103,EF103)</f>
        <v>14338</v>
      </c>
      <c r="ER103" s="131">
        <f>STDEV(CR103,EF103)</f>
        <v>2269.8127676088175</v>
      </c>
      <c r="ES103" s="137">
        <f t="shared" si="49"/>
        <v>0.15830748832534647</v>
      </c>
      <c r="ET103" s="151">
        <f t="shared" si="50"/>
        <v>14338</v>
      </c>
      <c r="EU103" s="150">
        <f t="shared" si="51"/>
        <v>5018300</v>
      </c>
      <c r="EV103" s="148" t="s">
        <v>322</v>
      </c>
      <c r="EW103" s="192"/>
    </row>
    <row r="104" spans="1:153" s="49" customFormat="1" ht="32.450000000000003" customHeight="1" x14ac:dyDescent="0.25">
      <c r="A104" s="65">
        <v>98</v>
      </c>
      <c r="B104" s="200" t="s">
        <v>655</v>
      </c>
      <c r="C104" s="66" t="s">
        <v>656</v>
      </c>
      <c r="D104" s="67" t="s">
        <v>466</v>
      </c>
      <c r="E104" s="41">
        <v>350</v>
      </c>
      <c r="F104" s="146"/>
      <c r="G104" s="146"/>
      <c r="H104" s="146"/>
      <c r="I104" s="146"/>
      <c r="J104" s="146">
        <v>10710</v>
      </c>
      <c r="K104" s="146">
        <f>+J104*E104</f>
        <v>3748500</v>
      </c>
      <c r="L104" s="53"/>
      <c r="M104" s="53"/>
      <c r="N104" s="53"/>
      <c r="O104" s="53"/>
      <c r="P104" s="53"/>
      <c r="Q104" s="53"/>
      <c r="R104" s="53"/>
      <c r="S104" s="53"/>
      <c r="T104" s="53"/>
      <c r="U104" s="53"/>
      <c r="V104" s="53"/>
      <c r="W104" s="53"/>
      <c r="X104" s="53"/>
      <c r="Y104" s="53"/>
      <c r="Z104" s="53">
        <v>17655</v>
      </c>
      <c r="AA104" s="53">
        <f>+Z104*E104</f>
        <v>6179250</v>
      </c>
      <c r="AB104" s="53"/>
      <c r="AC104" s="53"/>
      <c r="AD104" s="146">
        <v>17552.5</v>
      </c>
      <c r="AE104" s="53">
        <f t="shared" si="53"/>
        <v>6143375</v>
      </c>
      <c r="AF104" s="53"/>
      <c r="AG104" s="53"/>
      <c r="AH104" s="53"/>
      <c r="AI104" s="53"/>
      <c r="AJ104" s="53"/>
      <c r="AK104" s="53"/>
      <c r="AL104" s="53"/>
      <c r="AM104" s="53"/>
      <c r="AN104" s="53"/>
      <c r="AO104" s="53"/>
      <c r="AP104" s="53"/>
      <c r="AQ104" s="53"/>
      <c r="AR104" s="53"/>
      <c r="AS104" s="53"/>
      <c r="AT104" s="53"/>
      <c r="AU104" s="53"/>
      <c r="AV104" s="53"/>
      <c r="AW104" s="53"/>
      <c r="AX104" s="53"/>
      <c r="AY104" s="53"/>
      <c r="AZ104" s="53"/>
      <c r="BA104" s="53"/>
      <c r="BB104" s="53"/>
      <c r="BC104" s="53"/>
      <c r="BD104" s="53"/>
      <c r="BE104" s="53"/>
      <c r="BF104" s="53"/>
      <c r="BG104" s="53"/>
      <c r="BH104" s="53"/>
      <c r="BI104" s="53"/>
      <c r="BJ104" s="53"/>
      <c r="BK104" s="53"/>
      <c r="BL104" s="53"/>
      <c r="BM104" s="53"/>
      <c r="BN104" s="53"/>
      <c r="BO104" s="53"/>
      <c r="BP104" s="53"/>
      <c r="BQ104" s="53"/>
      <c r="BR104" s="53"/>
      <c r="BS104" s="53"/>
      <c r="BT104" s="53"/>
      <c r="BU104" s="53"/>
      <c r="BV104" s="53"/>
      <c r="BW104" s="53"/>
      <c r="BX104" s="53"/>
      <c r="BY104" s="53"/>
      <c r="BZ104" s="53"/>
      <c r="CA104" s="53"/>
      <c r="CB104" s="53"/>
      <c r="CC104" s="53"/>
      <c r="CD104" s="53"/>
      <c r="CE104" s="53"/>
      <c r="CF104" s="53"/>
      <c r="CG104" s="53"/>
      <c r="CH104" s="53"/>
      <c r="CI104" s="53"/>
      <c r="CJ104" s="53"/>
      <c r="CK104" s="53"/>
      <c r="CL104" s="53"/>
      <c r="CM104" s="53"/>
      <c r="CN104" s="53"/>
      <c r="CO104" s="53"/>
      <c r="CP104" s="53"/>
      <c r="CQ104" s="53"/>
      <c r="CR104" s="53">
        <v>7106</v>
      </c>
      <c r="CS104" s="53">
        <f t="shared" si="56"/>
        <v>2487100</v>
      </c>
      <c r="CT104" s="53"/>
      <c r="CU104" s="53"/>
      <c r="CV104" s="53"/>
      <c r="CW104" s="53"/>
      <c r="CX104" s="53"/>
      <c r="CY104" s="53"/>
      <c r="CZ104" s="53"/>
      <c r="DA104" s="53"/>
      <c r="DB104" s="53"/>
      <c r="DC104" s="53"/>
      <c r="DD104" s="53"/>
      <c r="DE104" s="53"/>
      <c r="DF104" s="53"/>
      <c r="DG104" s="53"/>
      <c r="DH104" s="53"/>
      <c r="DI104" s="53"/>
      <c r="DJ104" s="53"/>
      <c r="DK104" s="53"/>
      <c r="DL104" s="53"/>
      <c r="DM104" s="53"/>
      <c r="DN104" s="53"/>
      <c r="DO104" s="53"/>
      <c r="DP104" s="53"/>
      <c r="DQ104" s="53"/>
      <c r="DR104" s="53"/>
      <c r="DS104" s="53"/>
      <c r="DT104" s="53"/>
      <c r="DU104" s="53"/>
      <c r="DV104" s="53"/>
      <c r="DW104" s="53"/>
      <c r="DX104" s="53"/>
      <c r="DY104" s="53"/>
      <c r="DZ104" s="53"/>
      <c r="EA104" s="53"/>
      <c r="EB104" s="53"/>
      <c r="EC104" s="53"/>
      <c r="ED104" s="53"/>
      <c r="EE104" s="53"/>
      <c r="EF104" s="53"/>
      <c r="EG104" s="53"/>
      <c r="EH104" s="53"/>
      <c r="EI104" s="53"/>
      <c r="EJ104" s="53"/>
      <c r="EK104" s="53"/>
      <c r="EL104" s="53"/>
      <c r="EM104" s="53"/>
      <c r="EN104" s="53"/>
      <c r="EO104" s="53"/>
      <c r="EP104" s="130">
        <f>MEDIAN(Z104,AD104)</f>
        <v>17603.75</v>
      </c>
      <c r="EQ104" s="130">
        <f>AVERAGE(Z104,AD104)</f>
        <v>17603.75</v>
      </c>
      <c r="ER104" s="131">
        <f>STDEV(Z104,AD104)</f>
        <v>72.478445071621124</v>
      </c>
      <c r="ES104" s="137">
        <f t="shared" si="49"/>
        <v>4.1172162222038559E-3</v>
      </c>
      <c r="ET104" s="151">
        <f t="shared" si="50"/>
        <v>17604</v>
      </c>
      <c r="EU104" s="150">
        <f t="shared" si="51"/>
        <v>6161400</v>
      </c>
      <c r="EV104" s="148" t="s">
        <v>319</v>
      </c>
      <c r="EW104" s="192"/>
    </row>
    <row r="105" spans="1:153" ht="32.450000000000003" customHeight="1" x14ac:dyDescent="0.25">
      <c r="A105" s="65">
        <v>99</v>
      </c>
      <c r="B105" s="203" t="s">
        <v>657</v>
      </c>
      <c r="C105" s="76" t="s">
        <v>658</v>
      </c>
      <c r="D105" s="77" t="s">
        <v>466</v>
      </c>
      <c r="E105" s="41">
        <v>350</v>
      </c>
      <c r="F105" s="153"/>
      <c r="G105" s="153"/>
      <c r="H105" s="153"/>
      <c r="I105" s="153"/>
      <c r="J105" s="153"/>
      <c r="K105" s="153"/>
      <c r="L105" s="50"/>
      <c r="M105" s="50"/>
      <c r="N105" s="50">
        <v>24000</v>
      </c>
      <c r="O105" s="50"/>
      <c r="P105" s="50">
        <v>40000</v>
      </c>
      <c r="Q105" s="50"/>
      <c r="R105" s="50"/>
      <c r="S105" s="50"/>
      <c r="T105" s="50"/>
      <c r="U105" s="50"/>
      <c r="V105" s="50"/>
      <c r="W105" s="53"/>
      <c r="X105" s="53"/>
      <c r="Y105" s="53"/>
      <c r="Z105" s="53">
        <v>90000</v>
      </c>
      <c r="AA105" s="53">
        <f>+Z105*E105</f>
        <v>31500000</v>
      </c>
      <c r="AB105" s="53">
        <v>53000</v>
      </c>
      <c r="AC105" s="53">
        <f>+AB105*E105</f>
        <v>18550000</v>
      </c>
      <c r="AD105" s="153">
        <v>70069.58</v>
      </c>
      <c r="AE105" s="53">
        <f>+AD105*E105</f>
        <v>24524353</v>
      </c>
      <c r="AF105" s="53"/>
      <c r="AG105" s="53"/>
      <c r="AH105" s="53"/>
      <c r="AI105" s="53"/>
      <c r="AJ105" s="53"/>
      <c r="AK105" s="53"/>
      <c r="AL105" s="53"/>
      <c r="AM105" s="53"/>
      <c r="AN105" s="53"/>
      <c r="AO105" s="53"/>
      <c r="AP105" s="53"/>
      <c r="AQ105" s="53"/>
      <c r="AR105" s="53"/>
      <c r="AS105" s="53"/>
      <c r="AT105" s="53"/>
      <c r="AU105" s="53"/>
      <c r="AV105" s="53"/>
      <c r="AW105" s="53"/>
      <c r="AX105" s="53"/>
      <c r="AY105" s="53"/>
      <c r="AZ105" s="53"/>
      <c r="BA105" s="53"/>
      <c r="BB105" s="53"/>
      <c r="BC105" s="53"/>
      <c r="BD105" s="53"/>
      <c r="BE105" s="53"/>
      <c r="BF105" s="53"/>
      <c r="BG105" s="53"/>
      <c r="BH105" s="53"/>
      <c r="BI105" s="53"/>
      <c r="BJ105" s="53"/>
      <c r="BK105" s="53"/>
      <c r="BL105" s="53"/>
      <c r="BM105" s="53"/>
      <c r="BN105" s="53"/>
      <c r="BO105" s="53"/>
      <c r="BP105" s="53"/>
      <c r="BQ105" s="53"/>
      <c r="BR105" s="53"/>
      <c r="BS105" s="53"/>
      <c r="BT105" s="53"/>
      <c r="BU105" s="53"/>
      <c r="BV105" s="53"/>
      <c r="BW105" s="53"/>
      <c r="BX105" s="53"/>
      <c r="BY105" s="53"/>
      <c r="BZ105" s="53"/>
      <c r="CA105" s="53"/>
      <c r="CB105" s="53"/>
      <c r="CC105" s="53"/>
      <c r="CD105" s="53"/>
      <c r="CE105" s="53"/>
      <c r="CF105" s="53"/>
      <c r="CG105" s="53"/>
      <c r="CH105" s="53"/>
      <c r="CI105" s="53"/>
      <c r="CJ105" s="53"/>
      <c r="CK105" s="53"/>
      <c r="CL105" s="53"/>
      <c r="CM105" s="53"/>
      <c r="CN105" s="53"/>
      <c r="CO105" s="53"/>
      <c r="CP105" s="53"/>
      <c r="CQ105" s="53"/>
      <c r="CR105" s="53"/>
      <c r="CS105" s="53"/>
      <c r="CT105" s="53"/>
      <c r="CU105" s="53"/>
      <c r="CV105" s="53"/>
      <c r="CW105" s="53"/>
      <c r="CX105" s="53"/>
      <c r="CY105" s="53"/>
      <c r="CZ105" s="53"/>
      <c r="DA105" s="53"/>
      <c r="DB105" s="53"/>
      <c r="DC105" s="53"/>
      <c r="DD105" s="53"/>
      <c r="DE105" s="53"/>
      <c r="DF105" s="53"/>
      <c r="DG105" s="53"/>
      <c r="DH105" s="53"/>
      <c r="DI105" s="53"/>
      <c r="DJ105" s="53"/>
      <c r="DK105" s="53"/>
      <c r="DL105" s="53"/>
      <c r="DM105" s="53"/>
      <c r="DN105" s="53"/>
      <c r="DO105" s="53"/>
      <c r="DP105" s="53"/>
      <c r="DQ105" s="53"/>
      <c r="DR105" s="53"/>
      <c r="DS105" s="53"/>
      <c r="DT105" s="53"/>
      <c r="DU105" s="53"/>
      <c r="DV105" s="53"/>
      <c r="DW105" s="53"/>
      <c r="DX105" s="53"/>
      <c r="DY105" s="53"/>
      <c r="DZ105" s="53"/>
      <c r="EA105" s="53"/>
      <c r="EB105" s="53"/>
      <c r="EC105" s="53"/>
      <c r="ED105" s="53"/>
      <c r="EE105" s="53"/>
      <c r="EF105" s="53"/>
      <c r="EG105" s="53"/>
      <c r="EH105" s="53"/>
      <c r="EI105" s="53"/>
      <c r="EJ105" s="53"/>
      <c r="EK105" s="53"/>
      <c r="EL105" s="53"/>
      <c r="EM105" s="53"/>
      <c r="EN105" s="53"/>
      <c r="EO105" s="53"/>
      <c r="EP105" s="130">
        <f>MEDIAN(P105,AB105)</f>
        <v>46500</v>
      </c>
      <c r="EQ105" s="130">
        <f>AVERAGE(P105,AB105)</f>
        <v>46500</v>
      </c>
      <c r="ER105" s="131">
        <f>STDEV(P105,AB105)</f>
        <v>9192.3881554251184</v>
      </c>
      <c r="ES105" s="137">
        <f t="shared" si="49"/>
        <v>0.19768576678333588</v>
      </c>
      <c r="ET105" s="151">
        <f t="shared" si="50"/>
        <v>46500</v>
      </c>
      <c r="EU105" s="150">
        <f t="shared" si="51"/>
        <v>16275000</v>
      </c>
      <c r="EV105" s="148" t="s">
        <v>322</v>
      </c>
      <c r="EW105" s="192"/>
    </row>
    <row r="106" spans="1:153" s="49" customFormat="1" ht="32.450000000000003" customHeight="1" x14ac:dyDescent="0.25">
      <c r="A106" s="65">
        <v>100</v>
      </c>
      <c r="B106" s="200" t="s">
        <v>659</v>
      </c>
      <c r="C106" s="66" t="s">
        <v>660</v>
      </c>
      <c r="D106" s="67" t="s">
        <v>466</v>
      </c>
      <c r="E106" s="65">
        <v>800</v>
      </c>
      <c r="F106" s="146"/>
      <c r="G106" s="146"/>
      <c r="H106" s="146"/>
      <c r="I106" s="146"/>
      <c r="J106" s="146"/>
      <c r="K106" s="146"/>
      <c r="L106" s="53"/>
      <c r="M106" s="53"/>
      <c r="N106" s="53">
        <v>7000</v>
      </c>
      <c r="O106" s="53"/>
      <c r="P106" s="53">
        <v>14000</v>
      </c>
      <c r="Q106" s="53"/>
      <c r="R106" s="53"/>
      <c r="S106" s="53"/>
      <c r="T106" s="53"/>
      <c r="U106" s="53"/>
      <c r="V106" s="53"/>
      <c r="W106" s="53"/>
      <c r="X106" s="53"/>
      <c r="Y106" s="53"/>
      <c r="Z106" s="53"/>
      <c r="AA106" s="53"/>
      <c r="AB106" s="53">
        <v>17000</v>
      </c>
      <c r="AC106" s="53">
        <f t="shared" ref="AC106" si="57">+AB106*E106</f>
        <v>13600000</v>
      </c>
      <c r="AD106" s="146">
        <v>129186.4</v>
      </c>
      <c r="AE106" s="53">
        <f t="shared" ref="AE106:AE118" si="58">+AD106*E106</f>
        <v>103349120</v>
      </c>
      <c r="AF106" s="53"/>
      <c r="AG106" s="53"/>
      <c r="AH106" s="53"/>
      <c r="AI106" s="53"/>
      <c r="AJ106" s="53"/>
      <c r="AK106" s="53"/>
      <c r="AL106" s="53"/>
      <c r="AM106" s="53"/>
      <c r="AN106" s="53"/>
      <c r="AO106" s="53"/>
      <c r="AP106" s="53"/>
      <c r="AQ106" s="53"/>
      <c r="AR106" s="53"/>
      <c r="AS106" s="53"/>
      <c r="AT106" s="53"/>
      <c r="AU106" s="53"/>
      <c r="AV106" s="53"/>
      <c r="AW106" s="53"/>
      <c r="AX106" s="53"/>
      <c r="AY106" s="53"/>
      <c r="AZ106" s="53"/>
      <c r="BA106" s="53"/>
      <c r="BB106" s="53"/>
      <c r="BC106" s="53"/>
      <c r="BD106" s="53"/>
      <c r="BE106" s="53"/>
      <c r="BF106" s="53"/>
      <c r="BG106" s="53"/>
      <c r="BH106" s="53"/>
      <c r="BI106" s="53"/>
      <c r="BJ106" s="53"/>
      <c r="BK106" s="53"/>
      <c r="BL106" s="53"/>
      <c r="BM106" s="53"/>
      <c r="BN106" s="53"/>
      <c r="BO106" s="53"/>
      <c r="BP106" s="53"/>
      <c r="BQ106" s="53"/>
      <c r="BR106" s="53"/>
      <c r="BS106" s="53"/>
      <c r="BT106" s="53"/>
      <c r="BU106" s="53"/>
      <c r="BV106" s="53"/>
      <c r="BW106" s="53"/>
      <c r="BX106" s="53"/>
      <c r="BY106" s="53"/>
      <c r="BZ106" s="53"/>
      <c r="CA106" s="53"/>
      <c r="CB106" s="53"/>
      <c r="CC106" s="53"/>
      <c r="CD106" s="53"/>
      <c r="CE106" s="53"/>
      <c r="CF106" s="53"/>
      <c r="CG106" s="53"/>
      <c r="CH106" s="53"/>
      <c r="CI106" s="53"/>
      <c r="CJ106" s="53"/>
      <c r="CK106" s="53"/>
      <c r="CL106" s="53"/>
      <c r="CM106" s="53"/>
      <c r="CN106" s="53"/>
      <c r="CO106" s="53"/>
      <c r="CP106" s="53"/>
      <c r="CQ106" s="53"/>
      <c r="CR106" s="53"/>
      <c r="CS106" s="53"/>
      <c r="CT106" s="53"/>
      <c r="CU106" s="53"/>
      <c r="CV106" s="53"/>
      <c r="CW106" s="53"/>
      <c r="CX106" s="53"/>
      <c r="CY106" s="53"/>
      <c r="CZ106" s="53"/>
      <c r="DA106" s="53"/>
      <c r="DB106" s="53"/>
      <c r="DC106" s="53"/>
      <c r="DD106" s="53"/>
      <c r="DE106" s="53"/>
      <c r="DF106" s="53"/>
      <c r="DG106" s="53"/>
      <c r="DH106" s="53"/>
      <c r="DI106" s="53"/>
      <c r="DJ106" s="53"/>
      <c r="DK106" s="53"/>
      <c r="DL106" s="53"/>
      <c r="DM106" s="53"/>
      <c r="DN106" s="53"/>
      <c r="DO106" s="53"/>
      <c r="DP106" s="53"/>
      <c r="DQ106" s="53"/>
      <c r="DR106" s="53"/>
      <c r="DS106" s="53"/>
      <c r="DT106" s="53"/>
      <c r="DU106" s="53"/>
      <c r="DV106" s="53"/>
      <c r="DW106" s="53"/>
      <c r="DX106" s="53"/>
      <c r="DY106" s="53"/>
      <c r="DZ106" s="53"/>
      <c r="EA106" s="53"/>
      <c r="EB106" s="53"/>
      <c r="EC106" s="53"/>
      <c r="ED106" s="53"/>
      <c r="EE106" s="53"/>
      <c r="EF106" s="53"/>
      <c r="EG106" s="53"/>
      <c r="EH106" s="53"/>
      <c r="EI106" s="53"/>
      <c r="EJ106" s="53"/>
      <c r="EK106" s="53"/>
      <c r="EL106" s="53"/>
      <c r="EM106" s="53"/>
      <c r="EN106" s="53"/>
      <c r="EO106" s="53"/>
      <c r="EP106" s="130">
        <f>MEDIAN(P106,AB106)</f>
        <v>15500</v>
      </c>
      <c r="EQ106" s="130">
        <f>AVERAGE(P106,AB106)</f>
        <v>15500</v>
      </c>
      <c r="ER106" s="131">
        <f>STDEV(P106,AB106)</f>
        <v>2121.3203435596424</v>
      </c>
      <c r="ES106" s="137">
        <f t="shared" si="49"/>
        <v>0.1368593770038479</v>
      </c>
      <c r="ET106" s="151">
        <f t="shared" si="50"/>
        <v>15500</v>
      </c>
      <c r="EU106" s="150">
        <f t="shared" si="51"/>
        <v>12400000</v>
      </c>
      <c r="EV106" s="148" t="s">
        <v>319</v>
      </c>
      <c r="EW106" s="192"/>
    </row>
    <row r="107" spans="1:153" ht="71.25" customHeight="1" x14ac:dyDescent="0.25">
      <c r="A107" s="65">
        <v>101</v>
      </c>
      <c r="B107" s="203" t="s">
        <v>661</v>
      </c>
      <c r="C107" s="76" t="s">
        <v>662</v>
      </c>
      <c r="D107" s="77" t="s">
        <v>466</v>
      </c>
      <c r="E107" s="41">
        <v>290</v>
      </c>
      <c r="F107" s="153"/>
      <c r="G107" s="153"/>
      <c r="H107" s="153"/>
      <c r="I107" s="153"/>
      <c r="J107" s="153"/>
      <c r="K107" s="153"/>
      <c r="L107" s="50"/>
      <c r="M107" s="50"/>
      <c r="N107" s="50">
        <v>15000</v>
      </c>
      <c r="O107" s="50"/>
      <c r="P107" s="50">
        <v>32000</v>
      </c>
      <c r="Q107" s="50"/>
      <c r="R107" s="50"/>
      <c r="S107" s="50"/>
      <c r="T107" s="50"/>
      <c r="U107" s="50"/>
      <c r="V107" s="50"/>
      <c r="W107" s="53"/>
      <c r="X107" s="53"/>
      <c r="Y107" s="53"/>
      <c r="Z107" s="53"/>
      <c r="AA107" s="53"/>
      <c r="AB107" s="53"/>
      <c r="AC107" s="53"/>
      <c r="AD107" s="153">
        <v>22326.78</v>
      </c>
      <c r="AE107" s="53">
        <f t="shared" si="58"/>
        <v>6474766.1999999993</v>
      </c>
      <c r="AF107" s="53"/>
      <c r="AG107" s="53"/>
      <c r="AH107" s="53"/>
      <c r="AI107" s="53"/>
      <c r="AJ107" s="53"/>
      <c r="AK107" s="53"/>
      <c r="AL107" s="53"/>
      <c r="AM107" s="53"/>
      <c r="AN107" s="53"/>
      <c r="AO107" s="53"/>
      <c r="AP107" s="53"/>
      <c r="AQ107" s="53"/>
      <c r="AR107" s="53"/>
      <c r="AS107" s="53"/>
      <c r="AT107" s="53"/>
      <c r="AU107" s="53"/>
      <c r="AV107" s="53"/>
      <c r="AW107" s="53"/>
      <c r="AX107" s="53"/>
      <c r="AY107" s="53"/>
      <c r="AZ107" s="53"/>
      <c r="BA107" s="53"/>
      <c r="BB107" s="53"/>
      <c r="BC107" s="53"/>
      <c r="BD107" s="53"/>
      <c r="BE107" s="53"/>
      <c r="BF107" s="53"/>
      <c r="BG107" s="53"/>
      <c r="BH107" s="53"/>
      <c r="BI107" s="53"/>
      <c r="BJ107" s="53"/>
      <c r="BK107" s="53"/>
      <c r="BL107" s="53"/>
      <c r="BM107" s="53"/>
      <c r="BN107" s="53"/>
      <c r="BO107" s="53"/>
      <c r="BP107" s="53"/>
      <c r="BQ107" s="53"/>
      <c r="BR107" s="53"/>
      <c r="BS107" s="53"/>
      <c r="BT107" s="53"/>
      <c r="BU107" s="53"/>
      <c r="BV107" s="53"/>
      <c r="BW107" s="53"/>
      <c r="BX107" s="53"/>
      <c r="BY107" s="53"/>
      <c r="BZ107" s="53"/>
      <c r="CA107" s="53"/>
      <c r="CB107" s="53"/>
      <c r="CC107" s="53"/>
      <c r="CD107" s="53"/>
      <c r="CE107" s="53"/>
      <c r="CF107" s="53"/>
      <c r="CG107" s="53"/>
      <c r="CH107" s="53"/>
      <c r="CI107" s="53"/>
      <c r="CJ107" s="53"/>
      <c r="CK107" s="53"/>
      <c r="CL107" s="53"/>
      <c r="CM107" s="53"/>
      <c r="CN107" s="53"/>
      <c r="CO107" s="53"/>
      <c r="CP107" s="53"/>
      <c r="CQ107" s="53"/>
      <c r="CR107" s="53"/>
      <c r="CS107" s="53"/>
      <c r="CT107" s="53"/>
      <c r="CU107" s="53"/>
      <c r="CV107" s="53"/>
      <c r="CW107" s="53"/>
      <c r="CX107" s="53"/>
      <c r="CY107" s="53"/>
      <c r="CZ107" s="53"/>
      <c r="DA107" s="53"/>
      <c r="DB107" s="53"/>
      <c r="DC107" s="53"/>
      <c r="DD107" s="53"/>
      <c r="DE107" s="53"/>
      <c r="DF107" s="53"/>
      <c r="DG107" s="53"/>
      <c r="DH107" s="53"/>
      <c r="DI107" s="53"/>
      <c r="DJ107" s="53"/>
      <c r="DK107" s="53"/>
      <c r="DL107" s="53"/>
      <c r="DM107" s="53"/>
      <c r="DN107" s="53"/>
      <c r="DO107" s="53"/>
      <c r="DP107" s="53"/>
      <c r="DQ107" s="53"/>
      <c r="DR107" s="53"/>
      <c r="DS107" s="53"/>
      <c r="DT107" s="53"/>
      <c r="DU107" s="53"/>
      <c r="DV107" s="53"/>
      <c r="DW107" s="53"/>
      <c r="DX107" s="53"/>
      <c r="DY107" s="53"/>
      <c r="DZ107" s="53"/>
      <c r="EA107" s="53"/>
      <c r="EB107" s="53"/>
      <c r="EC107" s="53"/>
      <c r="ED107" s="53"/>
      <c r="EE107" s="53"/>
      <c r="EF107" s="53"/>
      <c r="EG107" s="53"/>
      <c r="EH107" s="53"/>
      <c r="EI107" s="53"/>
      <c r="EJ107" s="53"/>
      <c r="EK107" s="53"/>
      <c r="EL107" s="53"/>
      <c r="EM107" s="53"/>
      <c r="EN107" s="53"/>
      <c r="EO107" s="53"/>
      <c r="EP107" s="130">
        <f>MEDIAN(N107,AD107)</f>
        <v>18663.39</v>
      </c>
      <c r="EQ107" s="130">
        <f>AVERAGE(N107,AD107)</f>
        <v>18663.39</v>
      </c>
      <c r="ER107" s="131">
        <f>STDEV(N107,AD107)</f>
        <v>5180.815822261975</v>
      </c>
      <c r="ES107" s="137">
        <f t="shared" si="49"/>
        <v>0.2775924321498921</v>
      </c>
      <c r="ET107" s="151">
        <f t="shared" si="50"/>
        <v>18664</v>
      </c>
      <c r="EU107" s="150">
        <f t="shared" si="51"/>
        <v>5412560</v>
      </c>
      <c r="EV107" s="148" t="s">
        <v>322</v>
      </c>
      <c r="EW107" s="192"/>
    </row>
    <row r="108" spans="1:153" ht="32.450000000000003" customHeight="1" x14ac:dyDescent="0.25">
      <c r="A108" s="65">
        <v>102</v>
      </c>
      <c r="B108" s="203" t="s">
        <v>663</v>
      </c>
      <c r="C108" s="76" t="s">
        <v>664</v>
      </c>
      <c r="D108" s="77" t="s">
        <v>466</v>
      </c>
      <c r="E108" s="41">
        <v>250</v>
      </c>
      <c r="F108" s="153"/>
      <c r="G108" s="153"/>
      <c r="H108" s="153"/>
      <c r="I108" s="153"/>
      <c r="J108" s="153"/>
      <c r="K108" s="153"/>
      <c r="L108" s="50"/>
      <c r="M108" s="50"/>
      <c r="N108" s="50">
        <v>4000</v>
      </c>
      <c r="O108" s="50"/>
      <c r="P108" s="50">
        <v>4000</v>
      </c>
      <c r="Q108" s="50"/>
      <c r="R108" s="50"/>
      <c r="S108" s="50"/>
      <c r="T108" s="50"/>
      <c r="U108" s="50"/>
      <c r="V108" s="50"/>
      <c r="W108" s="53"/>
      <c r="X108" s="53"/>
      <c r="Y108" s="53"/>
      <c r="Z108" s="53"/>
      <c r="AA108" s="53"/>
      <c r="AB108" s="53"/>
      <c r="AC108" s="53"/>
      <c r="AD108" s="153">
        <v>2667.98</v>
      </c>
      <c r="AE108" s="53">
        <f t="shared" si="58"/>
        <v>666995</v>
      </c>
      <c r="AF108" s="53"/>
      <c r="AG108" s="53"/>
      <c r="AH108" s="53"/>
      <c r="AI108" s="53"/>
      <c r="AJ108" s="53"/>
      <c r="AK108" s="53"/>
      <c r="AL108" s="53"/>
      <c r="AM108" s="53"/>
      <c r="AN108" s="53"/>
      <c r="AO108" s="53"/>
      <c r="AP108" s="53"/>
      <c r="AQ108" s="53"/>
      <c r="AR108" s="53"/>
      <c r="AS108" s="53"/>
      <c r="AT108" s="53"/>
      <c r="AU108" s="53"/>
      <c r="AV108" s="53"/>
      <c r="AW108" s="53"/>
      <c r="AX108" s="53"/>
      <c r="AY108" s="53"/>
      <c r="AZ108" s="53"/>
      <c r="BA108" s="53"/>
      <c r="BB108" s="53"/>
      <c r="BC108" s="53"/>
      <c r="BD108" s="53"/>
      <c r="BE108" s="53"/>
      <c r="BF108" s="53"/>
      <c r="BG108" s="53"/>
      <c r="BH108" s="53"/>
      <c r="BI108" s="53"/>
      <c r="BJ108" s="53"/>
      <c r="BK108" s="53"/>
      <c r="BL108" s="53"/>
      <c r="BM108" s="53"/>
      <c r="BN108" s="53"/>
      <c r="BO108" s="53"/>
      <c r="BP108" s="53"/>
      <c r="BQ108" s="53"/>
      <c r="BR108" s="53"/>
      <c r="BS108" s="53"/>
      <c r="BT108" s="53"/>
      <c r="BU108" s="53"/>
      <c r="BV108" s="53"/>
      <c r="BW108" s="53"/>
      <c r="BX108" s="53"/>
      <c r="BY108" s="53"/>
      <c r="BZ108" s="53"/>
      <c r="CA108" s="53"/>
      <c r="CB108" s="53"/>
      <c r="CC108" s="53"/>
      <c r="CD108" s="53"/>
      <c r="CE108" s="53"/>
      <c r="CF108" s="53"/>
      <c r="CG108" s="53"/>
      <c r="CH108" s="53"/>
      <c r="CI108" s="53"/>
      <c r="CJ108" s="53"/>
      <c r="CK108" s="53"/>
      <c r="CL108" s="53"/>
      <c r="CM108" s="53"/>
      <c r="CN108" s="53"/>
      <c r="CO108" s="53"/>
      <c r="CP108" s="53"/>
      <c r="CQ108" s="53"/>
      <c r="CR108" s="53"/>
      <c r="CS108" s="53"/>
      <c r="CT108" s="53"/>
      <c r="CU108" s="53"/>
      <c r="CV108" s="53"/>
      <c r="CW108" s="53"/>
      <c r="CX108" s="53"/>
      <c r="CY108" s="53"/>
      <c r="CZ108" s="53"/>
      <c r="DA108" s="53"/>
      <c r="DB108" s="53"/>
      <c r="DC108" s="53"/>
      <c r="DD108" s="53"/>
      <c r="DE108" s="53"/>
      <c r="DF108" s="53"/>
      <c r="DG108" s="53"/>
      <c r="DH108" s="53"/>
      <c r="DI108" s="53"/>
      <c r="DJ108" s="53"/>
      <c r="DK108" s="53"/>
      <c r="DL108" s="53"/>
      <c r="DM108" s="53"/>
      <c r="DN108" s="53"/>
      <c r="DO108" s="53"/>
      <c r="DP108" s="53"/>
      <c r="DQ108" s="53"/>
      <c r="DR108" s="53"/>
      <c r="DS108" s="53"/>
      <c r="DT108" s="53"/>
      <c r="DU108" s="53"/>
      <c r="DV108" s="53"/>
      <c r="DW108" s="53"/>
      <c r="DX108" s="53"/>
      <c r="DY108" s="53"/>
      <c r="DZ108" s="53"/>
      <c r="EA108" s="53"/>
      <c r="EB108" s="53"/>
      <c r="EC108" s="53"/>
      <c r="ED108" s="53"/>
      <c r="EE108" s="53"/>
      <c r="EF108" s="53"/>
      <c r="EG108" s="53"/>
      <c r="EH108" s="53"/>
      <c r="EI108" s="53"/>
      <c r="EJ108" s="53"/>
      <c r="EK108" s="53"/>
      <c r="EL108" s="53"/>
      <c r="EM108" s="53"/>
      <c r="EN108" s="53"/>
      <c r="EO108" s="53"/>
      <c r="EP108" s="130">
        <f>MEDIAN(N108,P108)</f>
        <v>4000</v>
      </c>
      <c r="EQ108" s="130">
        <f>AVERAGE(N108,P108)</f>
        <v>4000</v>
      </c>
      <c r="ER108" s="131">
        <f>STDEV(N108,P108)</f>
        <v>0</v>
      </c>
      <c r="ES108" s="137">
        <f t="shared" si="49"/>
        <v>0</v>
      </c>
      <c r="ET108" s="151">
        <f t="shared" si="50"/>
        <v>4000</v>
      </c>
      <c r="EU108" s="150">
        <f t="shared" si="51"/>
        <v>1000000</v>
      </c>
      <c r="EV108" s="148" t="s">
        <v>319</v>
      </c>
      <c r="EW108" s="192"/>
    </row>
    <row r="109" spans="1:153" ht="32.450000000000003" customHeight="1" x14ac:dyDescent="0.25">
      <c r="A109" s="65">
        <v>103</v>
      </c>
      <c r="B109" s="203" t="s">
        <v>665</v>
      </c>
      <c r="C109" s="76" t="s">
        <v>666</v>
      </c>
      <c r="D109" s="77" t="s">
        <v>466</v>
      </c>
      <c r="E109" s="65">
        <v>350</v>
      </c>
      <c r="F109" s="153"/>
      <c r="G109" s="153"/>
      <c r="H109" s="153"/>
      <c r="I109" s="153"/>
      <c r="J109" s="153"/>
      <c r="K109" s="153"/>
      <c r="L109" s="50"/>
      <c r="M109" s="50"/>
      <c r="N109" s="50">
        <v>5000</v>
      </c>
      <c r="O109" s="50"/>
      <c r="P109" s="50">
        <v>5000</v>
      </c>
      <c r="Q109" s="50"/>
      <c r="R109" s="50"/>
      <c r="S109" s="50"/>
      <c r="T109" s="50"/>
      <c r="U109" s="50"/>
      <c r="V109" s="50"/>
      <c r="W109" s="53"/>
      <c r="X109" s="53"/>
      <c r="Y109" s="53"/>
      <c r="Z109" s="53"/>
      <c r="AA109" s="53"/>
      <c r="AB109" s="53"/>
      <c r="AC109" s="53"/>
      <c r="AD109" s="153">
        <v>5195.54</v>
      </c>
      <c r="AE109" s="53">
        <f t="shared" si="58"/>
        <v>1818439</v>
      </c>
      <c r="AF109" s="53"/>
      <c r="AG109" s="53"/>
      <c r="AH109" s="53"/>
      <c r="AI109" s="53"/>
      <c r="AJ109" s="53"/>
      <c r="AK109" s="53"/>
      <c r="AL109" s="53"/>
      <c r="AM109" s="53"/>
      <c r="AN109" s="53"/>
      <c r="AO109" s="53"/>
      <c r="AP109" s="53"/>
      <c r="AQ109" s="53"/>
      <c r="AR109" s="53"/>
      <c r="AS109" s="53"/>
      <c r="AT109" s="53"/>
      <c r="AU109" s="53"/>
      <c r="AV109" s="53"/>
      <c r="AW109" s="53"/>
      <c r="AX109" s="53"/>
      <c r="AY109" s="53"/>
      <c r="AZ109" s="53"/>
      <c r="BA109" s="53"/>
      <c r="BB109" s="53"/>
      <c r="BC109" s="53"/>
      <c r="BD109" s="53"/>
      <c r="BE109" s="53"/>
      <c r="BF109" s="53"/>
      <c r="BG109" s="53"/>
      <c r="BH109" s="53"/>
      <c r="BI109" s="53"/>
      <c r="BJ109" s="53"/>
      <c r="BK109" s="53"/>
      <c r="BL109" s="53"/>
      <c r="BM109" s="53"/>
      <c r="BN109" s="53"/>
      <c r="BO109" s="53"/>
      <c r="BP109" s="53"/>
      <c r="BQ109" s="53"/>
      <c r="BR109" s="53"/>
      <c r="BS109" s="53"/>
      <c r="BT109" s="53"/>
      <c r="BU109" s="53"/>
      <c r="BV109" s="53"/>
      <c r="BW109" s="53"/>
      <c r="BX109" s="53"/>
      <c r="BY109" s="53"/>
      <c r="BZ109" s="53"/>
      <c r="CA109" s="53"/>
      <c r="CB109" s="53"/>
      <c r="CC109" s="53"/>
      <c r="CD109" s="53"/>
      <c r="CE109" s="53"/>
      <c r="CF109" s="53"/>
      <c r="CG109" s="53"/>
      <c r="CH109" s="53"/>
      <c r="CI109" s="53"/>
      <c r="CJ109" s="53"/>
      <c r="CK109" s="53"/>
      <c r="CL109" s="53"/>
      <c r="CM109" s="53"/>
      <c r="CN109" s="53"/>
      <c r="CO109" s="53"/>
      <c r="CP109" s="53"/>
      <c r="CQ109" s="53"/>
      <c r="CR109" s="53"/>
      <c r="CS109" s="53"/>
      <c r="CT109" s="53"/>
      <c r="CU109" s="53"/>
      <c r="CV109" s="53"/>
      <c r="CW109" s="53"/>
      <c r="CX109" s="53"/>
      <c r="CY109" s="53"/>
      <c r="CZ109" s="53"/>
      <c r="DA109" s="53"/>
      <c r="DB109" s="53"/>
      <c r="DC109" s="53"/>
      <c r="DD109" s="53"/>
      <c r="DE109" s="53"/>
      <c r="DF109" s="53"/>
      <c r="DG109" s="53"/>
      <c r="DH109" s="53"/>
      <c r="DI109" s="53"/>
      <c r="DJ109" s="53"/>
      <c r="DK109" s="53"/>
      <c r="DL109" s="53"/>
      <c r="DM109" s="53"/>
      <c r="DN109" s="53"/>
      <c r="DO109" s="53"/>
      <c r="DP109" s="53"/>
      <c r="DQ109" s="53"/>
      <c r="DR109" s="53"/>
      <c r="DS109" s="53"/>
      <c r="DT109" s="53"/>
      <c r="DU109" s="53"/>
      <c r="DV109" s="53"/>
      <c r="DW109" s="53"/>
      <c r="DX109" s="53"/>
      <c r="DY109" s="53"/>
      <c r="DZ109" s="53"/>
      <c r="EA109" s="53"/>
      <c r="EB109" s="53"/>
      <c r="EC109" s="53"/>
      <c r="ED109" s="53"/>
      <c r="EE109" s="53"/>
      <c r="EF109" s="53"/>
      <c r="EG109" s="53"/>
      <c r="EH109" s="53"/>
      <c r="EI109" s="53"/>
      <c r="EJ109" s="53"/>
      <c r="EK109" s="53"/>
      <c r="EL109" s="53"/>
      <c r="EM109" s="53"/>
      <c r="EN109" s="53"/>
      <c r="EO109" s="53"/>
      <c r="EP109" s="130">
        <f>MEDIAN(N109,P109,AD109)</f>
        <v>5000</v>
      </c>
      <c r="EQ109" s="130">
        <f>AVERAGE(N109,P109,AD109)</f>
        <v>5065.18</v>
      </c>
      <c r="ER109" s="131">
        <f>STDEV(N109,P109,AD109)</f>
        <v>112.8950716373394</v>
      </c>
      <c r="ES109" s="137">
        <f t="shared" si="49"/>
        <v>2.228846193764869E-2</v>
      </c>
      <c r="ET109" s="151">
        <f t="shared" si="50"/>
        <v>5066</v>
      </c>
      <c r="EU109" s="150">
        <f t="shared" si="51"/>
        <v>1773100</v>
      </c>
      <c r="EV109" s="148" t="s">
        <v>319</v>
      </c>
      <c r="EW109" s="192"/>
    </row>
    <row r="110" spans="1:153" ht="51" customHeight="1" x14ac:dyDescent="0.25">
      <c r="A110" s="65">
        <v>104</v>
      </c>
      <c r="B110" s="203" t="s">
        <v>667</v>
      </c>
      <c r="C110" s="76" t="s">
        <v>668</v>
      </c>
      <c r="D110" s="77" t="s">
        <v>466</v>
      </c>
      <c r="E110" s="41">
        <v>590</v>
      </c>
      <c r="F110" s="153"/>
      <c r="G110" s="153"/>
      <c r="H110" s="153"/>
      <c r="I110" s="153"/>
      <c r="J110" s="153"/>
      <c r="K110" s="153"/>
      <c r="L110" s="50"/>
      <c r="M110" s="50"/>
      <c r="N110" s="50"/>
      <c r="O110" s="50"/>
      <c r="P110" s="50"/>
      <c r="Q110" s="50"/>
      <c r="R110" s="50"/>
      <c r="S110" s="50"/>
      <c r="T110" s="50"/>
      <c r="U110" s="50"/>
      <c r="V110" s="50"/>
      <c r="W110" s="53"/>
      <c r="X110" s="53"/>
      <c r="Y110" s="53"/>
      <c r="Z110" s="53">
        <v>2772</v>
      </c>
      <c r="AA110" s="53">
        <f t="shared" ref="AA110:AA111" si="59">+Z110*E110</f>
        <v>1635480</v>
      </c>
      <c r="AB110" s="53">
        <v>2142</v>
      </c>
      <c r="AC110" s="53">
        <f t="shared" ref="AC110" si="60">+AB110*E110</f>
        <v>1263780</v>
      </c>
      <c r="AD110" s="153">
        <v>41985.58</v>
      </c>
      <c r="AE110" s="53">
        <f t="shared" si="58"/>
        <v>24771492.199999999</v>
      </c>
      <c r="AF110" s="53"/>
      <c r="AG110" s="53"/>
      <c r="AH110" s="53"/>
      <c r="AI110" s="53"/>
      <c r="AJ110" s="53"/>
      <c r="AK110" s="53"/>
      <c r="AL110" s="53"/>
      <c r="AM110" s="53"/>
      <c r="AN110" s="53"/>
      <c r="AO110" s="53"/>
      <c r="AP110" s="53"/>
      <c r="AQ110" s="53"/>
      <c r="AR110" s="53"/>
      <c r="AS110" s="53"/>
      <c r="AT110" s="53"/>
      <c r="AU110" s="53"/>
      <c r="AV110" s="53"/>
      <c r="AW110" s="53"/>
      <c r="AX110" s="53"/>
      <c r="AY110" s="53"/>
      <c r="AZ110" s="53"/>
      <c r="BA110" s="53"/>
      <c r="BB110" s="53"/>
      <c r="BC110" s="53"/>
      <c r="BD110" s="53"/>
      <c r="BE110" s="53"/>
      <c r="BF110" s="53"/>
      <c r="BG110" s="53"/>
      <c r="BH110" s="53"/>
      <c r="BI110" s="53"/>
      <c r="BJ110" s="53"/>
      <c r="BK110" s="53"/>
      <c r="BL110" s="53"/>
      <c r="BM110" s="53"/>
      <c r="BN110" s="53"/>
      <c r="BO110" s="53"/>
      <c r="BP110" s="53"/>
      <c r="BQ110" s="53"/>
      <c r="BR110" s="53"/>
      <c r="BS110" s="53"/>
      <c r="BT110" s="53"/>
      <c r="BU110" s="53"/>
      <c r="BV110" s="53"/>
      <c r="BW110" s="53"/>
      <c r="BX110" s="53"/>
      <c r="BY110" s="53"/>
      <c r="BZ110" s="53"/>
      <c r="CA110" s="53"/>
      <c r="CB110" s="53"/>
      <c r="CC110" s="53"/>
      <c r="CD110" s="53"/>
      <c r="CE110" s="53"/>
      <c r="CF110" s="53"/>
      <c r="CG110" s="53"/>
      <c r="CH110" s="53"/>
      <c r="CI110" s="53"/>
      <c r="CJ110" s="53"/>
      <c r="CK110" s="53"/>
      <c r="CL110" s="53"/>
      <c r="CM110" s="53"/>
      <c r="CN110" s="53"/>
      <c r="CO110" s="53"/>
      <c r="CP110" s="53"/>
      <c r="CQ110" s="53"/>
      <c r="CR110" s="53"/>
      <c r="CS110" s="53"/>
      <c r="CT110" s="53"/>
      <c r="CU110" s="53"/>
      <c r="CV110" s="53"/>
      <c r="CW110" s="53"/>
      <c r="CX110" s="53"/>
      <c r="CY110" s="53"/>
      <c r="CZ110" s="53"/>
      <c r="DA110" s="53"/>
      <c r="DB110" s="53"/>
      <c r="DC110" s="53"/>
      <c r="DD110" s="53"/>
      <c r="DE110" s="53"/>
      <c r="DF110" s="53"/>
      <c r="DG110" s="53"/>
      <c r="DH110" s="53"/>
      <c r="DI110" s="53"/>
      <c r="DJ110" s="53"/>
      <c r="DK110" s="53"/>
      <c r="DL110" s="53"/>
      <c r="DM110" s="53"/>
      <c r="DN110" s="53"/>
      <c r="DO110" s="53"/>
      <c r="DP110" s="53"/>
      <c r="DQ110" s="53"/>
      <c r="DR110" s="53"/>
      <c r="DS110" s="53"/>
      <c r="DT110" s="53"/>
      <c r="DU110" s="53"/>
      <c r="DV110" s="53"/>
      <c r="DW110" s="53"/>
      <c r="DX110" s="53"/>
      <c r="DY110" s="53"/>
      <c r="DZ110" s="53"/>
      <c r="EA110" s="53"/>
      <c r="EB110" s="53"/>
      <c r="EC110" s="53"/>
      <c r="ED110" s="53"/>
      <c r="EE110" s="53"/>
      <c r="EF110" s="53"/>
      <c r="EG110" s="53"/>
      <c r="EH110" s="53"/>
      <c r="EI110" s="53"/>
      <c r="EJ110" s="53"/>
      <c r="EK110" s="53"/>
      <c r="EL110" s="53"/>
      <c r="EM110" s="53"/>
      <c r="EN110" s="53"/>
      <c r="EO110" s="53"/>
      <c r="EP110" s="130">
        <f>MEDIAN(Z110,AB110)</f>
        <v>2457</v>
      </c>
      <c r="EQ110" s="130">
        <f>AVERAGE(Z110,AB110)</f>
        <v>2457</v>
      </c>
      <c r="ER110" s="131">
        <f>STDEV(Z110,AB110)</f>
        <v>445.47727214752496</v>
      </c>
      <c r="ES110" s="137">
        <f t="shared" si="49"/>
        <v>0.18130943107347372</v>
      </c>
      <c r="ET110" s="151">
        <f t="shared" si="50"/>
        <v>2457</v>
      </c>
      <c r="EU110" s="150">
        <f t="shared" si="51"/>
        <v>1449630</v>
      </c>
      <c r="EV110" s="148" t="s">
        <v>322</v>
      </c>
      <c r="EW110" s="192"/>
    </row>
    <row r="111" spans="1:153" ht="32.450000000000003" customHeight="1" x14ac:dyDescent="0.25">
      <c r="A111" s="65">
        <v>105</v>
      </c>
      <c r="B111" s="203" t="s">
        <v>669</v>
      </c>
      <c r="C111" s="76" t="s">
        <v>670</v>
      </c>
      <c r="D111" s="77" t="s">
        <v>466</v>
      </c>
      <c r="E111" s="41">
        <v>250</v>
      </c>
      <c r="F111" s="153"/>
      <c r="G111" s="153"/>
      <c r="H111" s="153"/>
      <c r="I111" s="153"/>
      <c r="J111" s="153"/>
      <c r="K111" s="153"/>
      <c r="L111" s="50">
        <v>4500</v>
      </c>
      <c r="M111" s="50">
        <f>+L111*E111</f>
        <v>1125000</v>
      </c>
      <c r="N111" s="50">
        <v>8000</v>
      </c>
      <c r="O111" s="50"/>
      <c r="P111" s="50">
        <v>8000</v>
      </c>
      <c r="Q111" s="50"/>
      <c r="R111" s="50"/>
      <c r="S111" s="50"/>
      <c r="T111" s="50"/>
      <c r="U111" s="50"/>
      <c r="V111" s="50"/>
      <c r="W111" s="53"/>
      <c r="X111" s="53"/>
      <c r="Y111" s="53"/>
      <c r="Z111" s="53">
        <v>8500</v>
      </c>
      <c r="AA111" s="53">
        <f t="shared" si="59"/>
        <v>2125000</v>
      </c>
      <c r="AB111" s="53"/>
      <c r="AC111" s="53"/>
      <c r="AD111" s="153">
        <v>12519.847199999998</v>
      </c>
      <c r="AE111" s="53">
        <f t="shared" si="58"/>
        <v>3129961.8</v>
      </c>
      <c r="AF111" s="53"/>
      <c r="AG111" s="53"/>
      <c r="AH111" s="53"/>
      <c r="AI111" s="53"/>
      <c r="AJ111" s="53"/>
      <c r="AK111" s="53"/>
      <c r="AL111" s="53"/>
      <c r="AM111" s="53"/>
      <c r="AN111" s="53"/>
      <c r="AO111" s="53"/>
      <c r="AP111" s="53"/>
      <c r="AQ111" s="53"/>
      <c r="AR111" s="53"/>
      <c r="AS111" s="53"/>
      <c r="AT111" s="53"/>
      <c r="AU111" s="53"/>
      <c r="AV111" s="53"/>
      <c r="AW111" s="53"/>
      <c r="AX111" s="53"/>
      <c r="AY111" s="53"/>
      <c r="AZ111" s="53"/>
      <c r="BA111" s="53"/>
      <c r="BB111" s="53"/>
      <c r="BC111" s="53"/>
      <c r="BD111" s="53"/>
      <c r="BE111" s="53"/>
      <c r="BF111" s="53"/>
      <c r="BG111" s="53"/>
      <c r="BH111" s="53"/>
      <c r="BI111" s="53"/>
      <c r="BJ111" s="53"/>
      <c r="BK111" s="53"/>
      <c r="BL111" s="53"/>
      <c r="BM111" s="53"/>
      <c r="BN111" s="53"/>
      <c r="BO111" s="53"/>
      <c r="BP111" s="53"/>
      <c r="BQ111" s="53"/>
      <c r="BR111" s="53"/>
      <c r="BS111" s="53"/>
      <c r="BT111" s="53"/>
      <c r="BU111" s="53"/>
      <c r="BV111" s="53"/>
      <c r="BW111" s="53"/>
      <c r="BX111" s="53"/>
      <c r="BY111" s="53"/>
      <c r="BZ111" s="53"/>
      <c r="CA111" s="53"/>
      <c r="CB111" s="53"/>
      <c r="CC111" s="53"/>
      <c r="CD111" s="53"/>
      <c r="CE111" s="53"/>
      <c r="CF111" s="53"/>
      <c r="CG111" s="53"/>
      <c r="CH111" s="53"/>
      <c r="CI111" s="53"/>
      <c r="CJ111" s="53"/>
      <c r="CK111" s="53"/>
      <c r="CL111" s="53"/>
      <c r="CM111" s="53"/>
      <c r="CN111" s="53"/>
      <c r="CO111" s="53"/>
      <c r="CP111" s="53"/>
      <c r="CQ111" s="53"/>
      <c r="CR111" s="53"/>
      <c r="CS111" s="53"/>
      <c r="CT111" s="53"/>
      <c r="CU111" s="53"/>
      <c r="CV111" s="53"/>
      <c r="CW111" s="53"/>
      <c r="CX111" s="53"/>
      <c r="CY111" s="53"/>
      <c r="CZ111" s="53"/>
      <c r="DA111" s="53"/>
      <c r="DB111" s="53"/>
      <c r="DC111" s="53"/>
      <c r="DD111" s="53"/>
      <c r="DE111" s="53"/>
      <c r="DF111" s="53"/>
      <c r="DG111" s="53"/>
      <c r="DH111" s="53"/>
      <c r="DI111" s="53"/>
      <c r="DJ111" s="53"/>
      <c r="DK111" s="53"/>
      <c r="DL111" s="53"/>
      <c r="DM111" s="53"/>
      <c r="DN111" s="53"/>
      <c r="DO111" s="53"/>
      <c r="DP111" s="53"/>
      <c r="DQ111" s="53"/>
      <c r="DR111" s="53"/>
      <c r="DS111" s="53"/>
      <c r="DT111" s="53"/>
      <c r="DU111" s="53"/>
      <c r="DV111" s="53"/>
      <c r="DW111" s="53"/>
      <c r="DX111" s="53"/>
      <c r="DY111" s="53"/>
      <c r="DZ111" s="53"/>
      <c r="EA111" s="53"/>
      <c r="EB111" s="53"/>
      <c r="EC111" s="53"/>
      <c r="ED111" s="53"/>
      <c r="EE111" s="53"/>
      <c r="EF111" s="53"/>
      <c r="EG111" s="53"/>
      <c r="EH111" s="53"/>
      <c r="EI111" s="53"/>
      <c r="EJ111" s="53"/>
      <c r="EK111" s="53"/>
      <c r="EL111" s="53"/>
      <c r="EM111" s="53"/>
      <c r="EN111" s="53"/>
      <c r="EO111" s="53"/>
      <c r="EP111" s="130">
        <f>MEDIAN(N111,P111,Z111)</f>
        <v>8000</v>
      </c>
      <c r="EQ111" s="130">
        <f>AVERAGE(N111,P111,Z111)</f>
        <v>8166.666666666667</v>
      </c>
      <c r="ER111" s="131">
        <f>STDEV(N111,P111,Z111)</f>
        <v>288.67513459481285</v>
      </c>
      <c r="ES111" s="137">
        <f t="shared" si="49"/>
        <v>3.5347975664670961E-2</v>
      </c>
      <c r="ET111" s="151">
        <f t="shared" si="50"/>
        <v>8167</v>
      </c>
      <c r="EU111" s="150">
        <f t="shared" si="51"/>
        <v>2041750</v>
      </c>
      <c r="EV111" s="148" t="s">
        <v>319</v>
      </c>
      <c r="EW111" s="192"/>
    </row>
    <row r="112" spans="1:153" ht="32.450000000000003" customHeight="1" x14ac:dyDescent="0.25">
      <c r="A112" s="65">
        <v>106</v>
      </c>
      <c r="B112" s="203" t="s">
        <v>671</v>
      </c>
      <c r="C112" s="76" t="s">
        <v>672</v>
      </c>
      <c r="D112" s="77" t="s">
        <v>466</v>
      </c>
      <c r="E112" s="65">
        <v>250</v>
      </c>
      <c r="F112" s="153"/>
      <c r="G112" s="153"/>
      <c r="H112" s="153"/>
      <c r="I112" s="153"/>
      <c r="J112" s="153"/>
      <c r="K112" s="153"/>
      <c r="L112" s="50"/>
      <c r="M112" s="50"/>
      <c r="N112" s="50">
        <v>8000</v>
      </c>
      <c r="O112" s="50"/>
      <c r="P112" s="50">
        <v>7500</v>
      </c>
      <c r="Q112" s="50"/>
      <c r="R112" s="50"/>
      <c r="S112" s="50"/>
      <c r="T112" s="50"/>
      <c r="U112" s="50"/>
      <c r="V112" s="50"/>
      <c r="W112" s="53"/>
      <c r="X112" s="53"/>
      <c r="Y112" s="53"/>
      <c r="Z112" s="53"/>
      <c r="AA112" s="53"/>
      <c r="AB112" s="53"/>
      <c r="AC112" s="53"/>
      <c r="AD112" s="153">
        <v>126378</v>
      </c>
      <c r="AE112" s="53">
        <f t="shared" si="58"/>
        <v>31594500</v>
      </c>
      <c r="AF112" s="53"/>
      <c r="AG112" s="53"/>
      <c r="AH112" s="53"/>
      <c r="AI112" s="53"/>
      <c r="AJ112" s="53"/>
      <c r="AK112" s="53"/>
      <c r="AL112" s="53"/>
      <c r="AM112" s="53"/>
      <c r="AN112" s="53"/>
      <c r="AO112" s="53"/>
      <c r="AP112" s="53"/>
      <c r="AQ112" s="53"/>
      <c r="AR112" s="53"/>
      <c r="AS112" s="53"/>
      <c r="AT112" s="53"/>
      <c r="AU112" s="53"/>
      <c r="AV112" s="53"/>
      <c r="AW112" s="53"/>
      <c r="AX112" s="53"/>
      <c r="AY112" s="53"/>
      <c r="AZ112" s="53"/>
      <c r="BA112" s="53"/>
      <c r="BB112" s="53"/>
      <c r="BC112" s="53"/>
      <c r="BD112" s="53"/>
      <c r="BE112" s="53"/>
      <c r="BF112" s="53"/>
      <c r="BG112" s="53"/>
      <c r="BH112" s="53"/>
      <c r="BI112" s="53"/>
      <c r="BJ112" s="53"/>
      <c r="BK112" s="53"/>
      <c r="BL112" s="53"/>
      <c r="BM112" s="53"/>
      <c r="BN112" s="53"/>
      <c r="BO112" s="53"/>
      <c r="BP112" s="53"/>
      <c r="BQ112" s="53"/>
      <c r="BR112" s="53"/>
      <c r="BS112" s="53"/>
      <c r="BT112" s="53"/>
      <c r="BU112" s="53"/>
      <c r="BV112" s="53"/>
      <c r="BW112" s="53"/>
      <c r="BX112" s="53"/>
      <c r="BY112" s="53"/>
      <c r="BZ112" s="53"/>
      <c r="CA112" s="53"/>
      <c r="CB112" s="53"/>
      <c r="CC112" s="53"/>
      <c r="CD112" s="53"/>
      <c r="CE112" s="53"/>
      <c r="CF112" s="53"/>
      <c r="CG112" s="53"/>
      <c r="CH112" s="53"/>
      <c r="CI112" s="53"/>
      <c r="CJ112" s="53"/>
      <c r="CK112" s="53"/>
      <c r="CL112" s="53"/>
      <c r="CM112" s="53"/>
      <c r="CN112" s="53"/>
      <c r="CO112" s="53"/>
      <c r="CP112" s="53"/>
      <c r="CQ112" s="53"/>
      <c r="CR112" s="53"/>
      <c r="CS112" s="53"/>
      <c r="CT112" s="53"/>
      <c r="CU112" s="53"/>
      <c r="CV112" s="53"/>
      <c r="CW112" s="53"/>
      <c r="CX112" s="53"/>
      <c r="CY112" s="53"/>
      <c r="CZ112" s="53"/>
      <c r="DA112" s="53"/>
      <c r="DB112" s="53"/>
      <c r="DC112" s="53"/>
      <c r="DD112" s="53"/>
      <c r="DE112" s="53"/>
      <c r="DF112" s="53"/>
      <c r="DG112" s="53"/>
      <c r="DH112" s="53"/>
      <c r="DI112" s="53"/>
      <c r="DJ112" s="53"/>
      <c r="DK112" s="53"/>
      <c r="DL112" s="53"/>
      <c r="DM112" s="53"/>
      <c r="DN112" s="53"/>
      <c r="DO112" s="53"/>
      <c r="DP112" s="53"/>
      <c r="DQ112" s="53"/>
      <c r="DR112" s="53"/>
      <c r="DS112" s="53"/>
      <c r="DT112" s="53"/>
      <c r="DU112" s="53"/>
      <c r="DV112" s="53"/>
      <c r="DW112" s="53"/>
      <c r="DX112" s="53"/>
      <c r="DY112" s="53"/>
      <c r="DZ112" s="53"/>
      <c r="EA112" s="53"/>
      <c r="EB112" s="53"/>
      <c r="EC112" s="53"/>
      <c r="ED112" s="53"/>
      <c r="EE112" s="53"/>
      <c r="EF112" s="53"/>
      <c r="EG112" s="53"/>
      <c r="EH112" s="53"/>
      <c r="EI112" s="53"/>
      <c r="EJ112" s="53"/>
      <c r="EK112" s="53"/>
      <c r="EL112" s="53"/>
      <c r="EM112" s="53"/>
      <c r="EN112" s="53"/>
      <c r="EO112" s="53"/>
      <c r="EP112" s="130">
        <f>MEDIAN(N112,P112)</f>
        <v>7750</v>
      </c>
      <c r="EQ112" s="130">
        <f>AVERAGE(N112,P112)</f>
        <v>7750</v>
      </c>
      <c r="ER112" s="131">
        <f>STDEV(N112,P112)</f>
        <v>353.55339059327378</v>
      </c>
      <c r="ES112" s="137">
        <f t="shared" si="49"/>
        <v>4.5619792334615973E-2</v>
      </c>
      <c r="ET112" s="151">
        <f t="shared" si="50"/>
        <v>7750</v>
      </c>
      <c r="EU112" s="150">
        <f t="shared" si="51"/>
        <v>1937500</v>
      </c>
      <c r="EV112" s="148" t="s">
        <v>319</v>
      </c>
      <c r="EW112" s="192"/>
    </row>
    <row r="113" spans="1:153" ht="69.75" customHeight="1" x14ac:dyDescent="0.25">
      <c r="A113" s="65">
        <v>107</v>
      </c>
      <c r="B113" s="203" t="s">
        <v>673</v>
      </c>
      <c r="C113" s="76" t="s">
        <v>674</v>
      </c>
      <c r="D113" s="77" t="s">
        <v>466</v>
      </c>
      <c r="E113" s="41">
        <v>390</v>
      </c>
      <c r="F113" s="153"/>
      <c r="G113" s="153"/>
      <c r="H113" s="153"/>
      <c r="I113" s="153"/>
      <c r="J113" s="153"/>
      <c r="K113" s="153"/>
      <c r="L113" s="50"/>
      <c r="M113" s="50"/>
      <c r="N113" s="50"/>
      <c r="O113" s="50"/>
      <c r="P113" s="50">
        <v>18000</v>
      </c>
      <c r="Q113" s="50"/>
      <c r="R113" s="50"/>
      <c r="S113" s="50"/>
      <c r="T113" s="50"/>
      <c r="U113" s="50"/>
      <c r="V113" s="50"/>
      <c r="W113" s="53"/>
      <c r="X113" s="53"/>
      <c r="Y113" s="53"/>
      <c r="Z113" s="53"/>
      <c r="AA113" s="53"/>
      <c r="AB113" s="53">
        <v>20000</v>
      </c>
      <c r="AC113" s="53">
        <f t="shared" ref="AC113" si="61">+AB113*E113</f>
        <v>7800000</v>
      </c>
      <c r="AD113" s="153">
        <v>106719.2</v>
      </c>
      <c r="AE113" s="53">
        <f t="shared" si="58"/>
        <v>41620488</v>
      </c>
      <c r="AF113" s="53"/>
      <c r="AG113" s="53"/>
      <c r="AH113" s="53"/>
      <c r="AI113" s="53"/>
      <c r="AJ113" s="53"/>
      <c r="AK113" s="53"/>
      <c r="AL113" s="53"/>
      <c r="AM113" s="53"/>
      <c r="AN113" s="53"/>
      <c r="AO113" s="53"/>
      <c r="AP113" s="53"/>
      <c r="AQ113" s="53"/>
      <c r="AR113" s="53"/>
      <c r="AS113" s="53"/>
      <c r="AT113" s="53"/>
      <c r="AU113" s="53"/>
      <c r="AV113" s="53"/>
      <c r="AW113" s="53"/>
      <c r="AX113" s="53"/>
      <c r="AY113" s="53"/>
      <c r="AZ113" s="53"/>
      <c r="BA113" s="53"/>
      <c r="BB113" s="53"/>
      <c r="BC113" s="53"/>
      <c r="BD113" s="53"/>
      <c r="BE113" s="53"/>
      <c r="BF113" s="53"/>
      <c r="BG113" s="53"/>
      <c r="BH113" s="53"/>
      <c r="BI113" s="53"/>
      <c r="BJ113" s="53"/>
      <c r="BK113" s="53"/>
      <c r="BL113" s="53"/>
      <c r="BM113" s="53"/>
      <c r="BN113" s="53"/>
      <c r="BO113" s="53"/>
      <c r="BP113" s="53"/>
      <c r="BQ113" s="53"/>
      <c r="BR113" s="53"/>
      <c r="BS113" s="53"/>
      <c r="BT113" s="53"/>
      <c r="BU113" s="53"/>
      <c r="BV113" s="53"/>
      <c r="BW113" s="53"/>
      <c r="BX113" s="53"/>
      <c r="BY113" s="53"/>
      <c r="BZ113" s="53"/>
      <c r="CA113" s="53"/>
      <c r="CB113" s="53"/>
      <c r="CC113" s="53"/>
      <c r="CD113" s="53"/>
      <c r="CE113" s="53"/>
      <c r="CF113" s="53"/>
      <c r="CG113" s="53"/>
      <c r="CH113" s="53"/>
      <c r="CI113" s="53"/>
      <c r="CJ113" s="53"/>
      <c r="CK113" s="53"/>
      <c r="CL113" s="53"/>
      <c r="CM113" s="53"/>
      <c r="CN113" s="53"/>
      <c r="CO113" s="53"/>
      <c r="CP113" s="53"/>
      <c r="CQ113" s="53"/>
      <c r="CR113" s="53"/>
      <c r="CS113" s="53"/>
      <c r="CT113" s="53"/>
      <c r="CU113" s="53"/>
      <c r="CV113" s="53"/>
      <c r="CW113" s="53"/>
      <c r="CX113" s="53"/>
      <c r="CY113" s="53"/>
      <c r="CZ113" s="53"/>
      <c r="DA113" s="53"/>
      <c r="DB113" s="53"/>
      <c r="DC113" s="53"/>
      <c r="DD113" s="53"/>
      <c r="DE113" s="53"/>
      <c r="DF113" s="53"/>
      <c r="DG113" s="53"/>
      <c r="DH113" s="53"/>
      <c r="DI113" s="53"/>
      <c r="DJ113" s="53"/>
      <c r="DK113" s="53"/>
      <c r="DL113" s="53"/>
      <c r="DM113" s="53"/>
      <c r="DN113" s="53"/>
      <c r="DO113" s="53"/>
      <c r="DP113" s="53"/>
      <c r="DQ113" s="53"/>
      <c r="DR113" s="53"/>
      <c r="DS113" s="53"/>
      <c r="DT113" s="53"/>
      <c r="DU113" s="53"/>
      <c r="DV113" s="53"/>
      <c r="DW113" s="53"/>
      <c r="DX113" s="53"/>
      <c r="DY113" s="53"/>
      <c r="DZ113" s="53"/>
      <c r="EA113" s="53"/>
      <c r="EB113" s="53"/>
      <c r="EC113" s="53"/>
      <c r="ED113" s="53"/>
      <c r="EE113" s="53"/>
      <c r="EF113" s="53"/>
      <c r="EG113" s="53"/>
      <c r="EH113" s="53"/>
      <c r="EI113" s="53"/>
      <c r="EJ113" s="53"/>
      <c r="EK113" s="53"/>
      <c r="EL113" s="53"/>
      <c r="EM113" s="53"/>
      <c r="EN113" s="53"/>
      <c r="EO113" s="53"/>
      <c r="EP113" s="130">
        <f>MEDIAN(P113,AB113)</f>
        <v>19000</v>
      </c>
      <c r="EQ113" s="130">
        <f>AVERAGE(P113,AB113)</f>
        <v>19000</v>
      </c>
      <c r="ER113" s="131">
        <f>STDEV(P113,AB113)</f>
        <v>1414.2135623730951</v>
      </c>
      <c r="ES113" s="137">
        <f t="shared" si="49"/>
        <v>7.4432292756478696E-2</v>
      </c>
      <c r="ET113" s="151">
        <f t="shared" si="50"/>
        <v>19000</v>
      </c>
      <c r="EU113" s="150">
        <f t="shared" si="51"/>
        <v>7410000</v>
      </c>
      <c r="EV113" s="148" t="s">
        <v>319</v>
      </c>
      <c r="EW113" s="192"/>
    </row>
    <row r="114" spans="1:153" s="49" customFormat="1" ht="32.450000000000003" customHeight="1" x14ac:dyDescent="0.25">
      <c r="A114" s="65">
        <v>108</v>
      </c>
      <c r="B114" s="200" t="s">
        <v>675</v>
      </c>
      <c r="C114" s="66" t="s">
        <v>676</v>
      </c>
      <c r="D114" s="67" t="s">
        <v>466</v>
      </c>
      <c r="E114" s="41">
        <v>350</v>
      </c>
      <c r="F114" s="146"/>
      <c r="G114" s="146"/>
      <c r="H114" s="146"/>
      <c r="I114" s="146"/>
      <c r="J114" s="146"/>
      <c r="K114" s="146"/>
      <c r="L114" s="53"/>
      <c r="M114" s="53"/>
      <c r="N114" s="53"/>
      <c r="O114" s="53"/>
      <c r="P114" s="53"/>
      <c r="Q114" s="53"/>
      <c r="R114" s="53">
        <v>10000</v>
      </c>
      <c r="S114" s="53">
        <f>+R114*E114</f>
        <v>3500000</v>
      </c>
      <c r="T114" s="53"/>
      <c r="U114" s="53"/>
      <c r="V114" s="53"/>
      <c r="W114" s="53"/>
      <c r="X114" s="53"/>
      <c r="Y114" s="53"/>
      <c r="Z114" s="53">
        <f>3900*6</f>
        <v>23400</v>
      </c>
      <c r="AA114" s="53">
        <f t="shared" ref="AA114:AA115" si="62">+Z114*E114</f>
        <v>8190000</v>
      </c>
      <c r="AB114" s="53"/>
      <c r="AC114" s="53"/>
      <c r="AD114" s="146">
        <v>39177.18</v>
      </c>
      <c r="AE114" s="53">
        <f t="shared" si="58"/>
        <v>13712013</v>
      </c>
      <c r="AF114" s="53"/>
      <c r="AG114" s="53"/>
      <c r="AH114" s="53"/>
      <c r="AI114" s="53"/>
      <c r="AJ114" s="53"/>
      <c r="AK114" s="53"/>
      <c r="AL114" s="53"/>
      <c r="AM114" s="53"/>
      <c r="AN114" s="53"/>
      <c r="AO114" s="53"/>
      <c r="AP114" s="53"/>
      <c r="AQ114" s="53"/>
      <c r="AR114" s="53"/>
      <c r="AS114" s="53"/>
      <c r="AT114" s="53"/>
      <c r="AU114" s="53"/>
      <c r="AV114" s="53"/>
      <c r="AW114" s="53"/>
      <c r="AX114" s="53">
        <v>16800</v>
      </c>
      <c r="AY114" s="53">
        <f>+AX114*E114</f>
        <v>5880000</v>
      </c>
      <c r="AZ114" s="53"/>
      <c r="BA114" s="53"/>
      <c r="BB114" s="53"/>
      <c r="BC114" s="53"/>
      <c r="BD114" s="53"/>
      <c r="BE114" s="53"/>
      <c r="BF114" s="53"/>
      <c r="BG114" s="53"/>
      <c r="BH114" s="53">
        <v>5000</v>
      </c>
      <c r="BI114" s="53">
        <f>+BH114*E114</f>
        <v>1750000</v>
      </c>
      <c r="BJ114" s="53"/>
      <c r="BK114" s="53"/>
      <c r="BL114" s="53"/>
      <c r="BM114" s="53"/>
      <c r="BN114" s="53"/>
      <c r="BO114" s="53"/>
      <c r="BP114" s="53"/>
      <c r="BQ114" s="53"/>
      <c r="BR114" s="53"/>
      <c r="BS114" s="53"/>
      <c r="BT114" s="53"/>
      <c r="BU114" s="53"/>
      <c r="BV114" s="53"/>
      <c r="BW114" s="53"/>
      <c r="BX114" s="53"/>
      <c r="BY114" s="53"/>
      <c r="BZ114" s="53"/>
      <c r="CA114" s="53"/>
      <c r="CB114" s="53"/>
      <c r="CC114" s="53"/>
      <c r="CD114" s="53"/>
      <c r="CE114" s="53"/>
      <c r="CF114" s="53"/>
      <c r="CG114" s="53"/>
      <c r="CH114" s="53"/>
      <c r="CI114" s="53"/>
      <c r="CJ114" s="53"/>
      <c r="CK114" s="53"/>
      <c r="CL114" s="53"/>
      <c r="CM114" s="53"/>
      <c r="CN114" s="53"/>
      <c r="CO114" s="53"/>
      <c r="CP114" s="53"/>
      <c r="CQ114" s="53"/>
      <c r="CR114" s="53"/>
      <c r="CS114" s="53"/>
      <c r="CT114" s="53"/>
      <c r="CU114" s="53"/>
      <c r="CV114" s="53"/>
      <c r="CW114" s="53"/>
      <c r="CX114" s="53"/>
      <c r="CY114" s="53"/>
      <c r="CZ114" s="53"/>
      <c r="DA114" s="53"/>
      <c r="DB114" s="53"/>
      <c r="DC114" s="53"/>
      <c r="DD114" s="53"/>
      <c r="DE114" s="53"/>
      <c r="DF114" s="53"/>
      <c r="DG114" s="53"/>
      <c r="DH114" s="53"/>
      <c r="DI114" s="53"/>
      <c r="DJ114" s="53"/>
      <c r="DK114" s="53"/>
      <c r="DL114" s="53"/>
      <c r="DM114" s="53"/>
      <c r="DN114" s="53"/>
      <c r="DO114" s="53"/>
      <c r="DP114" s="53"/>
      <c r="DQ114" s="53"/>
      <c r="DR114" s="53"/>
      <c r="DS114" s="53"/>
      <c r="DT114" s="53"/>
      <c r="DU114" s="53"/>
      <c r="DV114" s="53"/>
      <c r="DW114" s="53"/>
      <c r="DX114" s="53"/>
      <c r="DY114" s="53"/>
      <c r="DZ114" s="53"/>
      <c r="EA114" s="53"/>
      <c r="EB114" s="53"/>
      <c r="EC114" s="53"/>
      <c r="ED114" s="53"/>
      <c r="EE114" s="53"/>
      <c r="EF114" s="53"/>
      <c r="EG114" s="53"/>
      <c r="EH114" s="53"/>
      <c r="EI114" s="53"/>
      <c r="EJ114" s="53"/>
      <c r="EK114" s="53"/>
      <c r="EL114" s="53"/>
      <c r="EM114" s="53"/>
      <c r="EN114" s="53"/>
      <c r="EO114" s="53"/>
      <c r="EP114" s="130">
        <f>MEDIAN(Z114,AX114)</f>
        <v>20100</v>
      </c>
      <c r="EQ114" s="130">
        <f>AVERAGE(Z114,AX114)</f>
        <v>20100</v>
      </c>
      <c r="ER114" s="131">
        <f>STDEV(Z114,AX114)</f>
        <v>4666.9047558312141</v>
      </c>
      <c r="ES114" s="137">
        <f t="shared" si="49"/>
        <v>0.23218431621050817</v>
      </c>
      <c r="ET114" s="151">
        <f t="shared" si="50"/>
        <v>20100</v>
      </c>
      <c r="EU114" s="150">
        <f t="shared" si="51"/>
        <v>7035000</v>
      </c>
      <c r="EV114" s="148" t="s">
        <v>322</v>
      </c>
      <c r="EW114" s="192"/>
    </row>
    <row r="115" spans="1:153" s="49" customFormat="1" ht="32.450000000000003" customHeight="1" x14ac:dyDescent="0.25">
      <c r="A115" s="65">
        <v>109</v>
      </c>
      <c r="B115" s="200" t="s">
        <v>677</v>
      </c>
      <c r="C115" s="66" t="s">
        <v>678</v>
      </c>
      <c r="D115" s="67" t="s">
        <v>466</v>
      </c>
      <c r="E115" s="65">
        <v>350</v>
      </c>
      <c r="F115" s="146"/>
      <c r="G115" s="146"/>
      <c r="H115" s="146"/>
      <c r="I115" s="146"/>
      <c r="J115" s="146"/>
      <c r="K115" s="146"/>
      <c r="L115" s="53"/>
      <c r="M115" s="53"/>
      <c r="N115" s="53"/>
      <c r="O115" s="53"/>
      <c r="P115" s="53"/>
      <c r="Q115" s="53"/>
      <c r="R115" s="53">
        <v>4000</v>
      </c>
      <c r="S115" s="53">
        <f>+R115*E115</f>
        <v>1400000</v>
      </c>
      <c r="T115" s="53"/>
      <c r="U115" s="53"/>
      <c r="V115" s="53"/>
      <c r="W115" s="53"/>
      <c r="X115" s="53"/>
      <c r="Y115" s="53"/>
      <c r="Z115" s="53">
        <v>11750</v>
      </c>
      <c r="AA115" s="53">
        <f t="shared" si="62"/>
        <v>4112500</v>
      </c>
      <c r="AB115" s="53"/>
      <c r="AC115" s="53"/>
      <c r="AD115" s="146">
        <v>8194.5099999999984</v>
      </c>
      <c r="AE115" s="53">
        <f t="shared" si="58"/>
        <v>2868078.4999999995</v>
      </c>
      <c r="AF115" s="53"/>
      <c r="AG115" s="53"/>
      <c r="AH115" s="53"/>
      <c r="AI115" s="53"/>
      <c r="AJ115" s="53"/>
      <c r="AK115" s="53"/>
      <c r="AL115" s="53"/>
      <c r="AM115" s="53"/>
      <c r="AN115" s="53"/>
      <c r="AO115" s="53"/>
      <c r="AP115" s="53"/>
      <c r="AQ115" s="53"/>
      <c r="AR115" s="53"/>
      <c r="AS115" s="53"/>
      <c r="AT115" s="53"/>
      <c r="AU115" s="53"/>
      <c r="AV115" s="53"/>
      <c r="AW115" s="53"/>
      <c r="AX115" s="53"/>
      <c r="AY115" s="53"/>
      <c r="AZ115" s="53"/>
      <c r="BA115" s="53"/>
      <c r="BB115" s="53"/>
      <c r="BC115" s="53"/>
      <c r="BD115" s="53"/>
      <c r="BE115" s="53"/>
      <c r="BF115" s="53"/>
      <c r="BG115" s="53"/>
      <c r="BH115" s="53"/>
      <c r="BI115" s="53"/>
      <c r="BJ115" s="53"/>
      <c r="BK115" s="53"/>
      <c r="BL115" s="53"/>
      <c r="BM115" s="53"/>
      <c r="BN115" s="53"/>
      <c r="BO115" s="53"/>
      <c r="BP115" s="53"/>
      <c r="BQ115" s="53"/>
      <c r="BR115" s="53"/>
      <c r="BS115" s="53"/>
      <c r="BT115" s="53"/>
      <c r="BU115" s="53"/>
      <c r="BV115" s="53"/>
      <c r="BW115" s="53"/>
      <c r="BX115" s="53"/>
      <c r="BY115" s="53"/>
      <c r="BZ115" s="53"/>
      <c r="CA115" s="53"/>
      <c r="CB115" s="53"/>
      <c r="CC115" s="53"/>
      <c r="CD115" s="53"/>
      <c r="CE115" s="53"/>
      <c r="CF115" s="53"/>
      <c r="CG115" s="53"/>
      <c r="CH115" s="53"/>
      <c r="CI115" s="53"/>
      <c r="CJ115" s="53"/>
      <c r="CK115" s="53"/>
      <c r="CL115" s="53"/>
      <c r="CM115" s="53"/>
      <c r="CN115" s="53"/>
      <c r="CO115" s="53"/>
      <c r="CP115" s="53"/>
      <c r="CQ115" s="53"/>
      <c r="CR115" s="53"/>
      <c r="CS115" s="53"/>
      <c r="CT115" s="53"/>
      <c r="CU115" s="53"/>
      <c r="CV115" s="53"/>
      <c r="CW115" s="53"/>
      <c r="CX115" s="53"/>
      <c r="CY115" s="53"/>
      <c r="CZ115" s="53"/>
      <c r="DA115" s="53"/>
      <c r="DB115" s="53"/>
      <c r="DC115" s="53"/>
      <c r="DD115" s="53"/>
      <c r="DE115" s="53"/>
      <c r="DF115" s="53"/>
      <c r="DG115" s="53"/>
      <c r="DH115" s="53"/>
      <c r="DI115" s="53"/>
      <c r="DJ115" s="53"/>
      <c r="DK115" s="53"/>
      <c r="DL115" s="53"/>
      <c r="DM115" s="53"/>
      <c r="DN115" s="53"/>
      <c r="DO115" s="53"/>
      <c r="DP115" s="53"/>
      <c r="DQ115" s="53"/>
      <c r="DR115" s="53"/>
      <c r="DS115" s="53"/>
      <c r="DT115" s="53">
        <v>14000</v>
      </c>
      <c r="DU115" s="53">
        <f>+DT115*E115</f>
        <v>4900000</v>
      </c>
      <c r="DV115" s="53">
        <v>4000</v>
      </c>
      <c r="DW115" s="53">
        <f>+DV115*E115</f>
        <v>1400000</v>
      </c>
      <c r="DX115" s="53"/>
      <c r="DY115" s="53"/>
      <c r="DZ115" s="53"/>
      <c r="EA115" s="53"/>
      <c r="EB115" s="53"/>
      <c r="EC115" s="53"/>
      <c r="ED115" s="53"/>
      <c r="EE115" s="53"/>
      <c r="EF115" s="53"/>
      <c r="EG115" s="53"/>
      <c r="EH115" s="53"/>
      <c r="EI115" s="53"/>
      <c r="EJ115" s="53"/>
      <c r="EK115" s="53"/>
      <c r="EL115" s="53"/>
      <c r="EM115" s="53"/>
      <c r="EN115" s="53"/>
      <c r="EO115" s="53"/>
      <c r="EP115" s="130">
        <f>MEDIAN(DT115,Z115)</f>
        <v>12875</v>
      </c>
      <c r="EQ115" s="130">
        <f>AVERAGE(DT115,Z115)</f>
        <v>12875</v>
      </c>
      <c r="ER115" s="131">
        <f>STDEV(DT115,Z115)</f>
        <v>1590.9902576697318</v>
      </c>
      <c r="ES115" s="137">
        <f t="shared" si="49"/>
        <v>0.12357205884813451</v>
      </c>
      <c r="ET115" s="151">
        <f t="shared" si="50"/>
        <v>12875</v>
      </c>
      <c r="EU115" s="150">
        <f t="shared" si="51"/>
        <v>4506250</v>
      </c>
      <c r="EV115" s="148" t="s">
        <v>319</v>
      </c>
      <c r="EW115" s="192"/>
    </row>
    <row r="116" spans="1:153" ht="32.450000000000003" customHeight="1" x14ac:dyDescent="0.25">
      <c r="A116" s="65">
        <v>110</v>
      </c>
      <c r="B116" s="203" t="s">
        <v>82</v>
      </c>
      <c r="C116" s="76" t="s">
        <v>679</v>
      </c>
      <c r="D116" s="77" t="s">
        <v>466</v>
      </c>
      <c r="E116" s="41">
        <v>390</v>
      </c>
      <c r="F116" s="153"/>
      <c r="G116" s="153"/>
      <c r="H116" s="153"/>
      <c r="I116" s="153"/>
      <c r="J116" s="153"/>
      <c r="K116" s="153"/>
      <c r="L116" s="50">
        <v>15000</v>
      </c>
      <c r="M116" s="50">
        <f>+L116*E116</f>
        <v>5850000</v>
      </c>
      <c r="N116" s="50"/>
      <c r="O116" s="50"/>
      <c r="P116" s="50"/>
      <c r="Q116" s="50"/>
      <c r="R116" s="50"/>
      <c r="S116" s="50"/>
      <c r="T116" s="50"/>
      <c r="U116" s="50"/>
      <c r="V116" s="50"/>
      <c r="W116" s="53"/>
      <c r="X116" s="53"/>
      <c r="Y116" s="53"/>
      <c r="Z116" s="53"/>
      <c r="AA116" s="53"/>
      <c r="AB116" s="53">
        <v>4500</v>
      </c>
      <c r="AC116" s="53">
        <f t="shared" ref="AC116" si="63">+AB116*E116</f>
        <v>1755000</v>
      </c>
      <c r="AD116" s="153">
        <v>6318.9</v>
      </c>
      <c r="AE116" s="53">
        <f t="shared" si="58"/>
        <v>2464371</v>
      </c>
      <c r="AF116" s="53"/>
      <c r="AG116" s="53"/>
      <c r="AH116" s="53"/>
      <c r="AI116" s="53"/>
      <c r="AJ116" s="53"/>
      <c r="AK116" s="53"/>
      <c r="AL116" s="53"/>
      <c r="AM116" s="53"/>
      <c r="AN116" s="53"/>
      <c r="AO116" s="53"/>
      <c r="AP116" s="53"/>
      <c r="AQ116" s="53"/>
      <c r="AR116" s="53"/>
      <c r="AS116" s="53"/>
      <c r="AT116" s="53"/>
      <c r="AU116" s="53"/>
      <c r="AV116" s="53"/>
      <c r="AW116" s="53"/>
      <c r="AX116" s="53"/>
      <c r="AY116" s="53"/>
      <c r="AZ116" s="53"/>
      <c r="BA116" s="53"/>
      <c r="BB116" s="53"/>
      <c r="BC116" s="53"/>
      <c r="BD116" s="53"/>
      <c r="BE116" s="53"/>
      <c r="BF116" s="53"/>
      <c r="BG116" s="53"/>
      <c r="BH116" s="53"/>
      <c r="BI116" s="53"/>
      <c r="BJ116" s="53"/>
      <c r="BK116" s="53"/>
      <c r="BL116" s="53"/>
      <c r="BM116" s="53"/>
      <c r="BN116" s="53"/>
      <c r="BO116" s="53"/>
      <c r="BP116" s="53"/>
      <c r="BQ116" s="53"/>
      <c r="BR116" s="53"/>
      <c r="BS116" s="53"/>
      <c r="BT116" s="53"/>
      <c r="BU116" s="53"/>
      <c r="BV116" s="53"/>
      <c r="BW116" s="53"/>
      <c r="BX116" s="53"/>
      <c r="BY116" s="53"/>
      <c r="BZ116" s="53"/>
      <c r="CA116" s="53"/>
      <c r="CB116" s="53"/>
      <c r="CC116" s="53"/>
      <c r="CD116" s="53"/>
      <c r="CE116" s="53"/>
      <c r="CF116" s="53"/>
      <c r="CG116" s="53"/>
      <c r="CH116" s="53"/>
      <c r="CI116" s="53"/>
      <c r="CJ116" s="53"/>
      <c r="CK116" s="53"/>
      <c r="CL116" s="53"/>
      <c r="CM116" s="53"/>
      <c r="CN116" s="53"/>
      <c r="CO116" s="53"/>
      <c r="CP116" s="53"/>
      <c r="CQ116" s="53"/>
      <c r="CR116" s="53"/>
      <c r="CS116" s="53"/>
      <c r="CT116" s="53"/>
      <c r="CU116" s="53"/>
      <c r="CV116" s="53"/>
      <c r="CW116" s="53"/>
      <c r="CX116" s="53"/>
      <c r="CY116" s="53"/>
      <c r="CZ116" s="53"/>
      <c r="DA116" s="53"/>
      <c r="DB116" s="53"/>
      <c r="DC116" s="53"/>
      <c r="DD116" s="53"/>
      <c r="DE116" s="53"/>
      <c r="DF116" s="53"/>
      <c r="DG116" s="53"/>
      <c r="DH116" s="53"/>
      <c r="DI116" s="53"/>
      <c r="DJ116" s="53"/>
      <c r="DK116" s="53"/>
      <c r="DL116" s="53"/>
      <c r="DM116" s="53"/>
      <c r="DN116" s="53"/>
      <c r="DO116" s="53"/>
      <c r="DP116" s="53"/>
      <c r="DQ116" s="53"/>
      <c r="DR116" s="53"/>
      <c r="DS116" s="53"/>
      <c r="DT116" s="53"/>
      <c r="DU116" s="53"/>
      <c r="DV116" s="53"/>
      <c r="DW116" s="53"/>
      <c r="DX116" s="53"/>
      <c r="DY116" s="53"/>
      <c r="DZ116" s="53"/>
      <c r="EA116" s="53"/>
      <c r="EB116" s="53"/>
      <c r="EC116" s="53"/>
      <c r="ED116" s="53"/>
      <c r="EE116" s="53"/>
      <c r="EF116" s="53"/>
      <c r="EG116" s="53"/>
      <c r="EH116" s="53"/>
      <c r="EI116" s="53"/>
      <c r="EJ116" s="53"/>
      <c r="EK116" s="53"/>
      <c r="EL116" s="53"/>
      <c r="EM116" s="53"/>
      <c r="EN116" s="53"/>
      <c r="EO116" s="53"/>
      <c r="EP116" s="130">
        <f>MEDIAN(AB116,AD116)</f>
        <v>5409.45</v>
      </c>
      <c r="EQ116" s="130">
        <f>AVERAGE(AB116,AD116)</f>
        <v>5409.45</v>
      </c>
      <c r="ER116" s="131">
        <f>STDEV(AB116,AD116)</f>
        <v>1286.1565243002101</v>
      </c>
      <c r="ES116" s="137">
        <f t="shared" si="49"/>
        <v>0.23776105228816424</v>
      </c>
      <c r="ET116" s="151">
        <f t="shared" si="50"/>
        <v>5410</v>
      </c>
      <c r="EU116" s="150">
        <f t="shared" si="51"/>
        <v>2109900</v>
      </c>
      <c r="EV116" s="148" t="s">
        <v>322</v>
      </c>
      <c r="EW116" s="192"/>
    </row>
    <row r="117" spans="1:153" s="49" customFormat="1" ht="30" x14ac:dyDescent="0.25">
      <c r="A117" s="65">
        <v>111</v>
      </c>
      <c r="B117" s="200" t="s">
        <v>680</v>
      </c>
      <c r="C117" s="66" t="s">
        <v>681</v>
      </c>
      <c r="D117" s="67" t="s">
        <v>466</v>
      </c>
      <c r="E117" s="41">
        <v>350</v>
      </c>
      <c r="F117" s="146"/>
      <c r="G117" s="146"/>
      <c r="H117" s="146"/>
      <c r="I117" s="146"/>
      <c r="J117" s="146"/>
      <c r="K117" s="146"/>
      <c r="L117" s="53"/>
      <c r="M117" s="53"/>
      <c r="N117" s="53"/>
      <c r="O117" s="53"/>
      <c r="P117" s="53"/>
      <c r="Q117" s="53"/>
      <c r="R117" s="53"/>
      <c r="S117" s="53"/>
      <c r="T117" s="53"/>
      <c r="U117" s="53"/>
      <c r="V117" s="53"/>
      <c r="W117" s="53"/>
      <c r="X117" s="53"/>
      <c r="Y117" s="53"/>
      <c r="Z117" s="53">
        <v>10710</v>
      </c>
      <c r="AA117" s="53">
        <f t="shared" ref="AA117" si="64">+Z117*E117</f>
        <v>3748500</v>
      </c>
      <c r="AB117" s="53"/>
      <c r="AC117" s="53"/>
      <c r="AD117" s="146">
        <v>11935.699999999999</v>
      </c>
      <c r="AE117" s="53">
        <f t="shared" si="58"/>
        <v>4177494.9999999995</v>
      </c>
      <c r="AF117" s="53"/>
      <c r="AG117" s="53"/>
      <c r="AH117" s="53"/>
      <c r="AI117" s="53"/>
      <c r="AJ117" s="53"/>
      <c r="AK117" s="53"/>
      <c r="AL117" s="53"/>
      <c r="AM117" s="53"/>
      <c r="AN117" s="53"/>
      <c r="AO117" s="53"/>
      <c r="AP117" s="53"/>
      <c r="AQ117" s="53"/>
      <c r="AR117" s="53"/>
      <c r="AS117" s="53"/>
      <c r="AT117" s="53"/>
      <c r="AU117" s="53"/>
      <c r="AV117" s="53"/>
      <c r="AW117" s="53"/>
      <c r="AX117" s="53"/>
      <c r="AY117" s="53"/>
      <c r="AZ117" s="53"/>
      <c r="BA117" s="53"/>
      <c r="BB117" s="53"/>
      <c r="BC117" s="53"/>
      <c r="BD117" s="53"/>
      <c r="BE117" s="53"/>
      <c r="BF117" s="53"/>
      <c r="BG117" s="53"/>
      <c r="BH117" s="53"/>
      <c r="BI117" s="53"/>
      <c r="BJ117" s="53"/>
      <c r="BK117" s="53"/>
      <c r="BL117" s="53"/>
      <c r="BM117" s="53"/>
      <c r="BN117" s="53"/>
      <c r="BO117" s="53"/>
      <c r="BP117" s="53"/>
      <c r="BQ117" s="53"/>
      <c r="BR117" s="53"/>
      <c r="BS117" s="53"/>
      <c r="BT117" s="53"/>
      <c r="BU117" s="53"/>
      <c r="BV117" s="53"/>
      <c r="BW117" s="53"/>
      <c r="BX117" s="53"/>
      <c r="BY117" s="53"/>
      <c r="BZ117" s="53"/>
      <c r="CA117" s="53"/>
      <c r="CB117" s="53"/>
      <c r="CC117" s="53"/>
      <c r="CD117" s="53"/>
      <c r="CE117" s="53"/>
      <c r="CF117" s="53"/>
      <c r="CG117" s="53"/>
      <c r="CH117" s="53"/>
      <c r="CI117" s="53"/>
      <c r="CJ117" s="53"/>
      <c r="CK117" s="53"/>
      <c r="CL117" s="53"/>
      <c r="CM117" s="53"/>
      <c r="CN117" s="53"/>
      <c r="CO117" s="53"/>
      <c r="CP117" s="53"/>
      <c r="CQ117" s="53"/>
      <c r="CR117" s="53"/>
      <c r="CS117" s="53"/>
      <c r="CT117" s="53"/>
      <c r="CU117" s="53"/>
      <c r="CV117" s="53"/>
      <c r="CW117" s="53"/>
      <c r="CX117" s="53"/>
      <c r="CY117" s="53"/>
      <c r="CZ117" s="53">
        <v>29900</v>
      </c>
      <c r="DA117" s="53">
        <f>+CZ117*E117</f>
        <v>10465000</v>
      </c>
      <c r="DB117" s="53"/>
      <c r="DC117" s="53"/>
      <c r="DD117" s="53"/>
      <c r="DE117" s="53"/>
      <c r="DF117" s="53">
        <v>50000</v>
      </c>
      <c r="DG117" s="53">
        <f>+DF117*E117</f>
        <v>17500000</v>
      </c>
      <c r="DH117" s="53"/>
      <c r="DI117" s="53"/>
      <c r="DJ117" s="53"/>
      <c r="DK117" s="53"/>
      <c r="DL117" s="53"/>
      <c r="DM117" s="53"/>
      <c r="DN117" s="53"/>
      <c r="DO117" s="53"/>
      <c r="DP117" s="53"/>
      <c r="DQ117" s="53"/>
      <c r="DR117" s="53"/>
      <c r="DS117" s="53"/>
      <c r="DT117" s="53"/>
      <c r="DU117" s="53"/>
      <c r="DV117" s="53"/>
      <c r="DW117" s="53"/>
      <c r="DX117" s="53"/>
      <c r="DY117" s="53"/>
      <c r="DZ117" s="53"/>
      <c r="EA117" s="53"/>
      <c r="EB117" s="53"/>
      <c r="EC117" s="53"/>
      <c r="ED117" s="53"/>
      <c r="EE117" s="53"/>
      <c r="EF117" s="53"/>
      <c r="EG117" s="53"/>
      <c r="EH117" s="53"/>
      <c r="EI117" s="53"/>
      <c r="EJ117" s="53"/>
      <c r="EK117" s="53"/>
      <c r="EL117" s="53"/>
      <c r="EM117" s="53"/>
      <c r="EN117" s="53"/>
      <c r="EO117" s="53"/>
      <c r="EP117" s="130">
        <f>MEDIAN(Z117,AD117)</f>
        <v>11322.849999999999</v>
      </c>
      <c r="EQ117" s="130">
        <f>AVERAGE(Z117,AD117)</f>
        <v>11322.849999999999</v>
      </c>
      <c r="ER117" s="131">
        <f>STDEV(Z117,AD117)</f>
        <v>866.7007817003506</v>
      </c>
      <c r="ES117" s="137">
        <f t="shared" si="49"/>
        <v>7.6544401957135411E-2</v>
      </c>
      <c r="ET117" s="151">
        <f t="shared" si="50"/>
        <v>11323</v>
      </c>
      <c r="EU117" s="150">
        <f t="shared" si="51"/>
        <v>3963050</v>
      </c>
      <c r="EV117" s="148" t="s">
        <v>319</v>
      </c>
      <c r="EW117" s="192"/>
    </row>
    <row r="118" spans="1:153" ht="30" x14ac:dyDescent="0.25">
      <c r="A118" s="65">
        <v>112</v>
      </c>
      <c r="B118" s="203" t="s">
        <v>682</v>
      </c>
      <c r="C118" s="76" t="s">
        <v>683</v>
      </c>
      <c r="D118" s="77" t="s">
        <v>466</v>
      </c>
      <c r="E118" s="65">
        <v>390</v>
      </c>
      <c r="F118" s="156"/>
      <c r="G118" s="156"/>
      <c r="H118" s="156"/>
      <c r="I118" s="156"/>
      <c r="J118" s="156"/>
      <c r="K118" s="156"/>
      <c r="L118" s="82"/>
      <c r="M118" s="82"/>
      <c r="N118" s="82"/>
      <c r="O118" s="82"/>
      <c r="P118" s="82"/>
      <c r="Q118" s="82"/>
      <c r="R118" s="82">
        <v>3125</v>
      </c>
      <c r="S118" s="82">
        <f>+R118*E118</f>
        <v>1218750</v>
      </c>
      <c r="T118" s="82"/>
      <c r="U118" s="82"/>
      <c r="V118" s="82"/>
      <c r="W118" s="53"/>
      <c r="X118" s="83"/>
      <c r="Y118" s="53"/>
      <c r="Z118" s="83"/>
      <c r="AA118" s="53"/>
      <c r="AB118" s="83"/>
      <c r="AC118" s="53"/>
      <c r="AD118" s="153">
        <v>9688.98</v>
      </c>
      <c r="AE118" s="53">
        <f t="shared" si="58"/>
        <v>3778702.1999999997</v>
      </c>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c r="BC118" s="83"/>
      <c r="BD118" s="83"/>
      <c r="BE118" s="83"/>
      <c r="BF118" s="83"/>
      <c r="BG118" s="83"/>
      <c r="BH118" s="83"/>
      <c r="BI118" s="83"/>
      <c r="BJ118" s="83"/>
      <c r="BK118" s="83"/>
      <c r="BL118" s="83"/>
      <c r="BM118" s="83"/>
      <c r="BN118" s="83">
        <v>10100</v>
      </c>
      <c r="BO118" s="83">
        <f>+BN118*E118</f>
        <v>3939000</v>
      </c>
      <c r="BP118" s="83"/>
      <c r="BQ118" s="83"/>
      <c r="BR118" s="83"/>
      <c r="BS118" s="83"/>
      <c r="BT118" s="83"/>
      <c r="BU118" s="83"/>
      <c r="BV118" s="83"/>
      <c r="BW118" s="83"/>
      <c r="BX118" s="83"/>
      <c r="BY118" s="83"/>
      <c r="BZ118" s="83"/>
      <c r="CA118" s="83"/>
      <c r="CB118" s="83"/>
      <c r="CC118" s="83"/>
      <c r="CD118" s="83"/>
      <c r="CE118" s="83"/>
      <c r="CF118" s="83"/>
      <c r="CG118" s="83"/>
      <c r="CH118" s="83"/>
      <c r="CI118" s="83"/>
      <c r="CJ118" s="83"/>
      <c r="CK118" s="83"/>
      <c r="CL118" s="83"/>
      <c r="CM118" s="83"/>
      <c r="CN118" s="83"/>
      <c r="CO118" s="83"/>
      <c r="CP118" s="83"/>
      <c r="CQ118" s="83"/>
      <c r="CR118" s="83"/>
      <c r="CS118" s="83"/>
      <c r="CT118" s="83"/>
      <c r="CU118" s="83"/>
      <c r="CV118" s="83"/>
      <c r="CW118" s="83"/>
      <c r="CX118" s="83"/>
      <c r="CY118" s="83"/>
      <c r="CZ118" s="83"/>
      <c r="DA118" s="83"/>
      <c r="DB118" s="83"/>
      <c r="DC118" s="83"/>
      <c r="DD118" s="83"/>
      <c r="DE118" s="83"/>
      <c r="DF118" s="83"/>
      <c r="DG118" s="83"/>
      <c r="DH118" s="83"/>
      <c r="DI118" s="83"/>
      <c r="DJ118" s="83"/>
      <c r="DK118" s="83"/>
      <c r="DL118" s="83"/>
      <c r="DM118" s="83"/>
      <c r="DN118" s="83"/>
      <c r="DO118" s="83"/>
      <c r="DP118" s="83"/>
      <c r="DQ118" s="83"/>
      <c r="DR118" s="83"/>
      <c r="DS118" s="83"/>
      <c r="DT118" s="83"/>
      <c r="DU118" s="83"/>
      <c r="DV118" s="83"/>
      <c r="DW118" s="83"/>
      <c r="DX118" s="83"/>
      <c r="DY118" s="83"/>
      <c r="DZ118" s="83"/>
      <c r="EA118" s="83"/>
      <c r="EB118" s="83"/>
      <c r="EC118" s="83"/>
      <c r="ED118" s="83"/>
      <c r="EE118" s="83"/>
      <c r="EF118" s="83"/>
      <c r="EG118" s="83"/>
      <c r="EH118" s="83"/>
      <c r="EI118" s="83"/>
      <c r="EJ118" s="83"/>
      <c r="EK118" s="83"/>
      <c r="EL118" s="83"/>
      <c r="EM118" s="83"/>
      <c r="EN118" s="83"/>
      <c r="EO118" s="83"/>
      <c r="EP118" s="139">
        <f>MEDIAN(AD118,BN118)</f>
        <v>9894.49</v>
      </c>
      <c r="EQ118" s="139">
        <f>AVERAGE(AD118,BN118)</f>
        <v>9894.49</v>
      </c>
      <c r="ER118" s="140">
        <f>STDEV(AD118,BN118)</f>
        <v>290.63502920329506</v>
      </c>
      <c r="ES118" s="137">
        <f t="shared" si="49"/>
        <v>2.9373421894740917E-2</v>
      </c>
      <c r="ET118" s="157">
        <f t="shared" si="50"/>
        <v>9895</v>
      </c>
      <c r="EU118" s="150">
        <f t="shared" si="51"/>
        <v>3859050</v>
      </c>
      <c r="EV118" s="148" t="s">
        <v>319</v>
      </c>
      <c r="EW118" s="192"/>
    </row>
    <row r="119" spans="1:153" ht="30" x14ac:dyDescent="0.25">
      <c r="A119" s="65">
        <v>113</v>
      </c>
      <c r="B119" s="81" t="s">
        <v>684</v>
      </c>
      <c r="C119" s="84" t="s">
        <v>685</v>
      </c>
      <c r="D119" s="77" t="s">
        <v>466</v>
      </c>
      <c r="E119" s="41">
        <v>380</v>
      </c>
      <c r="F119" s="156"/>
      <c r="G119" s="156"/>
      <c r="H119" s="156"/>
      <c r="I119" s="156"/>
      <c r="J119" s="156"/>
      <c r="K119" s="156"/>
      <c r="L119" s="82"/>
      <c r="M119" s="82"/>
      <c r="N119" s="82"/>
      <c r="O119" s="82"/>
      <c r="P119" s="82"/>
      <c r="Q119" s="82"/>
      <c r="R119" s="82"/>
      <c r="S119" s="82"/>
      <c r="T119" s="82"/>
      <c r="U119" s="82"/>
      <c r="V119" s="82"/>
      <c r="W119" s="53"/>
      <c r="X119" s="83"/>
      <c r="Y119" s="53"/>
      <c r="Z119" s="83"/>
      <c r="AA119" s="53"/>
      <c r="AB119" s="83"/>
      <c r="AC119" s="53"/>
      <c r="AD119" s="153"/>
      <c r="AE119" s="5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c r="BC119" s="83"/>
      <c r="BD119" s="83"/>
      <c r="BE119" s="83"/>
      <c r="BF119" s="83"/>
      <c r="BG119" s="83"/>
      <c r="BH119" s="83"/>
      <c r="BI119" s="83"/>
      <c r="BJ119" s="83"/>
      <c r="BK119" s="83"/>
      <c r="BL119" s="83"/>
      <c r="BM119" s="83"/>
      <c r="BN119" s="83"/>
      <c r="BO119" s="83"/>
      <c r="BP119" s="83"/>
      <c r="BQ119" s="83"/>
      <c r="BR119" s="83"/>
      <c r="BS119" s="83"/>
      <c r="BT119" s="83"/>
      <c r="BU119" s="83"/>
      <c r="BV119" s="83"/>
      <c r="BW119" s="83"/>
      <c r="BX119" s="83"/>
      <c r="BY119" s="83"/>
      <c r="BZ119" s="83"/>
      <c r="CA119" s="83"/>
      <c r="CB119" s="83"/>
      <c r="CC119" s="83"/>
      <c r="CD119" s="83"/>
      <c r="CE119" s="83"/>
      <c r="CF119" s="83"/>
      <c r="CG119" s="83"/>
      <c r="CH119" s="83"/>
      <c r="CI119" s="83"/>
      <c r="CJ119" s="83"/>
      <c r="CK119" s="83"/>
      <c r="CL119" s="83"/>
      <c r="CM119" s="83"/>
      <c r="CN119" s="83"/>
      <c r="CO119" s="83"/>
      <c r="CP119" s="83"/>
      <c r="CQ119" s="83"/>
      <c r="CR119" s="83"/>
      <c r="CS119" s="83"/>
      <c r="CT119" s="83"/>
      <c r="CU119" s="83"/>
      <c r="CV119" s="83"/>
      <c r="CW119" s="83"/>
      <c r="CX119" s="83"/>
      <c r="CY119" s="83"/>
      <c r="CZ119" s="83"/>
      <c r="DA119" s="83"/>
      <c r="DB119" s="83"/>
      <c r="DC119" s="83"/>
      <c r="DD119" s="83"/>
      <c r="DE119" s="83"/>
      <c r="DF119" s="83"/>
      <c r="DG119" s="83"/>
      <c r="DH119" s="83"/>
      <c r="DI119" s="83"/>
      <c r="DJ119" s="83"/>
      <c r="DK119" s="83"/>
      <c r="DL119" s="83"/>
      <c r="DM119" s="83"/>
      <c r="DN119" s="83"/>
      <c r="DO119" s="83"/>
      <c r="DP119" s="83"/>
      <c r="DQ119" s="83"/>
      <c r="DR119" s="83"/>
      <c r="DS119" s="83"/>
      <c r="DT119" s="83"/>
      <c r="DU119" s="83"/>
      <c r="DV119" s="83"/>
      <c r="DW119" s="83"/>
      <c r="DX119" s="83">
        <v>88900</v>
      </c>
      <c r="DY119" s="83">
        <f>+DX119*E119</f>
        <v>33782000</v>
      </c>
      <c r="DZ119" s="83">
        <v>65000</v>
      </c>
      <c r="EA119" s="83">
        <f>+DZ119*E119</f>
        <v>24700000</v>
      </c>
      <c r="EB119" s="83">
        <v>59000</v>
      </c>
      <c r="EC119" s="83"/>
      <c r="ED119" s="83"/>
      <c r="EE119" s="83"/>
      <c r="EF119" s="83"/>
      <c r="EG119" s="83"/>
      <c r="EH119" s="83"/>
      <c r="EI119" s="83"/>
      <c r="EJ119" s="83"/>
      <c r="EK119" s="83"/>
      <c r="EL119" s="83"/>
      <c r="EM119" s="83"/>
      <c r="EN119" s="83"/>
      <c r="EO119" s="83"/>
      <c r="EP119" s="139">
        <f>MEDIAN(DX119,DZ119,EB119)</f>
        <v>65000</v>
      </c>
      <c r="EQ119" s="139">
        <f>AVERAGE(DX119,DZ119,EB119)</f>
        <v>70966.666666666672</v>
      </c>
      <c r="ER119" s="140">
        <f>STDEV(DX119,DZ119,EB119)</f>
        <v>15817.816958522848</v>
      </c>
      <c r="ES119" s="137">
        <f t="shared" si="49"/>
        <v>0.22289079791248728</v>
      </c>
      <c r="ET119" s="157">
        <f t="shared" si="50"/>
        <v>65000</v>
      </c>
      <c r="EU119" s="150">
        <f t="shared" si="51"/>
        <v>24700000</v>
      </c>
      <c r="EV119" s="148" t="s">
        <v>322</v>
      </c>
      <c r="EW119" s="192"/>
    </row>
    <row r="120" spans="1:153" ht="30" x14ac:dyDescent="0.25">
      <c r="A120" s="65">
        <v>114</v>
      </c>
      <c r="B120" s="81" t="s">
        <v>686</v>
      </c>
      <c r="C120" s="84" t="s">
        <v>687</v>
      </c>
      <c r="D120" s="77" t="s">
        <v>466</v>
      </c>
      <c r="E120" s="41">
        <v>900</v>
      </c>
      <c r="F120" s="156"/>
      <c r="G120" s="156"/>
      <c r="H120" s="156"/>
      <c r="I120" s="156"/>
      <c r="J120" s="156"/>
      <c r="K120" s="156"/>
      <c r="L120" s="82"/>
      <c r="M120" s="82"/>
      <c r="N120" s="82"/>
      <c r="O120" s="82"/>
      <c r="P120" s="82"/>
      <c r="Q120" s="82"/>
      <c r="R120" s="82"/>
      <c r="S120" s="82"/>
      <c r="T120" s="82"/>
      <c r="U120" s="82"/>
      <c r="V120" s="82"/>
      <c r="W120" s="53"/>
      <c r="X120" s="83"/>
      <c r="Y120" s="53"/>
      <c r="Z120" s="83"/>
      <c r="AA120" s="53"/>
      <c r="AB120" s="83"/>
      <c r="AC120" s="53"/>
      <c r="AD120" s="153"/>
      <c r="AE120" s="5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c r="BC120" s="83"/>
      <c r="BD120" s="83"/>
      <c r="BE120" s="83"/>
      <c r="BF120" s="83"/>
      <c r="BG120" s="83"/>
      <c r="BH120" s="83"/>
      <c r="BI120" s="83"/>
      <c r="BJ120" s="83"/>
      <c r="BK120" s="83"/>
      <c r="BL120" s="83"/>
      <c r="BM120" s="83"/>
      <c r="BN120" s="83"/>
      <c r="BO120" s="83"/>
      <c r="BP120" s="83"/>
      <c r="BQ120" s="83"/>
      <c r="BR120" s="83"/>
      <c r="BS120" s="83"/>
      <c r="BT120" s="83"/>
      <c r="BU120" s="83"/>
      <c r="BV120" s="83"/>
      <c r="BW120" s="83"/>
      <c r="BX120" s="83"/>
      <c r="BY120" s="83"/>
      <c r="BZ120" s="83"/>
      <c r="CA120" s="83"/>
      <c r="CB120" s="83"/>
      <c r="CC120" s="83"/>
      <c r="CD120" s="83"/>
      <c r="CE120" s="83"/>
      <c r="CF120" s="83"/>
      <c r="CG120" s="83"/>
      <c r="CH120" s="83"/>
      <c r="CI120" s="83"/>
      <c r="CJ120" s="83"/>
      <c r="CK120" s="83"/>
      <c r="CL120" s="83"/>
      <c r="CM120" s="83"/>
      <c r="CN120" s="83"/>
      <c r="CO120" s="83"/>
      <c r="CP120" s="83"/>
      <c r="CQ120" s="83"/>
      <c r="CR120" s="83"/>
      <c r="CS120" s="83"/>
      <c r="CT120" s="83"/>
      <c r="CU120" s="83"/>
      <c r="CV120" s="83"/>
      <c r="CW120" s="83"/>
      <c r="CX120" s="83"/>
      <c r="CY120" s="83"/>
      <c r="CZ120" s="83"/>
      <c r="DA120" s="83"/>
      <c r="DB120" s="83"/>
      <c r="DC120" s="83"/>
      <c r="DD120" s="83"/>
      <c r="DE120" s="83"/>
      <c r="DF120" s="83"/>
      <c r="DG120" s="83"/>
      <c r="DH120" s="83"/>
      <c r="DI120" s="83"/>
      <c r="DJ120" s="83"/>
      <c r="DK120" s="83"/>
      <c r="DL120" s="83"/>
      <c r="DM120" s="83"/>
      <c r="DN120" s="83"/>
      <c r="DO120" s="83"/>
      <c r="DP120" s="83"/>
      <c r="DQ120" s="83"/>
      <c r="DR120" s="83"/>
      <c r="DS120" s="83"/>
      <c r="DT120" s="83"/>
      <c r="DU120" s="83"/>
      <c r="DV120" s="83"/>
      <c r="DW120" s="83"/>
      <c r="DX120" s="83">
        <v>12500</v>
      </c>
      <c r="DY120" s="83">
        <f>+DX120*E120</f>
        <v>11250000</v>
      </c>
      <c r="DZ120" s="83">
        <v>12000</v>
      </c>
      <c r="EA120" s="83">
        <f t="shared" ref="EA120:EA122" si="65">+DZ120*E120</f>
        <v>10800000</v>
      </c>
      <c r="EB120" s="83">
        <v>10000</v>
      </c>
      <c r="EC120" s="83"/>
      <c r="ED120" s="83"/>
      <c r="EE120" s="83"/>
      <c r="EF120" s="83"/>
      <c r="EG120" s="83"/>
      <c r="EH120" s="83"/>
      <c r="EI120" s="83"/>
      <c r="EJ120" s="83"/>
      <c r="EK120" s="83"/>
      <c r="EL120" s="83"/>
      <c r="EM120" s="83"/>
      <c r="EN120" s="83"/>
      <c r="EO120" s="83"/>
      <c r="EP120" s="139">
        <f t="shared" ref="EP120:EP122" si="66">MEDIAN(DX120,DZ120,EB120)</f>
        <v>12000</v>
      </c>
      <c r="EQ120" s="139">
        <f t="shared" ref="EQ120:EQ122" si="67">AVERAGE(DX120,DZ120,EB120)</f>
        <v>11500</v>
      </c>
      <c r="ER120" s="140">
        <f t="shared" ref="ER120:ER122" si="68">STDEV(DX120,DZ120,EB120)</f>
        <v>1322.8756555322952</v>
      </c>
      <c r="ES120" s="137">
        <f t="shared" si="49"/>
        <v>0.11503266569846046</v>
      </c>
      <c r="ET120" s="157">
        <f t="shared" si="50"/>
        <v>11500</v>
      </c>
      <c r="EU120" s="150">
        <f t="shared" si="51"/>
        <v>10350000</v>
      </c>
      <c r="EV120" s="148" t="s">
        <v>319</v>
      </c>
      <c r="EW120" s="192"/>
    </row>
    <row r="121" spans="1:153" ht="30" x14ac:dyDescent="0.25">
      <c r="A121" s="65">
        <v>115</v>
      </c>
      <c r="B121" s="81" t="s">
        <v>688</v>
      </c>
      <c r="C121" s="84" t="s">
        <v>689</v>
      </c>
      <c r="D121" s="77" t="s">
        <v>466</v>
      </c>
      <c r="E121" s="41">
        <v>390</v>
      </c>
      <c r="F121" s="156"/>
      <c r="G121" s="156"/>
      <c r="H121" s="156"/>
      <c r="I121" s="156"/>
      <c r="J121" s="156"/>
      <c r="K121" s="156"/>
      <c r="L121" s="82"/>
      <c r="M121" s="82"/>
      <c r="N121" s="82"/>
      <c r="O121" s="82"/>
      <c r="P121" s="82"/>
      <c r="Q121" s="82"/>
      <c r="R121" s="82"/>
      <c r="S121" s="82"/>
      <c r="T121" s="82"/>
      <c r="U121" s="82"/>
      <c r="V121" s="82"/>
      <c r="W121" s="53"/>
      <c r="X121" s="83"/>
      <c r="Y121" s="53"/>
      <c r="Z121" s="83"/>
      <c r="AA121" s="53"/>
      <c r="AB121" s="83"/>
      <c r="AC121" s="53"/>
      <c r="AD121" s="153"/>
      <c r="AE121" s="5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c r="BC121" s="83"/>
      <c r="BD121" s="83"/>
      <c r="BE121" s="83"/>
      <c r="BF121" s="83"/>
      <c r="BG121" s="83"/>
      <c r="BH121" s="83"/>
      <c r="BI121" s="83"/>
      <c r="BJ121" s="83"/>
      <c r="BK121" s="83"/>
      <c r="BL121" s="83"/>
      <c r="BM121" s="83"/>
      <c r="BN121" s="83"/>
      <c r="BO121" s="83"/>
      <c r="BP121" s="83"/>
      <c r="BQ121" s="83"/>
      <c r="BR121" s="83"/>
      <c r="BS121" s="83"/>
      <c r="BT121" s="83"/>
      <c r="BU121" s="83"/>
      <c r="BV121" s="83"/>
      <c r="BW121" s="83"/>
      <c r="BX121" s="83"/>
      <c r="BY121" s="83"/>
      <c r="BZ121" s="83"/>
      <c r="CA121" s="83"/>
      <c r="CB121" s="83"/>
      <c r="CC121" s="83"/>
      <c r="CD121" s="83"/>
      <c r="CE121" s="83"/>
      <c r="CF121" s="83"/>
      <c r="CG121" s="83"/>
      <c r="CH121" s="83"/>
      <c r="CI121" s="83"/>
      <c r="CJ121" s="83"/>
      <c r="CK121" s="83"/>
      <c r="CL121" s="83"/>
      <c r="CM121" s="83"/>
      <c r="CN121" s="83"/>
      <c r="CO121" s="83"/>
      <c r="CP121" s="83"/>
      <c r="CQ121" s="83"/>
      <c r="CR121" s="83"/>
      <c r="CS121" s="83"/>
      <c r="CT121" s="83"/>
      <c r="CU121" s="83"/>
      <c r="CV121" s="83"/>
      <c r="CW121" s="83"/>
      <c r="CX121" s="83"/>
      <c r="CY121" s="83"/>
      <c r="CZ121" s="83"/>
      <c r="DA121" s="83"/>
      <c r="DB121" s="83"/>
      <c r="DC121" s="83"/>
      <c r="DD121" s="83"/>
      <c r="DE121" s="83"/>
      <c r="DF121" s="83"/>
      <c r="DG121" s="83"/>
      <c r="DH121" s="83"/>
      <c r="DI121" s="83"/>
      <c r="DJ121" s="83"/>
      <c r="DK121" s="83"/>
      <c r="DL121" s="83"/>
      <c r="DM121" s="83"/>
      <c r="DN121" s="83"/>
      <c r="DO121" s="83"/>
      <c r="DP121" s="83"/>
      <c r="DQ121" s="83"/>
      <c r="DR121" s="83"/>
      <c r="DS121" s="83"/>
      <c r="DT121" s="83"/>
      <c r="DU121" s="83"/>
      <c r="DV121" s="83"/>
      <c r="DW121" s="83"/>
      <c r="DX121" s="83">
        <v>7500</v>
      </c>
      <c r="DY121" s="83">
        <f>+DX121*E121</f>
        <v>2925000</v>
      </c>
      <c r="DZ121" s="83">
        <v>7000</v>
      </c>
      <c r="EA121" s="83">
        <f t="shared" si="65"/>
        <v>2730000</v>
      </c>
      <c r="EB121" s="83">
        <v>5500</v>
      </c>
      <c r="EC121" s="83"/>
      <c r="ED121" s="83"/>
      <c r="EE121" s="83"/>
      <c r="EF121" s="83"/>
      <c r="EG121" s="83"/>
      <c r="EH121" s="83"/>
      <c r="EI121" s="83"/>
      <c r="EJ121" s="83"/>
      <c r="EK121" s="83"/>
      <c r="EL121" s="83"/>
      <c r="EM121" s="83"/>
      <c r="EN121" s="83"/>
      <c r="EO121" s="83"/>
      <c r="EP121" s="139">
        <f t="shared" si="66"/>
        <v>7000</v>
      </c>
      <c r="EQ121" s="139">
        <f t="shared" si="67"/>
        <v>6666.666666666667</v>
      </c>
      <c r="ER121" s="140">
        <f t="shared" si="68"/>
        <v>1040.8329997330675</v>
      </c>
      <c r="ES121" s="137">
        <f t="shared" si="49"/>
        <v>0.15612494995996012</v>
      </c>
      <c r="ET121" s="157">
        <f t="shared" si="50"/>
        <v>7000</v>
      </c>
      <c r="EU121" s="150">
        <f t="shared" si="51"/>
        <v>2730000</v>
      </c>
      <c r="EV121" s="148" t="s">
        <v>322</v>
      </c>
      <c r="EW121" s="192"/>
    </row>
    <row r="122" spans="1:153" ht="30" x14ac:dyDescent="0.25">
      <c r="A122" s="65">
        <v>116</v>
      </c>
      <c r="B122" s="81" t="s">
        <v>690</v>
      </c>
      <c r="C122" s="80" t="s">
        <v>691</v>
      </c>
      <c r="D122" s="77" t="s">
        <v>466</v>
      </c>
      <c r="E122" s="41">
        <v>390</v>
      </c>
      <c r="F122" s="156"/>
      <c r="G122" s="156"/>
      <c r="H122" s="156"/>
      <c r="I122" s="156"/>
      <c r="J122" s="156"/>
      <c r="K122" s="156"/>
      <c r="L122" s="82"/>
      <c r="M122" s="82"/>
      <c r="N122" s="82"/>
      <c r="O122" s="82"/>
      <c r="P122" s="82"/>
      <c r="Q122" s="82"/>
      <c r="R122" s="82"/>
      <c r="S122" s="82"/>
      <c r="T122" s="82"/>
      <c r="U122" s="82"/>
      <c r="V122" s="82"/>
      <c r="W122" s="53"/>
      <c r="X122" s="83"/>
      <c r="Y122" s="53"/>
      <c r="Z122" s="83"/>
      <c r="AA122" s="53"/>
      <c r="AB122" s="83"/>
      <c r="AC122" s="53"/>
      <c r="AD122" s="153"/>
      <c r="AE122" s="5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c r="BC122" s="83"/>
      <c r="BD122" s="83"/>
      <c r="BE122" s="83"/>
      <c r="BF122" s="83"/>
      <c r="BG122" s="83"/>
      <c r="BH122" s="83"/>
      <c r="BI122" s="83"/>
      <c r="BJ122" s="83"/>
      <c r="BK122" s="83"/>
      <c r="BL122" s="83"/>
      <c r="BM122" s="83"/>
      <c r="BN122" s="83"/>
      <c r="BO122" s="83"/>
      <c r="BP122" s="83"/>
      <c r="BQ122" s="83"/>
      <c r="BR122" s="83"/>
      <c r="BS122" s="83"/>
      <c r="BT122" s="83"/>
      <c r="BU122" s="83"/>
      <c r="BV122" s="83"/>
      <c r="BW122" s="83"/>
      <c r="BX122" s="83"/>
      <c r="BY122" s="83"/>
      <c r="BZ122" s="83"/>
      <c r="CA122" s="83"/>
      <c r="CB122" s="83"/>
      <c r="CC122" s="83"/>
      <c r="CD122" s="83"/>
      <c r="CE122" s="83"/>
      <c r="CF122" s="83"/>
      <c r="CG122" s="83"/>
      <c r="CH122" s="83"/>
      <c r="CI122" s="83"/>
      <c r="CJ122" s="83"/>
      <c r="CK122" s="83"/>
      <c r="CL122" s="83"/>
      <c r="CM122" s="83"/>
      <c r="CN122" s="83"/>
      <c r="CO122" s="83"/>
      <c r="CP122" s="83"/>
      <c r="CQ122" s="83"/>
      <c r="CR122" s="83"/>
      <c r="CS122" s="83"/>
      <c r="CT122" s="83"/>
      <c r="CU122" s="83"/>
      <c r="CV122" s="83"/>
      <c r="CW122" s="83"/>
      <c r="CX122" s="83"/>
      <c r="CY122" s="83"/>
      <c r="CZ122" s="83"/>
      <c r="DA122" s="83"/>
      <c r="DB122" s="83"/>
      <c r="DC122" s="83"/>
      <c r="DD122" s="83"/>
      <c r="DE122" s="83"/>
      <c r="DF122" s="83"/>
      <c r="DG122" s="83"/>
      <c r="DH122" s="83"/>
      <c r="DI122" s="83"/>
      <c r="DJ122" s="83"/>
      <c r="DK122" s="83"/>
      <c r="DL122" s="83"/>
      <c r="DM122" s="83"/>
      <c r="DN122" s="83"/>
      <c r="DO122" s="83"/>
      <c r="DP122" s="83"/>
      <c r="DQ122" s="83"/>
      <c r="DR122" s="83"/>
      <c r="DS122" s="83"/>
      <c r="DT122" s="83"/>
      <c r="DU122" s="83"/>
      <c r="DV122" s="83"/>
      <c r="DW122" s="83"/>
      <c r="DX122" s="83">
        <v>9998</v>
      </c>
      <c r="DY122" s="83">
        <f>+DX122*E122</f>
        <v>3899220</v>
      </c>
      <c r="DZ122" s="83">
        <v>8000</v>
      </c>
      <c r="EA122" s="83">
        <f t="shared" si="65"/>
        <v>3120000</v>
      </c>
      <c r="EB122" s="83">
        <v>6500</v>
      </c>
      <c r="EC122" s="83"/>
      <c r="ED122" s="83"/>
      <c r="EE122" s="83"/>
      <c r="EF122" s="83"/>
      <c r="EG122" s="83"/>
      <c r="EH122" s="83"/>
      <c r="EI122" s="83"/>
      <c r="EJ122" s="83"/>
      <c r="EK122" s="83"/>
      <c r="EL122" s="83"/>
      <c r="EM122" s="83"/>
      <c r="EN122" s="83"/>
      <c r="EO122" s="83"/>
      <c r="EP122" s="139">
        <f t="shared" si="66"/>
        <v>8000</v>
      </c>
      <c r="EQ122" s="139">
        <f t="shared" si="67"/>
        <v>8166</v>
      </c>
      <c r="ER122" s="140">
        <f t="shared" si="68"/>
        <v>1754.8982876508826</v>
      </c>
      <c r="ES122" s="137">
        <f t="shared" si="49"/>
        <v>0.21490304771624819</v>
      </c>
      <c r="ET122" s="157">
        <f t="shared" si="50"/>
        <v>8000</v>
      </c>
      <c r="EU122" s="150">
        <f t="shared" si="51"/>
        <v>3120000</v>
      </c>
      <c r="EV122" s="148" t="s">
        <v>322</v>
      </c>
      <c r="EW122" s="192"/>
    </row>
    <row r="123" spans="1:153" ht="30" x14ac:dyDescent="0.25">
      <c r="A123" s="65">
        <v>117</v>
      </c>
      <c r="B123" s="81" t="s">
        <v>692</v>
      </c>
      <c r="C123" s="75" t="s">
        <v>693</v>
      </c>
      <c r="D123" s="77" t="s">
        <v>466</v>
      </c>
      <c r="E123" s="41">
        <v>590</v>
      </c>
      <c r="F123" s="156"/>
      <c r="G123" s="156"/>
      <c r="H123" s="156"/>
      <c r="I123" s="156"/>
      <c r="J123" s="156"/>
      <c r="K123" s="156"/>
      <c r="L123" s="82"/>
      <c r="M123" s="82"/>
      <c r="N123" s="82"/>
      <c r="O123" s="82"/>
      <c r="P123" s="82"/>
      <c r="Q123" s="82"/>
      <c r="R123" s="82"/>
      <c r="S123" s="82"/>
      <c r="T123" s="82"/>
      <c r="U123" s="82"/>
      <c r="V123" s="82"/>
      <c r="W123" s="53"/>
      <c r="X123" s="83"/>
      <c r="Y123" s="53"/>
      <c r="Z123" s="83"/>
      <c r="AA123" s="53"/>
      <c r="AB123" s="83"/>
      <c r="AC123" s="53"/>
      <c r="AD123" s="153"/>
      <c r="AE123" s="5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c r="BC123" s="83"/>
      <c r="BD123" s="83"/>
      <c r="BE123" s="83"/>
      <c r="BF123" s="83"/>
      <c r="BG123" s="83"/>
      <c r="BH123" s="83"/>
      <c r="BI123" s="83"/>
      <c r="BJ123" s="83"/>
      <c r="BK123" s="83"/>
      <c r="BL123" s="83"/>
      <c r="BM123" s="83"/>
      <c r="BN123" s="83"/>
      <c r="BO123" s="83"/>
      <c r="BP123" s="83"/>
      <c r="BQ123" s="83"/>
      <c r="BR123" s="83"/>
      <c r="BS123" s="83"/>
      <c r="BT123" s="83"/>
      <c r="BU123" s="83"/>
      <c r="BV123" s="83"/>
      <c r="BW123" s="83"/>
      <c r="BX123" s="83"/>
      <c r="BY123" s="83"/>
      <c r="BZ123" s="83"/>
      <c r="CA123" s="83"/>
      <c r="CB123" s="83"/>
      <c r="CC123" s="83"/>
      <c r="CD123" s="83"/>
      <c r="CE123" s="83"/>
      <c r="CF123" s="83"/>
      <c r="CG123" s="83"/>
      <c r="CH123" s="83"/>
      <c r="CI123" s="83"/>
      <c r="CJ123" s="83"/>
      <c r="CK123" s="83"/>
      <c r="CL123" s="83"/>
      <c r="CM123" s="83"/>
      <c r="CN123" s="83"/>
      <c r="CO123" s="83"/>
      <c r="CP123" s="83"/>
      <c r="CQ123" s="83"/>
      <c r="CR123" s="83"/>
      <c r="CS123" s="83"/>
      <c r="CT123" s="83"/>
      <c r="CU123" s="83"/>
      <c r="CV123" s="83"/>
      <c r="CW123" s="83"/>
      <c r="CX123" s="83"/>
      <c r="CY123" s="83"/>
      <c r="CZ123" s="83"/>
      <c r="DA123" s="83"/>
      <c r="DB123" s="83"/>
      <c r="DC123" s="83"/>
      <c r="DD123" s="83"/>
      <c r="DE123" s="83"/>
      <c r="DF123" s="83"/>
      <c r="DG123" s="83"/>
      <c r="DH123" s="83"/>
      <c r="DI123" s="83"/>
      <c r="DJ123" s="83"/>
      <c r="DK123" s="83"/>
      <c r="DL123" s="83"/>
      <c r="DM123" s="83"/>
      <c r="DN123" s="83"/>
      <c r="DO123" s="83"/>
      <c r="DP123" s="83"/>
      <c r="DQ123" s="83"/>
      <c r="DR123" s="83"/>
      <c r="DS123" s="83"/>
      <c r="DT123" s="83">
        <v>3500</v>
      </c>
      <c r="DU123" s="83">
        <f>+DT123*E123</f>
        <v>2065000</v>
      </c>
      <c r="DV123" s="83">
        <v>3500</v>
      </c>
      <c r="DW123" s="83">
        <f>+DV123*E123</f>
        <v>2065000</v>
      </c>
      <c r="DX123" s="83"/>
      <c r="DY123" s="83"/>
      <c r="DZ123" s="83"/>
      <c r="EA123" s="83"/>
      <c r="EB123" s="83"/>
      <c r="EC123" s="83"/>
      <c r="ED123" s="83"/>
      <c r="EE123" s="83"/>
      <c r="EF123" s="83"/>
      <c r="EG123" s="83"/>
      <c r="EH123" s="83"/>
      <c r="EI123" s="83"/>
      <c r="EJ123" s="83"/>
      <c r="EK123" s="83"/>
      <c r="EL123" s="83"/>
      <c r="EM123" s="83"/>
      <c r="EN123" s="83"/>
      <c r="EO123" s="83"/>
      <c r="EP123" s="139">
        <f>MEDIAN(DT123,DV123)</f>
        <v>3500</v>
      </c>
      <c r="EQ123" s="139">
        <f>AVERAGE(DT123,DV123)</f>
        <v>3500</v>
      </c>
      <c r="ER123" s="140">
        <f>STDEV(DT123,DV123)</f>
        <v>0</v>
      </c>
      <c r="ES123" s="137">
        <f t="shared" si="49"/>
        <v>0</v>
      </c>
      <c r="ET123" s="157">
        <f t="shared" si="50"/>
        <v>3500</v>
      </c>
      <c r="EU123" s="150">
        <f t="shared" si="51"/>
        <v>2065000</v>
      </c>
      <c r="EV123" s="148" t="s">
        <v>319</v>
      </c>
      <c r="EW123" s="192"/>
    </row>
    <row r="124" spans="1:153" ht="30" x14ac:dyDescent="0.25">
      <c r="A124" s="65">
        <v>118</v>
      </c>
      <c r="B124" s="81" t="s">
        <v>694</v>
      </c>
      <c r="C124" s="75" t="s">
        <v>695</v>
      </c>
      <c r="D124" s="77" t="s">
        <v>466</v>
      </c>
      <c r="E124" s="41">
        <v>1000</v>
      </c>
      <c r="F124" s="156"/>
      <c r="G124" s="156"/>
      <c r="H124" s="156"/>
      <c r="I124" s="156"/>
      <c r="J124" s="156"/>
      <c r="K124" s="156"/>
      <c r="L124" s="82"/>
      <c r="M124" s="82"/>
      <c r="N124" s="82"/>
      <c r="O124" s="82"/>
      <c r="P124" s="82"/>
      <c r="Q124" s="82"/>
      <c r="R124" s="82"/>
      <c r="S124" s="82"/>
      <c r="T124" s="82"/>
      <c r="U124" s="82"/>
      <c r="V124" s="82"/>
      <c r="W124" s="53"/>
      <c r="X124" s="83"/>
      <c r="Y124" s="53"/>
      <c r="Z124" s="83"/>
      <c r="AA124" s="53"/>
      <c r="AB124" s="83"/>
      <c r="AC124" s="53"/>
      <c r="AD124" s="153"/>
      <c r="AE124" s="5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c r="BC124" s="83"/>
      <c r="BD124" s="83"/>
      <c r="BE124" s="83"/>
      <c r="BF124" s="83"/>
      <c r="BG124" s="83"/>
      <c r="BH124" s="83"/>
      <c r="BI124" s="83"/>
      <c r="BJ124" s="83"/>
      <c r="BK124" s="83"/>
      <c r="BL124" s="83"/>
      <c r="BM124" s="83"/>
      <c r="BN124" s="83"/>
      <c r="BO124" s="83"/>
      <c r="BP124" s="83"/>
      <c r="BQ124" s="83"/>
      <c r="BR124" s="83"/>
      <c r="BS124" s="83"/>
      <c r="BT124" s="83"/>
      <c r="BU124" s="83"/>
      <c r="BV124" s="83"/>
      <c r="BW124" s="83"/>
      <c r="BX124" s="83"/>
      <c r="BY124" s="83"/>
      <c r="BZ124" s="83"/>
      <c r="CA124" s="83"/>
      <c r="CB124" s="83"/>
      <c r="CC124" s="83"/>
      <c r="CD124" s="83"/>
      <c r="CE124" s="83"/>
      <c r="CF124" s="83"/>
      <c r="CG124" s="83"/>
      <c r="CH124" s="83"/>
      <c r="CI124" s="83"/>
      <c r="CJ124" s="83"/>
      <c r="CK124" s="83"/>
      <c r="CL124" s="83"/>
      <c r="CM124" s="83"/>
      <c r="CN124" s="83"/>
      <c r="CO124" s="83"/>
      <c r="CP124" s="83"/>
      <c r="CQ124" s="83"/>
      <c r="CR124" s="83"/>
      <c r="CS124" s="83"/>
      <c r="CT124" s="83"/>
      <c r="CU124" s="83"/>
      <c r="CV124" s="83"/>
      <c r="CW124" s="83"/>
      <c r="CX124" s="83"/>
      <c r="CY124" s="83"/>
      <c r="CZ124" s="83"/>
      <c r="DA124" s="83"/>
      <c r="DB124" s="83"/>
      <c r="DC124" s="83"/>
      <c r="DD124" s="83"/>
      <c r="DE124" s="83"/>
      <c r="DF124" s="83"/>
      <c r="DG124" s="83"/>
      <c r="DH124" s="83"/>
      <c r="DI124" s="83"/>
      <c r="DJ124" s="83"/>
      <c r="DK124" s="83"/>
      <c r="DL124" s="83"/>
      <c r="DM124" s="83"/>
      <c r="DN124" s="83"/>
      <c r="DO124" s="83"/>
      <c r="DP124" s="83">
        <v>1000</v>
      </c>
      <c r="DQ124" s="83">
        <f>+DP124*E124</f>
        <v>1000000</v>
      </c>
      <c r="DR124" s="83">
        <v>1000</v>
      </c>
      <c r="DS124" s="83">
        <f>+DR124*E124</f>
        <v>1000000</v>
      </c>
      <c r="DT124" s="83"/>
      <c r="DU124" s="83"/>
      <c r="DV124" s="83"/>
      <c r="DW124" s="83"/>
      <c r="DX124" s="83">
        <v>1681</v>
      </c>
      <c r="DY124" s="83">
        <f>+DX124*E124</f>
        <v>1681000</v>
      </c>
      <c r="DZ124" s="83"/>
      <c r="EA124" s="83"/>
      <c r="EB124" s="83">
        <v>1000</v>
      </c>
      <c r="EC124" s="83">
        <f>+EB124*E124</f>
        <v>1000000</v>
      </c>
      <c r="ED124" s="83"/>
      <c r="EE124" s="83"/>
      <c r="EF124" s="83"/>
      <c r="EG124" s="83"/>
      <c r="EH124" s="83"/>
      <c r="EI124" s="83"/>
      <c r="EJ124" s="83"/>
      <c r="EK124" s="83"/>
      <c r="EL124" s="83"/>
      <c r="EM124" s="83"/>
      <c r="EN124" s="83"/>
      <c r="EO124" s="83"/>
      <c r="EP124" s="139">
        <f>MEDIAN(DP124,DR124,EB124)</f>
        <v>1000</v>
      </c>
      <c r="EQ124" s="139">
        <f>AVERAGE(DP124,DR124,EB124)</f>
        <v>1000</v>
      </c>
      <c r="ER124" s="140">
        <f>STDEV(DP124,DR124,EB124)</f>
        <v>0</v>
      </c>
      <c r="ES124" s="137">
        <f t="shared" si="49"/>
        <v>0</v>
      </c>
      <c r="ET124" s="157">
        <f t="shared" si="50"/>
        <v>1000</v>
      </c>
      <c r="EU124" s="150">
        <f t="shared" si="51"/>
        <v>1000000</v>
      </c>
      <c r="EV124" s="148" t="s">
        <v>319</v>
      </c>
      <c r="EW124" s="192"/>
    </row>
    <row r="125" spans="1:153" ht="30" x14ac:dyDescent="0.25">
      <c r="A125" s="65">
        <v>119</v>
      </c>
      <c r="B125" s="81" t="s">
        <v>696</v>
      </c>
      <c r="C125" s="75" t="s">
        <v>697</v>
      </c>
      <c r="D125" s="77" t="s">
        <v>466</v>
      </c>
      <c r="E125" s="41">
        <v>390</v>
      </c>
      <c r="F125" s="156"/>
      <c r="G125" s="156"/>
      <c r="H125" s="156"/>
      <c r="I125" s="156"/>
      <c r="J125" s="156"/>
      <c r="K125" s="156"/>
      <c r="L125" s="82"/>
      <c r="M125" s="82"/>
      <c r="N125" s="82"/>
      <c r="O125" s="82"/>
      <c r="P125" s="82"/>
      <c r="Q125" s="82"/>
      <c r="R125" s="82"/>
      <c r="S125" s="82"/>
      <c r="T125" s="82"/>
      <c r="U125" s="82"/>
      <c r="V125" s="82"/>
      <c r="W125" s="53"/>
      <c r="X125" s="83"/>
      <c r="Y125" s="53"/>
      <c r="Z125" s="83"/>
      <c r="AA125" s="53"/>
      <c r="AB125" s="83"/>
      <c r="AC125" s="53"/>
      <c r="AD125" s="153"/>
      <c r="AE125" s="5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c r="BC125" s="83"/>
      <c r="BD125" s="83"/>
      <c r="BE125" s="83"/>
      <c r="BF125" s="83"/>
      <c r="BG125" s="83"/>
      <c r="BH125" s="83"/>
      <c r="BI125" s="83"/>
      <c r="BJ125" s="83"/>
      <c r="BK125" s="83"/>
      <c r="BL125" s="83"/>
      <c r="BM125" s="83"/>
      <c r="BN125" s="83"/>
      <c r="BO125" s="83"/>
      <c r="BP125" s="83"/>
      <c r="BQ125" s="83"/>
      <c r="BR125" s="83"/>
      <c r="BS125" s="83"/>
      <c r="BT125" s="83"/>
      <c r="BU125" s="83"/>
      <c r="BV125" s="83"/>
      <c r="BW125" s="83"/>
      <c r="BX125" s="83"/>
      <c r="BY125" s="83"/>
      <c r="BZ125" s="83"/>
      <c r="CA125" s="83"/>
      <c r="CB125" s="83"/>
      <c r="CC125" s="83"/>
      <c r="CD125" s="83"/>
      <c r="CE125" s="83"/>
      <c r="CF125" s="83"/>
      <c r="CG125" s="83"/>
      <c r="CH125" s="83"/>
      <c r="CI125" s="83"/>
      <c r="CJ125" s="83"/>
      <c r="CK125" s="83"/>
      <c r="CL125" s="83"/>
      <c r="CM125" s="83"/>
      <c r="CN125" s="83"/>
      <c r="CO125" s="83"/>
      <c r="CP125" s="83"/>
      <c r="CQ125" s="83"/>
      <c r="CR125" s="83">
        <v>5243</v>
      </c>
      <c r="CS125" s="83">
        <f>+CR125*E125</f>
        <v>2044770</v>
      </c>
      <c r="CT125" s="83"/>
      <c r="CU125" s="83"/>
      <c r="CV125" s="83"/>
      <c r="CW125" s="83"/>
      <c r="CX125" s="83"/>
      <c r="CY125" s="83"/>
      <c r="CZ125" s="83"/>
      <c r="DA125" s="83"/>
      <c r="DB125" s="83"/>
      <c r="DC125" s="83"/>
      <c r="DD125" s="83"/>
      <c r="DE125" s="83"/>
      <c r="DF125" s="83"/>
      <c r="DG125" s="83"/>
      <c r="DH125" s="83"/>
      <c r="DI125" s="83"/>
      <c r="DJ125" s="83"/>
      <c r="DK125" s="83"/>
      <c r="DL125" s="83"/>
      <c r="DM125" s="83"/>
      <c r="DN125" s="83"/>
      <c r="DO125" s="83"/>
      <c r="DP125" s="83"/>
      <c r="DQ125" s="83"/>
      <c r="DR125" s="83"/>
      <c r="DS125" s="83"/>
      <c r="DT125" s="83"/>
      <c r="DU125" s="83"/>
      <c r="DV125" s="83"/>
      <c r="DW125" s="83"/>
      <c r="DX125" s="83">
        <v>5700</v>
      </c>
      <c r="DY125" s="83">
        <f>+DX125*E125</f>
        <v>2223000</v>
      </c>
      <c r="DZ125" s="83"/>
      <c r="EA125" s="83"/>
      <c r="EB125" s="83"/>
      <c r="EC125" s="83"/>
      <c r="ED125" s="83"/>
      <c r="EE125" s="83"/>
      <c r="EF125" s="83"/>
      <c r="EG125" s="83"/>
      <c r="EH125" s="83"/>
      <c r="EI125" s="83"/>
      <c r="EJ125" s="83"/>
      <c r="EK125" s="83"/>
      <c r="EL125" s="83"/>
      <c r="EM125" s="83"/>
      <c r="EN125" s="83"/>
      <c r="EO125" s="83"/>
      <c r="EP125" s="139">
        <f>MEDIAN(CR125,DX125)</f>
        <v>5471.5</v>
      </c>
      <c r="EQ125" s="139">
        <f>AVERAGE(CR125,DX125)</f>
        <v>5471.5</v>
      </c>
      <c r="ER125" s="140">
        <f>STDEV(CR125,DX125)</f>
        <v>323.14779900225221</v>
      </c>
      <c r="ES125" s="137">
        <f t="shared" si="49"/>
        <v>5.9060184410536821E-2</v>
      </c>
      <c r="ET125" s="157">
        <f t="shared" si="50"/>
        <v>5472</v>
      </c>
      <c r="EU125" s="150">
        <f t="shared" si="51"/>
        <v>2134080</v>
      </c>
      <c r="EV125" s="148" t="s">
        <v>319</v>
      </c>
      <c r="EW125" s="192"/>
    </row>
    <row r="126" spans="1:153" ht="30" x14ac:dyDescent="0.25">
      <c r="A126" s="65">
        <v>120</v>
      </c>
      <c r="B126" s="81" t="s">
        <v>698</v>
      </c>
      <c r="C126" s="85" t="s">
        <v>699</v>
      </c>
      <c r="D126" s="77" t="s">
        <v>466</v>
      </c>
      <c r="E126" s="41">
        <v>800</v>
      </c>
      <c r="F126" s="156"/>
      <c r="G126" s="156"/>
      <c r="H126" s="156"/>
      <c r="I126" s="156"/>
      <c r="J126" s="156"/>
      <c r="K126" s="156"/>
      <c r="L126" s="82"/>
      <c r="M126" s="82"/>
      <c r="N126" s="82"/>
      <c r="O126" s="82"/>
      <c r="P126" s="82"/>
      <c r="Q126" s="82"/>
      <c r="R126" s="82"/>
      <c r="S126" s="82"/>
      <c r="T126" s="82"/>
      <c r="U126" s="82"/>
      <c r="V126" s="82"/>
      <c r="W126" s="53"/>
      <c r="X126" s="83"/>
      <c r="Y126" s="53"/>
      <c r="Z126" s="83"/>
      <c r="AA126" s="53"/>
      <c r="AB126" s="83"/>
      <c r="AC126" s="53"/>
      <c r="AD126" s="153"/>
      <c r="AE126" s="5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c r="BC126" s="83"/>
      <c r="BD126" s="83"/>
      <c r="BE126" s="83"/>
      <c r="BF126" s="83"/>
      <c r="BG126" s="83"/>
      <c r="BH126" s="83"/>
      <c r="BI126" s="83"/>
      <c r="BJ126" s="83"/>
      <c r="BK126" s="83"/>
      <c r="BL126" s="83"/>
      <c r="BM126" s="83"/>
      <c r="BN126" s="83"/>
      <c r="BO126" s="83"/>
      <c r="BP126" s="83"/>
      <c r="BQ126" s="83"/>
      <c r="BR126" s="83"/>
      <c r="BS126" s="83"/>
      <c r="BT126" s="83"/>
      <c r="BU126" s="83"/>
      <c r="BV126" s="83"/>
      <c r="BW126" s="83"/>
      <c r="BX126" s="83"/>
      <c r="BY126" s="83"/>
      <c r="BZ126" s="83"/>
      <c r="CA126" s="83"/>
      <c r="CB126" s="83"/>
      <c r="CC126" s="83"/>
      <c r="CD126" s="83"/>
      <c r="CE126" s="83"/>
      <c r="CF126" s="83"/>
      <c r="CG126" s="83"/>
      <c r="CH126" s="83"/>
      <c r="CI126" s="83"/>
      <c r="CJ126" s="83"/>
      <c r="CK126" s="83"/>
      <c r="CL126" s="83"/>
      <c r="CM126" s="83"/>
      <c r="CN126" s="83"/>
      <c r="CO126" s="83"/>
      <c r="CP126" s="83"/>
      <c r="CQ126" s="83"/>
      <c r="CR126" s="83"/>
      <c r="CS126" s="83"/>
      <c r="CT126" s="83"/>
      <c r="CU126" s="83"/>
      <c r="CV126" s="83"/>
      <c r="CW126" s="83"/>
      <c r="CX126" s="83"/>
      <c r="CY126" s="83"/>
      <c r="CZ126" s="83"/>
      <c r="DA126" s="83"/>
      <c r="DB126" s="83"/>
      <c r="DC126" s="83"/>
      <c r="DD126" s="83"/>
      <c r="DE126" s="83"/>
      <c r="DF126" s="83"/>
      <c r="DG126" s="83"/>
      <c r="DH126" s="83"/>
      <c r="DI126" s="83"/>
      <c r="DJ126" s="83"/>
      <c r="DK126" s="83"/>
      <c r="DL126" s="83"/>
      <c r="DM126" s="83"/>
      <c r="DN126" s="83"/>
      <c r="DO126" s="83"/>
      <c r="DP126" s="83">
        <v>60000</v>
      </c>
      <c r="DQ126" s="83">
        <f>+DP126*E126</f>
        <v>48000000</v>
      </c>
      <c r="DR126" s="83">
        <v>70000</v>
      </c>
      <c r="DS126" s="83">
        <f>+DR126*E126</f>
        <v>56000000</v>
      </c>
      <c r="DT126" s="83"/>
      <c r="DU126" s="83"/>
      <c r="DV126" s="83"/>
      <c r="DW126" s="83"/>
      <c r="DX126" s="83"/>
      <c r="DY126" s="83"/>
      <c r="DZ126" s="83"/>
      <c r="EA126" s="83"/>
      <c r="EB126" s="83"/>
      <c r="EC126" s="83"/>
      <c r="ED126" s="83"/>
      <c r="EE126" s="83"/>
      <c r="EF126" s="83"/>
      <c r="EG126" s="83"/>
      <c r="EH126" s="83"/>
      <c r="EI126" s="83"/>
      <c r="EJ126" s="83"/>
      <c r="EK126" s="83"/>
      <c r="EL126" s="83"/>
      <c r="EM126" s="83"/>
      <c r="EN126" s="83"/>
      <c r="EO126" s="83"/>
      <c r="EP126" s="139">
        <f>MEDIAN(DP126,DR126)</f>
        <v>65000</v>
      </c>
      <c r="EQ126" s="139">
        <f>AVERAGE(DP126,DR126)</f>
        <v>65000</v>
      </c>
      <c r="ER126" s="140">
        <f>STDEV(DP126,DR126)</f>
        <v>7071.0678118654751</v>
      </c>
      <c r="ES126" s="137">
        <f t="shared" si="49"/>
        <v>0.10878565864408424</v>
      </c>
      <c r="ET126" s="157">
        <f t="shared" si="50"/>
        <v>65000</v>
      </c>
      <c r="EU126" s="150">
        <f t="shared" si="51"/>
        <v>52000000</v>
      </c>
      <c r="EV126" s="148" t="s">
        <v>319</v>
      </c>
      <c r="EW126" s="192"/>
    </row>
    <row r="127" spans="1:153" ht="144.75" customHeight="1" x14ac:dyDescent="0.25">
      <c r="A127" s="65">
        <v>121</v>
      </c>
      <c r="B127" s="81" t="s">
        <v>700</v>
      </c>
      <c r="C127" s="85" t="s">
        <v>701</v>
      </c>
      <c r="D127" s="77" t="s">
        <v>466</v>
      </c>
      <c r="E127" s="41">
        <v>380</v>
      </c>
      <c r="F127" s="156"/>
      <c r="G127" s="156"/>
      <c r="H127" s="156"/>
      <c r="I127" s="156"/>
      <c r="J127" s="156"/>
      <c r="K127" s="156"/>
      <c r="L127" s="82"/>
      <c r="M127" s="82"/>
      <c r="N127" s="82"/>
      <c r="O127" s="82"/>
      <c r="P127" s="82"/>
      <c r="Q127" s="82"/>
      <c r="R127" s="82"/>
      <c r="S127" s="82"/>
      <c r="T127" s="82"/>
      <c r="U127" s="82"/>
      <c r="V127" s="82"/>
      <c r="W127" s="53"/>
      <c r="X127" s="83"/>
      <c r="Y127" s="53"/>
      <c r="Z127" s="83"/>
      <c r="AA127" s="53"/>
      <c r="AB127" s="83"/>
      <c r="AC127" s="53"/>
      <c r="AD127" s="153"/>
      <c r="AE127" s="5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c r="BC127" s="83"/>
      <c r="BD127" s="83"/>
      <c r="BE127" s="83"/>
      <c r="BF127" s="83"/>
      <c r="BG127" s="83"/>
      <c r="BH127" s="83"/>
      <c r="BI127" s="83"/>
      <c r="BJ127" s="83"/>
      <c r="BK127" s="83"/>
      <c r="BL127" s="83"/>
      <c r="BM127" s="83"/>
      <c r="BN127" s="83"/>
      <c r="BO127" s="83"/>
      <c r="BP127" s="83"/>
      <c r="BQ127" s="83"/>
      <c r="BR127" s="83"/>
      <c r="BS127" s="83"/>
      <c r="BT127" s="83"/>
      <c r="BU127" s="83"/>
      <c r="BV127" s="83"/>
      <c r="BW127" s="83"/>
      <c r="BX127" s="83"/>
      <c r="BY127" s="83"/>
      <c r="BZ127" s="83"/>
      <c r="CA127" s="83"/>
      <c r="CB127" s="83"/>
      <c r="CC127" s="83"/>
      <c r="CD127" s="83"/>
      <c r="CE127" s="83"/>
      <c r="CF127" s="83"/>
      <c r="CG127" s="83"/>
      <c r="CH127" s="83"/>
      <c r="CI127" s="83"/>
      <c r="CJ127" s="83"/>
      <c r="CK127" s="83"/>
      <c r="CL127" s="83"/>
      <c r="CM127" s="83"/>
      <c r="CN127" s="83"/>
      <c r="CO127" s="83"/>
      <c r="CP127" s="83"/>
      <c r="CQ127" s="83"/>
      <c r="CR127" s="83">
        <v>6195</v>
      </c>
      <c r="CS127" s="83">
        <f>+CR127*E127</f>
        <v>2354100</v>
      </c>
      <c r="CT127" s="83"/>
      <c r="CU127" s="83"/>
      <c r="CV127" s="83"/>
      <c r="CW127" s="83"/>
      <c r="CX127" s="83"/>
      <c r="CY127" s="83"/>
      <c r="CZ127" s="83"/>
      <c r="DA127" s="83"/>
      <c r="DB127" s="83"/>
      <c r="DC127" s="83"/>
      <c r="DD127" s="83"/>
      <c r="DE127" s="83"/>
      <c r="DF127" s="83"/>
      <c r="DG127" s="83"/>
      <c r="DH127" s="83"/>
      <c r="DI127" s="83"/>
      <c r="DJ127" s="83"/>
      <c r="DK127" s="83"/>
      <c r="DL127" s="83"/>
      <c r="DM127" s="83"/>
      <c r="DN127" s="83"/>
      <c r="DO127" s="83"/>
      <c r="DP127" s="83"/>
      <c r="DQ127" s="83"/>
      <c r="DR127" s="83"/>
      <c r="DS127" s="83"/>
      <c r="DT127" s="83"/>
      <c r="DU127" s="83"/>
      <c r="DV127" s="83"/>
      <c r="DW127" s="83"/>
      <c r="DX127" s="83">
        <v>6902</v>
      </c>
      <c r="DY127" s="83">
        <f>+DX127*E127</f>
        <v>2622760</v>
      </c>
      <c r="DZ127" s="83"/>
      <c r="EA127" s="83"/>
      <c r="EB127" s="83"/>
      <c r="EC127" s="83"/>
      <c r="ED127" s="83"/>
      <c r="EE127" s="83"/>
      <c r="EF127" s="83"/>
      <c r="EG127" s="83"/>
      <c r="EH127" s="83"/>
      <c r="EI127" s="83"/>
      <c r="EJ127" s="83"/>
      <c r="EK127" s="83"/>
      <c r="EL127" s="83"/>
      <c r="EM127" s="83"/>
      <c r="EN127" s="83"/>
      <c r="EO127" s="83"/>
      <c r="EP127" s="139">
        <f>MEDIAN(CR127,DX127)</f>
        <v>6548.5</v>
      </c>
      <c r="EQ127" s="139">
        <f>AVERAGE(CR127,DX127)</f>
        <v>6548.5</v>
      </c>
      <c r="ER127" s="140">
        <f>STDEV(CR127,DX127)</f>
        <v>499.9244942988891</v>
      </c>
      <c r="ES127" s="137">
        <f t="shared" si="49"/>
        <v>7.6341833137190063E-2</v>
      </c>
      <c r="ET127" s="157">
        <f t="shared" si="50"/>
        <v>6549</v>
      </c>
      <c r="EU127" s="150">
        <f t="shared" si="51"/>
        <v>2488620</v>
      </c>
      <c r="EV127" s="148" t="s">
        <v>319</v>
      </c>
      <c r="EW127" s="192"/>
    </row>
    <row r="128" spans="1:153" ht="60" x14ac:dyDescent="0.25">
      <c r="A128" s="65">
        <v>122</v>
      </c>
      <c r="B128" s="68" t="s">
        <v>347</v>
      </c>
      <c r="C128" s="66" t="s">
        <v>702</v>
      </c>
      <c r="D128" s="77" t="s">
        <v>466</v>
      </c>
      <c r="E128" s="41">
        <v>35</v>
      </c>
      <c r="F128" s="156"/>
      <c r="G128" s="156"/>
      <c r="H128" s="156"/>
      <c r="I128" s="156"/>
      <c r="J128" s="156"/>
      <c r="K128" s="156"/>
      <c r="L128" s="82"/>
      <c r="M128" s="82"/>
      <c r="N128" s="82"/>
      <c r="O128" s="82"/>
      <c r="P128" s="82"/>
      <c r="Q128" s="82"/>
      <c r="R128" s="82"/>
      <c r="S128" s="82"/>
      <c r="T128" s="82"/>
      <c r="U128" s="82"/>
      <c r="V128" s="82"/>
      <c r="W128" s="53"/>
      <c r="X128" s="83"/>
      <c r="Y128" s="53"/>
      <c r="Z128" s="83"/>
      <c r="AA128" s="53"/>
      <c r="AB128" s="83"/>
      <c r="AC128" s="53"/>
      <c r="AD128" s="153"/>
      <c r="AE128" s="5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c r="BC128" s="83"/>
      <c r="BD128" s="83"/>
      <c r="BE128" s="83"/>
      <c r="BF128" s="83"/>
      <c r="BG128" s="83"/>
      <c r="BH128" s="83"/>
      <c r="BI128" s="83"/>
      <c r="BJ128" s="83"/>
      <c r="BK128" s="83"/>
      <c r="BL128" s="83"/>
      <c r="BM128" s="83"/>
      <c r="BN128" s="83"/>
      <c r="BO128" s="83"/>
      <c r="BP128" s="83"/>
      <c r="BQ128" s="83"/>
      <c r="BR128" s="83"/>
      <c r="BS128" s="83"/>
      <c r="BT128" s="83"/>
      <c r="BU128" s="83"/>
      <c r="BV128" s="83"/>
      <c r="BW128" s="83"/>
      <c r="BX128" s="83"/>
      <c r="BY128" s="83"/>
      <c r="BZ128" s="83"/>
      <c r="CA128" s="83"/>
      <c r="CB128" s="83"/>
      <c r="CC128" s="83"/>
      <c r="CD128" s="83"/>
      <c r="CE128" s="83"/>
      <c r="CF128" s="83"/>
      <c r="CG128" s="83"/>
      <c r="CH128" s="83"/>
      <c r="CI128" s="83"/>
      <c r="CJ128" s="83"/>
      <c r="CK128" s="83"/>
      <c r="CL128" s="83"/>
      <c r="CM128" s="83"/>
      <c r="CN128" s="83"/>
      <c r="CO128" s="83"/>
      <c r="CP128" s="83"/>
      <c r="CQ128" s="83"/>
      <c r="CR128" s="83">
        <v>629874</v>
      </c>
      <c r="CS128" s="83">
        <f>+E128</f>
        <v>35</v>
      </c>
      <c r="CT128" s="83"/>
      <c r="CU128" s="83"/>
      <c r="CV128" s="83"/>
      <c r="CW128" s="83"/>
      <c r="CX128" s="83"/>
      <c r="CY128" s="83"/>
      <c r="CZ128" s="83"/>
      <c r="DA128" s="83"/>
      <c r="DB128" s="83"/>
      <c r="DC128" s="83"/>
      <c r="DD128" s="83"/>
      <c r="DE128" s="83"/>
      <c r="DF128" s="83"/>
      <c r="DG128" s="83"/>
      <c r="DH128" s="83"/>
      <c r="DI128" s="83"/>
      <c r="DJ128" s="83"/>
      <c r="DK128" s="83"/>
      <c r="DL128" s="83"/>
      <c r="DM128" s="83"/>
      <c r="DN128" s="83"/>
      <c r="DO128" s="83"/>
      <c r="DP128" s="83"/>
      <c r="DQ128" s="83"/>
      <c r="DR128" s="83"/>
      <c r="DS128" s="83"/>
      <c r="DT128" s="83"/>
      <c r="DU128" s="83"/>
      <c r="DV128" s="83"/>
      <c r="DW128" s="83"/>
      <c r="DX128" s="83"/>
      <c r="DY128" s="83"/>
      <c r="DZ128" s="83"/>
      <c r="EA128" s="83"/>
      <c r="EB128" s="83"/>
      <c r="EC128" s="83"/>
      <c r="ED128" s="83">
        <v>455395</v>
      </c>
      <c r="EE128" s="83">
        <f>+ED128*E128</f>
        <v>15938825</v>
      </c>
      <c r="EF128" s="83"/>
      <c r="EG128" s="83"/>
      <c r="EH128" s="83"/>
      <c r="EI128" s="83"/>
      <c r="EJ128" s="83"/>
      <c r="EK128" s="83"/>
      <c r="EL128" s="83"/>
      <c r="EM128" s="83"/>
      <c r="EN128" s="83"/>
      <c r="EO128" s="83"/>
      <c r="EP128" s="139">
        <f>MEDIAN(CR128,ED128)</f>
        <v>542634.5</v>
      </c>
      <c r="EQ128" s="139">
        <f>AVERAGE(CR128,ED128)</f>
        <v>542634.5</v>
      </c>
      <c r="ER128" s="140">
        <f>STDEV(CR128,ED128)</f>
        <v>123375.28407464763</v>
      </c>
      <c r="ES128" s="137">
        <f t="shared" si="49"/>
        <v>0.2273635090924879</v>
      </c>
      <c r="ET128" s="157">
        <f t="shared" si="50"/>
        <v>542635</v>
      </c>
      <c r="EU128" s="150">
        <f t="shared" si="51"/>
        <v>18992225</v>
      </c>
      <c r="EV128" s="148" t="s">
        <v>322</v>
      </c>
      <c r="EW128" s="192"/>
    </row>
    <row r="129" spans="1:154" ht="15.75" thickBot="1" x14ac:dyDescent="0.3">
      <c r="A129" s="363" t="s">
        <v>396</v>
      </c>
      <c r="B129" s="364"/>
      <c r="C129" s="364"/>
      <c r="D129" s="364"/>
      <c r="E129" s="364"/>
      <c r="F129" s="86"/>
      <c r="G129" s="86"/>
      <c r="H129" s="86"/>
      <c r="I129" s="86"/>
      <c r="J129" s="86"/>
      <c r="K129" s="86"/>
      <c r="L129" s="86"/>
      <c r="M129" s="86"/>
      <c r="N129" s="86"/>
      <c r="O129" s="86"/>
      <c r="P129" s="86"/>
      <c r="Q129" s="86"/>
      <c r="R129" s="86"/>
      <c r="S129" s="86"/>
      <c r="T129" s="86"/>
      <c r="U129" s="86"/>
      <c r="V129" s="86"/>
      <c r="W129" s="86"/>
      <c r="X129" s="86"/>
      <c r="Y129" s="87">
        <f t="shared" ref="Y129" si="69">+X129*E129</f>
        <v>0</v>
      </c>
      <c r="Z129" s="87"/>
      <c r="AA129" s="87"/>
      <c r="AB129" s="87"/>
      <c r="AC129" s="87"/>
      <c r="AD129" s="87"/>
      <c r="AE129" s="87"/>
      <c r="AF129" s="87"/>
      <c r="AG129" s="87"/>
      <c r="AH129" s="87"/>
      <c r="AI129" s="87"/>
      <c r="AJ129" s="87"/>
      <c r="AK129" s="87"/>
      <c r="AL129" s="87"/>
      <c r="AM129" s="87"/>
      <c r="AN129" s="87"/>
      <c r="AO129" s="87"/>
      <c r="AP129" s="87"/>
      <c r="AQ129" s="87"/>
      <c r="AR129" s="87"/>
      <c r="AS129" s="87"/>
      <c r="AT129" s="87"/>
      <c r="AU129" s="87"/>
      <c r="AV129" s="87"/>
      <c r="AW129" s="87"/>
      <c r="AX129" s="87"/>
      <c r="AY129" s="87"/>
      <c r="AZ129" s="87"/>
      <c r="BA129" s="87"/>
      <c r="BB129" s="87"/>
      <c r="BC129" s="87"/>
      <c r="BD129" s="87"/>
      <c r="BE129" s="87"/>
      <c r="BF129" s="87"/>
      <c r="BG129" s="87"/>
      <c r="BH129" s="87"/>
      <c r="BI129" s="87"/>
      <c r="BJ129" s="87"/>
      <c r="BK129" s="87"/>
      <c r="BL129" s="87"/>
      <c r="BM129" s="87"/>
      <c r="BN129" s="87"/>
      <c r="BO129" s="87"/>
      <c r="BP129" s="87"/>
      <c r="BQ129" s="87"/>
      <c r="BR129" s="87"/>
      <c r="BS129" s="87"/>
      <c r="BT129" s="87"/>
      <c r="BU129" s="87"/>
      <c r="BV129" s="87"/>
      <c r="BW129" s="87"/>
      <c r="BX129" s="87"/>
      <c r="BY129" s="87"/>
      <c r="BZ129" s="87"/>
      <c r="CA129" s="87"/>
      <c r="CB129" s="87"/>
      <c r="CC129" s="87"/>
      <c r="CD129" s="87"/>
      <c r="CE129" s="87"/>
      <c r="CF129" s="87"/>
      <c r="CG129" s="87"/>
      <c r="CH129" s="87"/>
      <c r="CI129" s="87"/>
      <c r="CJ129" s="87"/>
      <c r="CK129" s="87"/>
      <c r="CL129" s="87"/>
      <c r="CM129" s="87"/>
      <c r="CN129" s="87"/>
      <c r="CO129" s="87"/>
      <c r="CP129" s="87"/>
      <c r="CQ129" s="87"/>
      <c r="CR129" s="87"/>
      <c r="CS129" s="87"/>
      <c r="CT129" s="87"/>
      <c r="CU129" s="87"/>
      <c r="CV129" s="87"/>
      <c r="CW129" s="87"/>
      <c r="CX129" s="87"/>
      <c r="CY129" s="87"/>
      <c r="CZ129" s="87"/>
      <c r="DA129" s="87"/>
      <c r="DB129" s="87"/>
      <c r="DC129" s="87"/>
      <c r="DD129" s="87"/>
      <c r="DE129" s="87"/>
      <c r="DF129" s="87"/>
      <c r="DG129" s="87"/>
      <c r="DH129" s="87"/>
      <c r="DI129" s="87"/>
      <c r="DJ129" s="87"/>
      <c r="DK129" s="87"/>
      <c r="DL129" s="87"/>
      <c r="DM129" s="87"/>
      <c r="DN129" s="87"/>
      <c r="DO129" s="87"/>
      <c r="DP129" s="87"/>
      <c r="DQ129" s="87"/>
      <c r="DR129" s="87"/>
      <c r="DS129" s="87"/>
      <c r="DT129" s="87"/>
      <c r="DU129" s="87"/>
      <c r="DV129" s="87"/>
      <c r="DW129" s="87"/>
      <c r="DX129" s="87"/>
      <c r="DY129" s="87"/>
      <c r="DZ129" s="87"/>
      <c r="EA129" s="87"/>
      <c r="EB129" s="87"/>
      <c r="EC129" s="87"/>
      <c r="ED129" s="87"/>
      <c r="EE129" s="87"/>
      <c r="EF129" s="87"/>
      <c r="EG129" s="87"/>
      <c r="EH129" s="87"/>
      <c r="EI129" s="87"/>
      <c r="EJ129" s="87"/>
      <c r="EK129" s="87"/>
      <c r="EL129" s="87"/>
      <c r="EM129" s="87"/>
      <c r="EN129" s="87"/>
      <c r="EO129" s="87"/>
      <c r="EP129" s="88"/>
      <c r="EQ129" s="88"/>
      <c r="ER129" s="88"/>
      <c r="ES129" s="88"/>
      <c r="ET129" s="89">
        <f>+SUM(ET7:ET128)</f>
        <v>13423321</v>
      </c>
      <c r="EU129" s="89">
        <f>+SUM(EU7:EU128)</f>
        <v>2323239940</v>
      </c>
      <c r="EV129" s="88"/>
      <c r="EX129" s="60"/>
    </row>
    <row r="131" spans="1:154" x14ac:dyDescent="0.25">
      <c r="A131" s="208" t="s">
        <v>397</v>
      </c>
      <c r="B131" s="208"/>
      <c r="C131" s="208"/>
      <c r="D131" s="208"/>
      <c r="E131" s="208"/>
      <c r="F131" s="208"/>
      <c r="G131" s="208"/>
      <c r="H131" s="208"/>
      <c r="I131" s="208"/>
      <c r="J131" s="208"/>
      <c r="K131" s="208"/>
      <c r="L131" s="208"/>
      <c r="M131" s="208"/>
      <c r="N131" s="208"/>
      <c r="O131" s="208"/>
      <c r="P131" s="208"/>
      <c r="Q131" s="208"/>
      <c r="R131" s="208"/>
      <c r="S131" s="208"/>
      <c r="T131" s="208"/>
      <c r="U131" s="208"/>
      <c r="V131" s="208"/>
      <c r="W131" s="208"/>
      <c r="X131" s="208"/>
      <c r="Y131" s="208"/>
      <c r="Z131" s="208"/>
      <c r="AA131" s="208"/>
      <c r="AB131" s="208"/>
      <c r="AC131" s="208"/>
      <c r="AD131" s="208"/>
      <c r="AE131" s="208"/>
      <c r="AF131" s="208"/>
      <c r="AG131" s="208"/>
      <c r="AH131" s="208"/>
      <c r="AI131" s="208"/>
      <c r="AJ131" s="208"/>
      <c r="AK131" s="208"/>
      <c r="AL131" s="208"/>
      <c r="AM131" s="208"/>
      <c r="AN131" s="208"/>
      <c r="AO131" s="208"/>
      <c r="AP131" s="208"/>
      <c r="AQ131" s="208"/>
      <c r="AR131" s="208"/>
      <c r="AS131" s="208"/>
      <c r="AT131" s="208"/>
      <c r="AU131" s="208"/>
      <c r="AV131" s="208"/>
      <c r="AW131" s="208"/>
      <c r="AX131" s="208"/>
    </row>
    <row r="132" spans="1:154" x14ac:dyDescent="0.25">
      <c r="A132" s="208"/>
      <c r="B132" s="208"/>
      <c r="C132" s="208"/>
      <c r="D132" s="208"/>
      <c r="E132" s="208"/>
      <c r="F132" s="208"/>
      <c r="G132" s="208"/>
      <c r="H132" s="208"/>
      <c r="I132" s="208"/>
      <c r="J132" s="208"/>
      <c r="K132" s="208"/>
      <c r="L132" s="208"/>
      <c r="M132" s="208"/>
      <c r="N132" s="208"/>
      <c r="O132" s="208"/>
      <c r="P132" s="208"/>
      <c r="Q132" s="208"/>
      <c r="R132" s="208"/>
      <c r="S132" s="208"/>
      <c r="T132" s="208"/>
      <c r="U132" s="208"/>
      <c r="V132" s="208"/>
      <c r="W132" s="208"/>
      <c r="X132" s="208"/>
      <c r="Y132" s="208"/>
      <c r="Z132" s="208"/>
      <c r="AA132" s="208"/>
      <c r="AB132" s="208"/>
      <c r="AC132" s="208"/>
      <c r="AD132" s="208"/>
      <c r="AE132" s="208"/>
      <c r="AF132" s="208"/>
      <c r="AG132" s="208"/>
      <c r="AH132" s="208"/>
      <c r="AI132" s="208"/>
      <c r="AJ132" s="208"/>
      <c r="AK132" s="208"/>
      <c r="AL132" s="208"/>
      <c r="AM132" s="208"/>
      <c r="AN132" s="208"/>
      <c r="AO132" s="208"/>
      <c r="AP132" s="208"/>
      <c r="AQ132" s="208"/>
      <c r="AR132" s="208"/>
      <c r="AS132" s="208"/>
      <c r="AT132" s="208"/>
      <c r="AU132" s="208"/>
      <c r="AV132" s="208"/>
      <c r="AW132" s="208"/>
      <c r="AX132" s="208"/>
      <c r="EU132" s="106"/>
    </row>
    <row r="133" spans="1:154" x14ac:dyDescent="0.25">
      <c r="A133" s="208"/>
      <c r="B133" s="208"/>
      <c r="C133" s="208"/>
      <c r="D133" s="208"/>
      <c r="E133" s="208"/>
      <c r="F133" s="208"/>
      <c r="G133" s="208"/>
      <c r="H133" s="208"/>
      <c r="I133" s="208"/>
      <c r="J133" s="208"/>
      <c r="K133" s="208"/>
      <c r="L133" s="208"/>
      <c r="M133" s="208"/>
      <c r="N133" s="208"/>
      <c r="O133" s="208"/>
      <c r="P133" s="208"/>
      <c r="Q133" s="208"/>
      <c r="R133" s="208"/>
      <c r="S133" s="208"/>
      <c r="T133" s="208"/>
      <c r="U133" s="208"/>
      <c r="V133" s="208"/>
      <c r="W133" s="208"/>
      <c r="X133" s="208"/>
      <c r="Y133" s="208"/>
      <c r="Z133" s="208"/>
      <c r="AA133" s="208"/>
      <c r="AB133" s="208"/>
      <c r="AC133" s="208"/>
      <c r="AD133" s="208"/>
      <c r="AE133" s="208"/>
      <c r="AF133" s="208"/>
      <c r="AG133" s="208"/>
      <c r="AH133" s="208"/>
      <c r="AI133" s="208"/>
      <c r="AJ133" s="208"/>
      <c r="AK133" s="208"/>
      <c r="AL133" s="208"/>
      <c r="AM133" s="208"/>
      <c r="AN133" s="208"/>
      <c r="AO133" s="208"/>
      <c r="AP133" s="208"/>
      <c r="AQ133" s="208"/>
      <c r="AR133" s="208"/>
      <c r="AS133" s="208"/>
      <c r="AT133" s="208"/>
      <c r="AU133" s="208"/>
      <c r="AV133" s="208"/>
      <c r="AW133" s="208"/>
      <c r="AX133" s="208"/>
      <c r="EV133" s="106"/>
    </row>
    <row r="134" spans="1:154" x14ac:dyDescent="0.25">
      <c r="A134" s="208"/>
      <c r="B134" s="208"/>
      <c r="C134" s="208"/>
      <c r="D134" s="208"/>
      <c r="E134" s="208"/>
      <c r="F134" s="208"/>
      <c r="G134" s="208"/>
      <c r="H134" s="208"/>
      <c r="I134" s="208"/>
      <c r="J134" s="208"/>
      <c r="K134" s="208"/>
      <c r="L134" s="208"/>
      <c r="M134" s="208"/>
      <c r="N134" s="208"/>
      <c r="O134" s="208"/>
      <c r="P134" s="208"/>
      <c r="Q134" s="208"/>
      <c r="R134" s="208"/>
      <c r="S134" s="208"/>
      <c r="T134" s="208"/>
      <c r="U134" s="208"/>
      <c r="V134" s="208"/>
      <c r="W134" s="208"/>
      <c r="X134" s="208"/>
      <c r="Y134" s="208"/>
      <c r="Z134" s="208"/>
      <c r="AA134" s="208"/>
      <c r="AB134" s="208"/>
      <c r="AC134" s="208"/>
      <c r="AD134" s="208"/>
      <c r="AE134" s="208"/>
      <c r="AF134" s="208"/>
      <c r="AG134" s="208"/>
      <c r="AH134" s="208"/>
      <c r="AI134" s="208"/>
      <c r="AJ134" s="208"/>
      <c r="AK134" s="208"/>
      <c r="AL134" s="208"/>
      <c r="AM134" s="208"/>
      <c r="AN134" s="208"/>
      <c r="AO134" s="208"/>
      <c r="AP134" s="208"/>
      <c r="AQ134" s="208"/>
      <c r="AR134" s="208"/>
      <c r="AS134" s="208"/>
      <c r="AT134" s="208"/>
      <c r="AU134" s="208"/>
      <c r="AV134" s="208"/>
      <c r="AW134" s="208"/>
      <c r="AX134" s="208"/>
    </row>
    <row r="135" spans="1:154" x14ac:dyDescent="0.25">
      <c r="A135" s="208"/>
      <c r="B135" s="208"/>
      <c r="C135" s="208"/>
      <c r="D135" s="208"/>
      <c r="E135" s="208"/>
      <c r="F135" s="208"/>
      <c r="G135" s="208"/>
      <c r="H135" s="208"/>
      <c r="I135" s="208"/>
      <c r="J135" s="208"/>
      <c r="K135" s="208"/>
      <c r="L135" s="208"/>
      <c r="M135" s="208"/>
      <c r="N135" s="208"/>
      <c r="O135" s="208"/>
      <c r="P135" s="208"/>
      <c r="Q135" s="208"/>
      <c r="R135" s="208"/>
      <c r="S135" s="208"/>
      <c r="T135" s="208"/>
      <c r="U135" s="208"/>
      <c r="V135" s="208"/>
      <c r="W135" s="208"/>
      <c r="X135" s="208"/>
      <c r="Y135" s="208"/>
      <c r="Z135" s="208"/>
      <c r="AA135" s="208"/>
      <c r="AB135" s="208"/>
      <c r="AC135" s="208"/>
      <c r="AD135" s="208"/>
      <c r="AE135" s="208"/>
      <c r="AF135" s="208"/>
      <c r="AG135" s="208"/>
      <c r="AH135" s="208"/>
      <c r="AI135" s="208"/>
      <c r="AJ135" s="208"/>
      <c r="AK135" s="208"/>
      <c r="AL135" s="208"/>
      <c r="AM135" s="208"/>
      <c r="AN135" s="208"/>
      <c r="AO135" s="208"/>
      <c r="AP135" s="208"/>
      <c r="AQ135" s="208"/>
      <c r="AR135" s="208"/>
      <c r="AS135" s="208"/>
      <c r="AT135" s="208"/>
      <c r="AU135" s="208"/>
      <c r="AV135" s="208"/>
      <c r="AW135" s="208"/>
      <c r="AX135" s="208"/>
    </row>
    <row r="136" spans="1:154" x14ac:dyDescent="0.25">
      <c r="A136" s="208"/>
      <c r="B136" s="208"/>
      <c r="C136" s="208"/>
      <c r="D136" s="208"/>
      <c r="E136" s="208"/>
      <c r="F136" s="208"/>
      <c r="G136" s="208"/>
      <c r="H136" s="208"/>
      <c r="I136" s="208"/>
      <c r="J136" s="208"/>
      <c r="K136" s="208"/>
      <c r="L136" s="208"/>
      <c r="M136" s="208"/>
      <c r="N136" s="208"/>
      <c r="O136" s="208"/>
      <c r="P136" s="208"/>
      <c r="Q136" s="208"/>
      <c r="R136" s="208"/>
      <c r="S136" s="208"/>
      <c r="T136" s="208"/>
      <c r="U136" s="208"/>
      <c r="V136" s="208"/>
      <c r="W136" s="208"/>
      <c r="X136" s="208"/>
      <c r="Y136" s="208"/>
      <c r="Z136" s="208"/>
      <c r="AA136" s="208"/>
      <c r="AB136" s="208"/>
      <c r="AC136" s="208"/>
      <c r="AD136" s="208"/>
      <c r="AE136" s="208"/>
      <c r="AF136" s="208"/>
      <c r="AG136" s="208"/>
      <c r="AH136" s="208"/>
      <c r="AI136" s="208"/>
      <c r="AJ136" s="208"/>
      <c r="AK136" s="208"/>
      <c r="AL136" s="208"/>
      <c r="AM136" s="208"/>
      <c r="AN136" s="208"/>
      <c r="AO136" s="208"/>
      <c r="AP136" s="208"/>
      <c r="AQ136" s="208"/>
      <c r="AR136" s="208"/>
      <c r="AS136" s="208"/>
      <c r="AT136" s="208"/>
      <c r="AU136" s="208"/>
      <c r="AV136" s="208"/>
      <c r="AW136" s="208"/>
      <c r="AX136" s="208"/>
    </row>
    <row r="137" spans="1:154" x14ac:dyDescent="0.25">
      <c r="A137" s="208"/>
      <c r="B137" s="208"/>
      <c r="C137" s="208"/>
      <c r="D137" s="208"/>
      <c r="E137" s="208"/>
      <c r="F137" s="208"/>
      <c r="G137" s="208"/>
      <c r="H137" s="208"/>
      <c r="I137" s="208"/>
      <c r="J137" s="208"/>
      <c r="K137" s="208"/>
      <c r="L137" s="208"/>
      <c r="M137" s="208"/>
      <c r="N137" s="208"/>
      <c r="O137" s="208"/>
      <c r="P137" s="208"/>
      <c r="Q137" s="208"/>
      <c r="R137" s="208"/>
      <c r="S137" s="208"/>
      <c r="T137" s="208"/>
      <c r="U137" s="208"/>
      <c r="V137" s="208"/>
      <c r="W137" s="208"/>
      <c r="X137" s="208"/>
      <c r="Y137" s="208"/>
      <c r="Z137" s="208"/>
      <c r="AA137" s="208"/>
      <c r="AB137" s="208"/>
      <c r="AC137" s="208"/>
      <c r="AD137" s="208"/>
      <c r="AE137" s="208"/>
      <c r="AF137" s="208"/>
      <c r="AG137" s="208"/>
      <c r="AH137" s="208"/>
      <c r="AI137" s="208"/>
      <c r="AJ137" s="208"/>
      <c r="AK137" s="208"/>
      <c r="AL137" s="208"/>
      <c r="AM137" s="208"/>
      <c r="AN137" s="208"/>
      <c r="AO137" s="208"/>
      <c r="AP137" s="208"/>
      <c r="AQ137" s="208"/>
      <c r="AR137" s="208"/>
      <c r="AS137" s="208"/>
      <c r="AT137" s="208"/>
      <c r="AU137" s="208"/>
      <c r="AV137" s="208"/>
      <c r="AW137" s="208"/>
      <c r="AX137" s="208"/>
    </row>
    <row r="138" spans="1:154" x14ac:dyDescent="0.25">
      <c r="A138" s="208"/>
      <c r="B138" s="208"/>
      <c r="C138" s="208"/>
      <c r="D138" s="208"/>
      <c r="E138" s="208"/>
      <c r="F138" s="208"/>
      <c r="G138" s="208"/>
      <c r="H138" s="208"/>
      <c r="I138" s="208"/>
      <c r="J138" s="208"/>
      <c r="K138" s="208"/>
      <c r="L138" s="208"/>
      <c r="M138" s="208"/>
      <c r="N138" s="208"/>
      <c r="O138" s="208"/>
      <c r="P138" s="208"/>
      <c r="Q138" s="208"/>
      <c r="R138" s="208"/>
      <c r="S138" s="208"/>
      <c r="T138" s="208"/>
      <c r="U138" s="208"/>
      <c r="V138" s="208"/>
      <c r="W138" s="208"/>
      <c r="X138" s="208"/>
      <c r="Y138" s="208"/>
      <c r="Z138" s="208"/>
      <c r="AA138" s="208"/>
      <c r="AB138" s="208"/>
      <c r="AC138" s="208"/>
      <c r="AD138" s="208"/>
      <c r="AE138" s="208"/>
      <c r="AF138" s="208"/>
      <c r="AG138" s="208"/>
      <c r="AH138" s="208"/>
      <c r="AI138" s="208"/>
      <c r="AJ138" s="208"/>
      <c r="AK138" s="208"/>
      <c r="AL138" s="208"/>
      <c r="AM138" s="208"/>
      <c r="AN138" s="208"/>
      <c r="AO138" s="208"/>
      <c r="AP138" s="208"/>
      <c r="AQ138" s="208"/>
      <c r="AR138" s="208"/>
      <c r="AS138" s="208"/>
      <c r="AT138" s="208"/>
      <c r="AU138" s="208"/>
      <c r="AV138" s="208"/>
      <c r="AW138" s="208"/>
      <c r="AX138" s="208"/>
    </row>
    <row r="139" spans="1:154" x14ac:dyDescent="0.25">
      <c r="A139" s="208"/>
      <c r="B139" s="208"/>
      <c r="C139" s="208"/>
      <c r="D139" s="208"/>
      <c r="E139" s="208"/>
      <c r="F139" s="208"/>
      <c r="G139" s="208"/>
      <c r="H139" s="208"/>
      <c r="I139" s="208"/>
      <c r="J139" s="208"/>
      <c r="K139" s="208"/>
      <c r="L139" s="208"/>
      <c r="M139" s="208"/>
      <c r="N139" s="208"/>
      <c r="O139" s="208"/>
      <c r="P139" s="208"/>
      <c r="Q139" s="208"/>
      <c r="R139" s="208"/>
      <c r="S139" s="208"/>
      <c r="T139" s="208"/>
      <c r="U139" s="208"/>
      <c r="V139" s="208"/>
      <c r="W139" s="208"/>
      <c r="X139" s="208"/>
      <c r="Y139" s="208"/>
      <c r="Z139" s="208"/>
      <c r="AA139" s="208"/>
      <c r="AB139" s="208"/>
      <c r="AC139" s="208"/>
      <c r="AD139" s="208"/>
      <c r="AE139" s="208"/>
      <c r="AF139" s="208"/>
      <c r="AG139" s="208"/>
      <c r="AH139" s="208"/>
      <c r="AI139" s="208"/>
      <c r="AJ139" s="208"/>
      <c r="AK139" s="208"/>
      <c r="AL139" s="208"/>
      <c r="AM139" s="208"/>
      <c r="AN139" s="208"/>
      <c r="AO139" s="208"/>
      <c r="AP139" s="208"/>
      <c r="AQ139" s="208"/>
      <c r="AR139" s="208"/>
      <c r="AS139" s="208"/>
      <c r="AT139" s="208"/>
      <c r="AU139" s="208"/>
      <c r="AV139" s="208"/>
      <c r="AW139" s="208"/>
      <c r="AX139" s="208"/>
    </row>
    <row r="140" spans="1:154" x14ac:dyDescent="0.25">
      <c r="A140" s="208"/>
      <c r="B140" s="208"/>
      <c r="C140" s="208"/>
      <c r="D140" s="208"/>
      <c r="E140" s="208"/>
      <c r="F140" s="208"/>
      <c r="G140" s="208"/>
      <c r="H140" s="208"/>
      <c r="I140" s="208"/>
      <c r="J140" s="208"/>
      <c r="K140" s="208"/>
      <c r="L140" s="208"/>
      <c r="M140" s="208"/>
      <c r="N140" s="208"/>
      <c r="O140" s="208"/>
      <c r="P140" s="208"/>
      <c r="Q140" s="208"/>
      <c r="R140" s="208"/>
      <c r="S140" s="208"/>
      <c r="T140" s="208"/>
      <c r="U140" s="208"/>
      <c r="V140" s="208"/>
      <c r="W140" s="208"/>
      <c r="X140" s="208"/>
      <c r="Y140" s="208"/>
      <c r="Z140" s="208"/>
      <c r="AA140" s="208"/>
      <c r="AB140" s="208"/>
      <c r="AC140" s="208"/>
      <c r="AD140" s="208"/>
      <c r="AE140" s="208"/>
      <c r="AF140" s="208"/>
      <c r="AG140" s="208"/>
      <c r="AH140" s="208"/>
      <c r="AI140" s="208"/>
      <c r="AJ140" s="208"/>
      <c r="AK140" s="208"/>
      <c r="AL140" s="208"/>
      <c r="AM140" s="208"/>
      <c r="AN140" s="208"/>
      <c r="AO140" s="208"/>
      <c r="AP140" s="208"/>
      <c r="AQ140" s="208"/>
      <c r="AR140" s="208"/>
      <c r="AS140" s="208"/>
      <c r="AT140" s="208"/>
      <c r="AU140" s="208"/>
      <c r="AV140" s="208"/>
      <c r="AW140" s="208"/>
      <c r="AX140" s="208"/>
    </row>
    <row r="141" spans="1:154" x14ac:dyDescent="0.25">
      <c r="A141" s="208"/>
      <c r="B141" s="208"/>
      <c r="C141" s="208"/>
      <c r="D141" s="208"/>
      <c r="E141" s="208"/>
      <c r="F141" s="208"/>
      <c r="G141" s="208"/>
      <c r="H141" s="208"/>
      <c r="I141" s="208"/>
      <c r="J141" s="208"/>
      <c r="K141" s="208"/>
      <c r="L141" s="208"/>
      <c r="M141" s="208"/>
      <c r="N141" s="208"/>
      <c r="O141" s="208"/>
      <c r="P141" s="208"/>
      <c r="Q141" s="208"/>
      <c r="R141" s="208"/>
      <c r="S141" s="208"/>
      <c r="T141" s="208"/>
      <c r="U141" s="208"/>
      <c r="V141" s="208"/>
      <c r="W141" s="208"/>
      <c r="X141" s="208"/>
      <c r="Y141" s="208"/>
      <c r="Z141" s="208"/>
      <c r="AA141" s="208"/>
      <c r="AB141" s="208"/>
      <c r="AC141" s="208"/>
      <c r="AD141" s="208"/>
      <c r="AE141" s="208"/>
      <c r="AF141" s="208"/>
      <c r="AG141" s="208"/>
      <c r="AH141" s="208"/>
      <c r="AI141" s="208"/>
      <c r="AJ141" s="208"/>
      <c r="AK141" s="208"/>
      <c r="AL141" s="208"/>
      <c r="AM141" s="208"/>
      <c r="AN141" s="208"/>
      <c r="AO141" s="208"/>
      <c r="AP141" s="208"/>
      <c r="AQ141" s="208"/>
      <c r="AR141" s="208"/>
      <c r="AS141" s="208"/>
      <c r="AT141" s="208"/>
      <c r="AU141" s="208"/>
      <c r="AV141" s="208"/>
      <c r="AW141" s="208"/>
      <c r="AX141" s="208"/>
    </row>
  </sheetData>
  <mergeCells count="77">
    <mergeCell ref="A129:E129"/>
    <mergeCell ref="A131:AX141"/>
    <mergeCell ref="A2:EV2"/>
    <mergeCell ref="A3:EV3"/>
    <mergeCell ref="EH4:EI5"/>
    <mergeCell ref="DL4:DM5"/>
    <mergeCell ref="DN4:DO5"/>
    <mergeCell ref="DP4:DQ5"/>
    <mergeCell ref="DR4:DS5"/>
    <mergeCell ref="DT4:DU5"/>
    <mergeCell ref="DV4:DW5"/>
    <mergeCell ref="DX4:DY5"/>
    <mergeCell ref="DZ4:EA5"/>
    <mergeCell ref="EB4:EC5"/>
    <mergeCell ref="ED4:EE5"/>
    <mergeCell ref="EF4:EG5"/>
    <mergeCell ref="EJ4:EK5"/>
    <mergeCell ref="EL4:EM5"/>
    <mergeCell ref="EN4:EO5"/>
    <mergeCell ref="EP4:ES5"/>
    <mergeCell ref="ET4:EV5"/>
    <mergeCell ref="DD4:DE5"/>
    <mergeCell ref="DF4:DG5"/>
    <mergeCell ref="DH4:DI5"/>
    <mergeCell ref="DJ4:DK5"/>
    <mergeCell ref="CN4:CO5"/>
    <mergeCell ref="CP4:CQ5"/>
    <mergeCell ref="CR4:CS5"/>
    <mergeCell ref="CT4:CU5"/>
    <mergeCell ref="CV4:CW5"/>
    <mergeCell ref="CX4:CY5"/>
    <mergeCell ref="CZ4:DA5"/>
    <mergeCell ref="DB4:DC5"/>
    <mergeCell ref="CL4:CM5"/>
    <mergeCell ref="BP4:BQ5"/>
    <mergeCell ref="BR4:BS5"/>
    <mergeCell ref="BT4:BU5"/>
    <mergeCell ref="BV4:BW5"/>
    <mergeCell ref="BX4:BY5"/>
    <mergeCell ref="BZ4:CA5"/>
    <mergeCell ref="CB4:CC5"/>
    <mergeCell ref="CD4:CE5"/>
    <mergeCell ref="CF4:CG5"/>
    <mergeCell ref="CH4:CI5"/>
    <mergeCell ref="CJ4:CK5"/>
    <mergeCell ref="BN4:BO5"/>
    <mergeCell ref="AR4:AS5"/>
    <mergeCell ref="AT4:AU5"/>
    <mergeCell ref="AV4:AW5"/>
    <mergeCell ref="AX4:AY5"/>
    <mergeCell ref="AZ4:BA5"/>
    <mergeCell ref="BB4:BC5"/>
    <mergeCell ref="BD4:BE5"/>
    <mergeCell ref="BF4:BG5"/>
    <mergeCell ref="BH4:BI5"/>
    <mergeCell ref="BJ4:BK5"/>
    <mergeCell ref="BL4:BM5"/>
    <mergeCell ref="AJ4:AK5"/>
    <mergeCell ref="AL4:AM5"/>
    <mergeCell ref="AN4:AO5"/>
    <mergeCell ref="AP4:AQ5"/>
    <mergeCell ref="T4:U5"/>
    <mergeCell ref="V4:W5"/>
    <mergeCell ref="X4:Y5"/>
    <mergeCell ref="Z4:AA5"/>
    <mergeCell ref="AB4:AC5"/>
    <mergeCell ref="AD4:AE5"/>
    <mergeCell ref="N4:O5"/>
    <mergeCell ref="P4:Q5"/>
    <mergeCell ref="R4:S5"/>
    <mergeCell ref="AF4:AG5"/>
    <mergeCell ref="AH4:AI5"/>
    <mergeCell ref="A4:E5"/>
    <mergeCell ref="F4:G5"/>
    <mergeCell ref="H4:I5"/>
    <mergeCell ref="J4:K5"/>
    <mergeCell ref="L4:M5"/>
  </mergeCells>
  <conditionalFormatting sqref="ES7:ES128">
    <cfRule type="cellIs" dxfId="1" priority="1" operator="greaterThan">
      <formula>0.3</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BB64"/>
  <sheetViews>
    <sheetView topLeftCell="AV42" zoomScale="78" zoomScaleNormal="51" workbookViewId="0">
      <selection activeCell="BA45" sqref="BA45"/>
    </sheetView>
  </sheetViews>
  <sheetFormatPr baseColWidth="10" defaultColWidth="10.85546875" defaultRowHeight="15" x14ac:dyDescent="0.25"/>
  <cols>
    <col min="1" max="1" width="10.28515625" style="45" customWidth="1"/>
    <col min="2" max="2" width="18.28515625" style="24" customWidth="1"/>
    <col min="3" max="3" width="74.5703125" style="198" customWidth="1"/>
    <col min="4" max="4" width="17.28515625" style="45" customWidth="1"/>
    <col min="5" max="5" width="20.5703125" style="45" customWidth="1"/>
    <col min="6" max="6" width="25.5703125" style="61" customWidth="1"/>
    <col min="7" max="7" width="25.5703125" style="62" customWidth="1"/>
    <col min="8" max="8" width="25.5703125" style="63" customWidth="1"/>
    <col min="9" max="41" width="25.5703125" style="62" customWidth="1"/>
    <col min="42" max="48" width="27.7109375" style="62" customWidth="1"/>
    <col min="49" max="49" width="24.28515625" style="45" customWidth="1"/>
    <col min="50" max="50" width="20.7109375" style="45" customWidth="1"/>
    <col min="51" max="51" width="25" style="45" customWidth="1"/>
    <col min="52" max="52" width="23.5703125" style="45" customWidth="1"/>
    <col min="53" max="53" width="22.140625" style="45" bestFit="1" customWidth="1"/>
    <col min="54" max="54" width="52.140625" style="45" customWidth="1"/>
    <col min="55" max="16384" width="10.85546875" style="45"/>
  </cols>
  <sheetData>
    <row r="2" spans="1:54" s="2" customFormat="1" ht="18" customHeight="1" x14ac:dyDescent="0.25">
      <c r="A2" s="280" t="s">
        <v>798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row>
    <row r="3" spans="1:54" s="2" customFormat="1" ht="18" customHeight="1" thickBot="1" x14ac:dyDescent="0.3">
      <c r="A3" s="281" t="s">
        <v>799</v>
      </c>
      <c r="B3" s="282"/>
      <c r="C3" s="282"/>
      <c r="D3" s="282"/>
      <c r="E3" s="282"/>
      <c r="F3" s="282"/>
      <c r="G3" s="282"/>
      <c r="H3" s="282"/>
      <c r="I3" s="282"/>
      <c r="J3" s="282"/>
      <c r="K3" s="282"/>
      <c r="L3" s="282"/>
      <c r="M3" s="282"/>
      <c r="N3" s="282"/>
      <c r="O3" s="282"/>
      <c r="P3" s="282"/>
      <c r="Q3" s="282"/>
      <c r="R3" s="282"/>
      <c r="S3" s="282"/>
      <c r="T3" s="282"/>
      <c r="U3" s="282"/>
      <c r="V3" s="282"/>
      <c r="W3" s="282"/>
      <c r="X3" s="282"/>
      <c r="Y3" s="282"/>
      <c r="Z3" s="282"/>
      <c r="AA3" s="282"/>
      <c r="AB3" s="282"/>
      <c r="AC3" s="282"/>
      <c r="AD3" s="282"/>
      <c r="AE3" s="282"/>
      <c r="AF3" s="282"/>
      <c r="AG3" s="282"/>
      <c r="AH3" s="282"/>
      <c r="AI3" s="282"/>
      <c r="AJ3" s="282"/>
      <c r="AK3" s="282"/>
      <c r="AL3" s="282"/>
      <c r="AM3" s="282"/>
      <c r="AN3" s="282"/>
      <c r="AO3" s="282"/>
      <c r="AP3" s="282"/>
      <c r="AQ3" s="282"/>
      <c r="AR3" s="282"/>
      <c r="AS3" s="282"/>
      <c r="AT3" s="282"/>
      <c r="AU3" s="282"/>
      <c r="AV3" s="282"/>
      <c r="AW3" s="282"/>
      <c r="AX3" s="282"/>
      <c r="AY3" s="282"/>
      <c r="AZ3" s="282"/>
      <c r="BA3" s="282"/>
      <c r="BB3" s="282"/>
    </row>
    <row r="4" spans="1:54" ht="37.5" customHeight="1" x14ac:dyDescent="0.25">
      <c r="A4" s="224" t="s">
        <v>811</v>
      </c>
      <c r="B4" s="225"/>
      <c r="C4" s="225"/>
      <c r="D4" s="225"/>
      <c r="E4" s="226"/>
      <c r="F4" s="379" t="s">
        <v>269</v>
      </c>
      <c r="G4" s="381" t="s">
        <v>270</v>
      </c>
      <c r="H4" s="383" t="s">
        <v>271</v>
      </c>
      <c r="I4" s="385" t="s">
        <v>272</v>
      </c>
      <c r="J4" s="373" t="s">
        <v>273</v>
      </c>
      <c r="K4" s="375" t="s">
        <v>274</v>
      </c>
      <c r="L4" s="377" t="s">
        <v>275</v>
      </c>
      <c r="M4" s="387" t="s">
        <v>276</v>
      </c>
      <c r="N4" s="267" t="s">
        <v>277</v>
      </c>
      <c r="O4" s="389" t="s">
        <v>278</v>
      </c>
      <c r="P4" s="390" t="s">
        <v>279</v>
      </c>
      <c r="Q4" s="391" t="s">
        <v>280</v>
      </c>
      <c r="R4" s="371" t="s">
        <v>281</v>
      </c>
      <c r="S4" s="417" t="s">
        <v>282</v>
      </c>
      <c r="T4" s="404" t="s">
        <v>283</v>
      </c>
      <c r="U4" s="417" t="s">
        <v>284</v>
      </c>
      <c r="V4" s="418" t="s">
        <v>285</v>
      </c>
      <c r="W4" s="420" t="s">
        <v>286</v>
      </c>
      <c r="X4" s="421" t="s">
        <v>287</v>
      </c>
      <c r="Y4" s="426" t="s">
        <v>288</v>
      </c>
      <c r="Z4" s="427" t="s">
        <v>289</v>
      </c>
      <c r="AA4" s="413" t="s">
        <v>290</v>
      </c>
      <c r="AB4" s="415" t="s">
        <v>291</v>
      </c>
      <c r="AC4" s="416" t="s">
        <v>292</v>
      </c>
      <c r="AD4" s="418" t="s">
        <v>293</v>
      </c>
      <c r="AE4" s="413" t="s">
        <v>294</v>
      </c>
      <c r="AF4" s="415" t="s">
        <v>295</v>
      </c>
      <c r="AG4" s="416" t="s">
        <v>296</v>
      </c>
      <c r="AH4" s="371" t="s">
        <v>297</v>
      </c>
      <c r="AI4" s="399" t="s">
        <v>298</v>
      </c>
      <c r="AJ4" s="401" t="s">
        <v>299</v>
      </c>
      <c r="AK4" s="396" t="s">
        <v>300</v>
      </c>
      <c r="AL4" s="397" t="s">
        <v>301</v>
      </c>
      <c r="AM4" s="399" t="s">
        <v>302</v>
      </c>
      <c r="AN4" s="401" t="s">
        <v>303</v>
      </c>
      <c r="AO4" s="396" t="s">
        <v>304</v>
      </c>
      <c r="AP4" s="397" t="s">
        <v>305</v>
      </c>
      <c r="AQ4" s="405" t="s">
        <v>306</v>
      </c>
      <c r="AR4" s="407" t="s">
        <v>307</v>
      </c>
      <c r="AS4" s="409" t="s">
        <v>308</v>
      </c>
      <c r="AT4" s="411" t="s">
        <v>309</v>
      </c>
      <c r="AU4" s="392" t="s">
        <v>310</v>
      </c>
      <c r="AV4" s="394" t="s">
        <v>311</v>
      </c>
      <c r="AW4" s="285" t="s">
        <v>0</v>
      </c>
      <c r="AX4" s="285"/>
      <c r="AY4" s="285"/>
      <c r="AZ4" s="286"/>
      <c r="BA4" s="289" t="s">
        <v>1</v>
      </c>
      <c r="BB4" s="291"/>
    </row>
    <row r="5" spans="1:54" ht="27" customHeight="1" thickBot="1" x14ac:dyDescent="0.3">
      <c r="A5" s="227"/>
      <c r="B5" s="228"/>
      <c r="C5" s="228"/>
      <c r="D5" s="228"/>
      <c r="E5" s="229"/>
      <c r="F5" s="380"/>
      <c r="G5" s="382"/>
      <c r="H5" s="384"/>
      <c r="I5" s="386"/>
      <c r="J5" s="374"/>
      <c r="K5" s="376"/>
      <c r="L5" s="378"/>
      <c r="M5" s="387"/>
      <c r="N5" s="388"/>
      <c r="O5" s="389"/>
      <c r="P5" s="390"/>
      <c r="Q5" s="391"/>
      <c r="R5" s="372"/>
      <c r="S5" s="417"/>
      <c r="T5" s="404"/>
      <c r="U5" s="417"/>
      <c r="V5" s="419"/>
      <c r="W5" s="420"/>
      <c r="X5" s="421"/>
      <c r="Y5" s="426"/>
      <c r="Z5" s="427"/>
      <c r="AA5" s="413"/>
      <c r="AB5" s="415"/>
      <c r="AC5" s="416"/>
      <c r="AD5" s="418"/>
      <c r="AE5" s="414"/>
      <c r="AF5" s="415"/>
      <c r="AG5" s="416"/>
      <c r="AH5" s="371"/>
      <c r="AI5" s="399"/>
      <c r="AJ5" s="402"/>
      <c r="AK5" s="396"/>
      <c r="AL5" s="398"/>
      <c r="AM5" s="400"/>
      <c r="AN5" s="402"/>
      <c r="AO5" s="403"/>
      <c r="AP5" s="398"/>
      <c r="AQ5" s="406"/>
      <c r="AR5" s="408"/>
      <c r="AS5" s="410"/>
      <c r="AT5" s="412"/>
      <c r="AU5" s="393"/>
      <c r="AV5" s="395"/>
      <c r="AW5" s="287"/>
      <c r="AX5" s="287"/>
      <c r="AY5" s="287"/>
      <c r="AZ5" s="288"/>
      <c r="BA5" s="292"/>
      <c r="BB5" s="294"/>
    </row>
    <row r="6" spans="1:54" ht="32.450000000000003" customHeight="1" thickBot="1" x14ac:dyDescent="0.3">
      <c r="A6" s="123" t="s">
        <v>312</v>
      </c>
      <c r="B6" s="123" t="s">
        <v>2</v>
      </c>
      <c r="C6" s="196" t="s">
        <v>3</v>
      </c>
      <c r="D6" s="123" t="s">
        <v>4</v>
      </c>
      <c r="E6" s="124" t="s">
        <v>313</v>
      </c>
      <c r="F6" s="158" t="s">
        <v>314</v>
      </c>
      <c r="G6" s="159" t="s">
        <v>314</v>
      </c>
      <c r="H6" s="159" t="s">
        <v>314</v>
      </c>
      <c r="I6" s="159" t="s">
        <v>314</v>
      </c>
      <c r="J6" s="159" t="s">
        <v>314</v>
      </c>
      <c r="K6" s="159" t="s">
        <v>314</v>
      </c>
      <c r="L6" s="159" t="s">
        <v>314</v>
      </c>
      <c r="M6" s="159" t="s">
        <v>314</v>
      </c>
      <c r="N6" s="159" t="s">
        <v>314</v>
      </c>
      <c r="O6" s="159" t="s">
        <v>314</v>
      </c>
      <c r="P6" s="159" t="s">
        <v>314</v>
      </c>
      <c r="Q6" s="159" t="s">
        <v>314</v>
      </c>
      <c r="R6" s="159" t="s">
        <v>314</v>
      </c>
      <c r="S6" s="159" t="s">
        <v>314</v>
      </c>
      <c r="T6" s="159" t="s">
        <v>314</v>
      </c>
      <c r="U6" s="159" t="s">
        <v>314</v>
      </c>
      <c r="V6" s="159" t="s">
        <v>314</v>
      </c>
      <c r="W6" s="159" t="s">
        <v>314</v>
      </c>
      <c r="X6" s="159" t="s">
        <v>314</v>
      </c>
      <c r="Y6" s="159" t="s">
        <v>314</v>
      </c>
      <c r="Z6" s="159" t="s">
        <v>314</v>
      </c>
      <c r="AA6" s="159" t="s">
        <v>314</v>
      </c>
      <c r="AB6" s="159" t="s">
        <v>314</v>
      </c>
      <c r="AC6" s="159" t="s">
        <v>314</v>
      </c>
      <c r="AD6" s="159" t="s">
        <v>314</v>
      </c>
      <c r="AE6" s="159" t="s">
        <v>314</v>
      </c>
      <c r="AF6" s="159" t="s">
        <v>314</v>
      </c>
      <c r="AG6" s="159" t="s">
        <v>314</v>
      </c>
      <c r="AH6" s="159" t="s">
        <v>314</v>
      </c>
      <c r="AI6" s="159" t="s">
        <v>314</v>
      </c>
      <c r="AJ6" s="159" t="s">
        <v>314</v>
      </c>
      <c r="AK6" s="159" t="s">
        <v>314</v>
      </c>
      <c r="AL6" s="159" t="s">
        <v>314</v>
      </c>
      <c r="AM6" s="159" t="s">
        <v>314</v>
      </c>
      <c r="AN6" s="159" t="s">
        <v>314</v>
      </c>
      <c r="AO6" s="159" t="s">
        <v>314</v>
      </c>
      <c r="AP6" s="159" t="s">
        <v>314</v>
      </c>
      <c r="AQ6" s="159" t="s">
        <v>314</v>
      </c>
      <c r="AR6" s="159" t="s">
        <v>314</v>
      </c>
      <c r="AS6" s="159" t="s">
        <v>314</v>
      </c>
      <c r="AT6" s="159" t="s">
        <v>314</v>
      </c>
      <c r="AU6" s="159" t="s">
        <v>314</v>
      </c>
      <c r="AV6" s="159" t="s">
        <v>314</v>
      </c>
      <c r="AW6" s="160" t="s">
        <v>8</v>
      </c>
      <c r="AX6" s="44" t="s">
        <v>9</v>
      </c>
      <c r="AY6" s="44" t="s">
        <v>10</v>
      </c>
      <c r="AZ6" s="128" t="s">
        <v>315</v>
      </c>
      <c r="BA6" s="161" t="s">
        <v>316</v>
      </c>
      <c r="BB6" s="161" t="s">
        <v>12</v>
      </c>
    </row>
    <row r="7" spans="1:54" s="49" customFormat="1" ht="105" x14ac:dyDescent="0.25">
      <c r="A7" s="68">
        <v>1</v>
      </c>
      <c r="B7" s="68" t="s">
        <v>317</v>
      </c>
      <c r="C7" s="66" t="s">
        <v>318</v>
      </c>
      <c r="D7" s="68" t="s">
        <v>175</v>
      </c>
      <c r="E7" s="68">
        <v>1</v>
      </c>
      <c r="F7" s="46">
        <v>2548800</v>
      </c>
      <c r="G7" s="47"/>
      <c r="H7" s="48"/>
      <c r="I7" s="47">
        <v>1980000</v>
      </c>
      <c r="J7" s="47">
        <v>5299000</v>
      </c>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v>2483892</v>
      </c>
      <c r="AL7" s="47"/>
      <c r="AM7" s="47"/>
      <c r="AN7" s="47"/>
      <c r="AO7" s="47"/>
      <c r="AP7" s="47"/>
      <c r="AQ7" s="47"/>
      <c r="AR7" s="47"/>
      <c r="AS7" s="47"/>
      <c r="AT7" s="47"/>
      <c r="AU7" s="47"/>
      <c r="AV7" s="47"/>
      <c r="AW7" s="130">
        <f>MEDIAN(F7,I7,AK7)</f>
        <v>2483892</v>
      </c>
      <c r="AX7" s="130">
        <f>AVERAGE(F7,I7,AK7)</f>
        <v>2337564</v>
      </c>
      <c r="AY7" s="131">
        <f>STDEV(F7,I7,AK7)</f>
        <v>311355.54064124182</v>
      </c>
      <c r="AZ7" s="132">
        <f>AY7/AX7</f>
        <v>0.13319658441062654</v>
      </c>
      <c r="BA7" s="151">
        <f>ROUNDUP(IF(AZ7&lt;15%,AX7,AW7),0)</f>
        <v>2337564</v>
      </c>
      <c r="BB7" s="135" t="s">
        <v>319</v>
      </c>
    </row>
    <row r="8" spans="1:54" ht="30" x14ac:dyDescent="0.25">
      <c r="A8" s="81">
        <v>2</v>
      </c>
      <c r="B8" s="81" t="s">
        <v>320</v>
      </c>
      <c r="C8" s="76" t="s">
        <v>321</v>
      </c>
      <c r="D8" s="81" t="s">
        <v>175</v>
      </c>
      <c r="E8" s="81">
        <v>1</v>
      </c>
      <c r="F8" s="50">
        <v>2267892</v>
      </c>
      <c r="G8" s="51"/>
      <c r="H8" s="52"/>
      <c r="I8" s="51">
        <v>2950000</v>
      </c>
      <c r="J8" s="51">
        <v>4199000</v>
      </c>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130">
        <f>MEDIAN(F8,I8)</f>
        <v>2608946</v>
      </c>
      <c r="AX8" s="130">
        <f>AVERAGE(F8,I8)</f>
        <v>2608946</v>
      </c>
      <c r="AY8" s="131">
        <f>STDEV(F8,I8)</f>
        <v>482323.19230159355</v>
      </c>
      <c r="AZ8" s="132">
        <f>AY8/AX8</f>
        <v>0.18487281542109094</v>
      </c>
      <c r="BA8" s="151">
        <f t="shared" ref="BA8:BA44" si="0">ROUNDUP(IF(AZ8&lt;15%,AX8,AW8),0)</f>
        <v>2608946</v>
      </c>
      <c r="BB8" s="135" t="s">
        <v>322</v>
      </c>
    </row>
    <row r="9" spans="1:54" ht="30" x14ac:dyDescent="0.25">
      <c r="A9" s="81">
        <v>3</v>
      </c>
      <c r="B9" s="81" t="s">
        <v>323</v>
      </c>
      <c r="C9" s="76" t="s">
        <v>324</v>
      </c>
      <c r="D9" s="81" t="s">
        <v>175</v>
      </c>
      <c r="E9" s="81">
        <v>1</v>
      </c>
      <c r="F9" s="50">
        <v>4199900</v>
      </c>
      <c r="G9" s="51"/>
      <c r="H9" s="52"/>
      <c r="I9" s="51">
        <v>2760000</v>
      </c>
      <c r="J9" s="51"/>
      <c r="K9" s="51"/>
      <c r="L9" s="51"/>
      <c r="M9" s="51"/>
      <c r="N9" s="51"/>
      <c r="O9" s="51"/>
      <c r="P9" s="51"/>
      <c r="Q9" s="51">
        <v>2316789</v>
      </c>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130">
        <f>MEDIAN(I9,Q9)</f>
        <v>2538394.5</v>
      </c>
      <c r="AX9" s="130">
        <f>AVERAGE(I9:Q9)</f>
        <v>2538394.5</v>
      </c>
      <c r="AY9" s="131">
        <f>STDEV(I9,Q9)</f>
        <v>313397.50359647092</v>
      </c>
      <c r="AZ9" s="132">
        <f t="shared" ref="AZ9:AZ44" si="1">AY9/AX9</f>
        <v>0.12346288317141836</v>
      </c>
      <c r="BA9" s="151">
        <f t="shared" si="0"/>
        <v>2538395</v>
      </c>
      <c r="BB9" s="135" t="s">
        <v>319</v>
      </c>
    </row>
    <row r="10" spans="1:54" s="49" customFormat="1" ht="30" x14ac:dyDescent="0.25">
      <c r="A10" s="68">
        <v>4</v>
      </c>
      <c r="B10" s="68" t="s">
        <v>325</v>
      </c>
      <c r="C10" s="66" t="s">
        <v>326</v>
      </c>
      <c r="D10" s="68" t="s">
        <v>175</v>
      </c>
      <c r="E10" s="68">
        <v>1</v>
      </c>
      <c r="F10" s="53">
        <v>69900</v>
      </c>
      <c r="G10" s="54"/>
      <c r="H10" s="55"/>
      <c r="I10" s="54"/>
      <c r="J10" s="54"/>
      <c r="K10" s="54"/>
      <c r="L10" s="54"/>
      <c r="M10" s="54"/>
      <c r="N10" s="54"/>
      <c r="O10" s="54"/>
      <c r="P10" s="54">
        <v>759900</v>
      </c>
      <c r="Q10" s="54">
        <v>262444</v>
      </c>
      <c r="R10" s="54"/>
      <c r="S10" s="54"/>
      <c r="T10" s="54"/>
      <c r="U10" s="54"/>
      <c r="V10" s="54"/>
      <c r="W10" s="54"/>
      <c r="X10" s="54"/>
      <c r="Y10" s="54">
        <v>57000</v>
      </c>
      <c r="Z10" s="54"/>
      <c r="AA10" s="54"/>
      <c r="AB10" s="54"/>
      <c r="AC10" s="54"/>
      <c r="AD10" s="54"/>
      <c r="AE10" s="54"/>
      <c r="AF10" s="54"/>
      <c r="AG10" s="54"/>
      <c r="AH10" s="54"/>
      <c r="AI10" s="54"/>
      <c r="AJ10" s="54"/>
      <c r="AK10" s="54">
        <f>+(369900*26%)+369900</f>
        <v>466074</v>
      </c>
      <c r="AL10" s="54"/>
      <c r="AM10" s="54"/>
      <c r="AN10" s="54"/>
      <c r="AO10" s="54"/>
      <c r="AP10" s="54"/>
      <c r="AQ10" s="54"/>
      <c r="AR10" s="54"/>
      <c r="AS10" s="54">
        <f>+(384900*26%)+384900</f>
        <v>484974</v>
      </c>
      <c r="AT10" s="54"/>
      <c r="AU10" s="54"/>
      <c r="AV10" s="54"/>
      <c r="AW10" s="130">
        <f>MEDIAN(AK10,AS10)</f>
        <v>475524</v>
      </c>
      <c r="AX10" s="130">
        <f>AVERAGE(AK10,AS10)</f>
        <v>475524</v>
      </c>
      <c r="AY10" s="131">
        <f>STDEV(AK10,AS10)</f>
        <v>13364.318164425747</v>
      </c>
      <c r="AZ10" s="132">
        <f t="shared" si="1"/>
        <v>2.8104403067827802E-2</v>
      </c>
      <c r="BA10" s="151">
        <f t="shared" si="0"/>
        <v>475524</v>
      </c>
      <c r="BB10" s="135" t="s">
        <v>319</v>
      </c>
    </row>
    <row r="11" spans="1:54" s="49" customFormat="1" ht="120" x14ac:dyDescent="0.25">
      <c r="A11" s="68">
        <v>5</v>
      </c>
      <c r="B11" s="68" t="s">
        <v>327</v>
      </c>
      <c r="C11" s="66" t="s">
        <v>328</v>
      </c>
      <c r="D11" s="68" t="s">
        <v>175</v>
      </c>
      <c r="E11" s="68">
        <v>1</v>
      </c>
      <c r="F11" s="53">
        <v>771768</v>
      </c>
      <c r="G11" s="54"/>
      <c r="H11" s="55"/>
      <c r="I11" s="54">
        <v>2300000</v>
      </c>
      <c r="J11" s="54">
        <v>2649000</v>
      </c>
      <c r="K11" s="54"/>
      <c r="L11" s="54"/>
      <c r="M11" s="54"/>
      <c r="N11" s="54"/>
      <c r="O11" s="54"/>
      <c r="P11" s="54"/>
      <c r="Q11" s="54">
        <v>982799</v>
      </c>
      <c r="R11" s="54"/>
      <c r="S11" s="54"/>
      <c r="T11" s="54"/>
      <c r="U11" s="54"/>
      <c r="V11" s="54"/>
      <c r="W11" s="54"/>
      <c r="X11" s="54"/>
      <c r="Y11" s="54"/>
      <c r="Z11" s="54"/>
      <c r="AA11" s="54"/>
      <c r="AB11" s="54"/>
      <c r="AC11" s="54"/>
      <c r="AD11" s="54"/>
      <c r="AE11" s="54"/>
      <c r="AF11" s="54"/>
      <c r="AG11" s="54"/>
      <c r="AH11" s="54"/>
      <c r="AI11" s="54"/>
      <c r="AJ11" s="54"/>
      <c r="AK11" s="54"/>
      <c r="AL11" s="54"/>
      <c r="AM11" s="54"/>
      <c r="AN11" s="54"/>
      <c r="AO11" s="54"/>
      <c r="AP11" s="54"/>
      <c r="AQ11" s="54"/>
      <c r="AR11" s="54"/>
      <c r="AS11" s="54"/>
      <c r="AT11" s="54"/>
      <c r="AU11" s="54"/>
      <c r="AV11" s="54"/>
      <c r="AW11" s="130">
        <f>MEDIAN(F11,Q11)</f>
        <v>877283.5</v>
      </c>
      <c r="AX11" s="130">
        <f>AVERAGE(F11,Q11)</f>
        <v>877283.5</v>
      </c>
      <c r="AY11" s="131">
        <f>STDEV(F11,Q11)</f>
        <v>149221.45114057831</v>
      </c>
      <c r="AZ11" s="132">
        <f t="shared" si="1"/>
        <v>0.1700949022073005</v>
      </c>
      <c r="BA11" s="151">
        <f t="shared" si="0"/>
        <v>877284</v>
      </c>
      <c r="BB11" s="135" t="s">
        <v>322</v>
      </c>
    </row>
    <row r="12" spans="1:54" s="49" customFormat="1" ht="150" x14ac:dyDescent="0.25">
      <c r="A12" s="68">
        <v>6</v>
      </c>
      <c r="B12" s="68" t="s">
        <v>329</v>
      </c>
      <c r="C12" s="66" t="s">
        <v>330</v>
      </c>
      <c r="D12" s="68" t="s">
        <v>175</v>
      </c>
      <c r="E12" s="68">
        <v>1</v>
      </c>
      <c r="F12" s="53"/>
      <c r="G12" s="54"/>
      <c r="H12" s="55"/>
      <c r="I12" s="54">
        <v>2800000</v>
      </c>
      <c r="J12" s="54">
        <v>5679000</v>
      </c>
      <c r="K12" s="54"/>
      <c r="L12" s="54"/>
      <c r="M12" s="54"/>
      <c r="N12" s="54">
        <v>2999900</v>
      </c>
      <c r="O12" s="54">
        <v>3199900</v>
      </c>
      <c r="P12" s="54">
        <v>1559900</v>
      </c>
      <c r="Q12" s="54">
        <v>3369939</v>
      </c>
      <c r="R12" s="54">
        <v>1990000</v>
      </c>
      <c r="S12" s="54"/>
      <c r="T12" s="54"/>
      <c r="U12" s="54"/>
      <c r="V12" s="54"/>
      <c r="W12" s="54"/>
      <c r="X12" s="54"/>
      <c r="Y12" s="54"/>
      <c r="Z12" s="54"/>
      <c r="AA12" s="54"/>
      <c r="AB12" s="54"/>
      <c r="AC12" s="54"/>
      <c r="AD12" s="54"/>
      <c r="AE12" s="54"/>
      <c r="AF12" s="54"/>
      <c r="AG12" s="54"/>
      <c r="AH12" s="54"/>
      <c r="AI12" s="54"/>
      <c r="AJ12" s="54"/>
      <c r="AL12" s="54"/>
      <c r="AM12" s="54"/>
      <c r="AN12" s="54"/>
      <c r="AO12" s="54"/>
      <c r="AP12" s="54"/>
      <c r="AQ12" s="54"/>
      <c r="AR12" s="54"/>
      <c r="AS12" s="54"/>
      <c r="AT12" s="54"/>
      <c r="AU12" s="54"/>
      <c r="AV12" s="54"/>
      <c r="AW12" s="130">
        <f>MEDIAN(I12,R12)</f>
        <v>2395000</v>
      </c>
      <c r="AX12" s="130">
        <f>AVERAGE(I12,R12)</f>
        <v>2395000</v>
      </c>
      <c r="AY12" s="131">
        <f>STDEV(I12,R12)</f>
        <v>572756.49276110355</v>
      </c>
      <c r="AZ12" s="137">
        <f t="shared" si="1"/>
        <v>0.23914676106935431</v>
      </c>
      <c r="BA12" s="151">
        <f t="shared" si="0"/>
        <v>2395000</v>
      </c>
      <c r="BB12" s="135" t="s">
        <v>322</v>
      </c>
    </row>
    <row r="13" spans="1:54" s="49" customFormat="1" ht="210" x14ac:dyDescent="0.25">
      <c r="A13" s="68">
        <v>7</v>
      </c>
      <c r="B13" s="68" t="s">
        <v>331</v>
      </c>
      <c r="C13" s="66" t="s">
        <v>332</v>
      </c>
      <c r="D13" s="68" t="s">
        <v>175</v>
      </c>
      <c r="E13" s="68">
        <v>1</v>
      </c>
      <c r="F13" s="53"/>
      <c r="G13" s="54"/>
      <c r="H13" s="55"/>
      <c r="I13" s="54"/>
      <c r="J13" s="54"/>
      <c r="K13" s="54"/>
      <c r="L13" s="54">
        <v>1130050</v>
      </c>
      <c r="M13" s="54"/>
      <c r="N13" s="54"/>
      <c r="O13" s="54"/>
      <c r="P13" s="54">
        <v>499900</v>
      </c>
      <c r="Q13" s="54">
        <v>957523</v>
      </c>
      <c r="R13" s="54"/>
      <c r="S13" s="54"/>
      <c r="T13" s="54"/>
      <c r="U13" s="54"/>
      <c r="V13" s="54"/>
      <c r="W13" s="54"/>
      <c r="X13" s="54"/>
      <c r="Y13" s="54"/>
      <c r="Z13" s="54"/>
      <c r="AA13" s="54"/>
      <c r="AB13" s="54"/>
      <c r="AC13" s="54"/>
      <c r="AD13" s="54"/>
      <c r="AE13" s="54"/>
      <c r="AF13" s="54"/>
      <c r="AG13" s="54"/>
      <c r="AH13" s="54"/>
      <c r="AI13" s="54"/>
      <c r="AJ13" s="54"/>
      <c r="AK13" s="54">
        <v>736452</v>
      </c>
      <c r="AL13" s="54"/>
      <c r="AM13" s="54"/>
      <c r="AN13" s="54"/>
      <c r="AO13" s="54"/>
      <c r="AP13" s="54"/>
      <c r="AQ13" s="54"/>
      <c r="AR13" s="54"/>
      <c r="AS13" s="54"/>
      <c r="AT13" s="54"/>
      <c r="AU13" s="54"/>
      <c r="AV13" s="54"/>
      <c r="AW13" s="130">
        <f>MEDIAN(P13,AK13)</f>
        <v>618176</v>
      </c>
      <c r="AX13" s="130">
        <f>AVERAGE(P13,AK13)</f>
        <v>618176</v>
      </c>
      <c r="AY13" s="131">
        <f>STDEV(P13,AK13)</f>
        <v>167267.52330324019</v>
      </c>
      <c r="AZ13" s="137">
        <f t="shared" si="1"/>
        <v>0.27058236376572398</v>
      </c>
      <c r="BA13" s="151">
        <f t="shared" si="0"/>
        <v>618176</v>
      </c>
      <c r="BB13" s="135" t="s">
        <v>322</v>
      </c>
    </row>
    <row r="14" spans="1:54" s="49" customFormat="1" ht="135" x14ac:dyDescent="0.25">
      <c r="A14" s="68">
        <v>8</v>
      </c>
      <c r="B14" s="68" t="s">
        <v>333</v>
      </c>
      <c r="C14" s="66" t="s">
        <v>334</v>
      </c>
      <c r="D14" s="68" t="s">
        <v>175</v>
      </c>
      <c r="E14" s="68">
        <v>1</v>
      </c>
      <c r="F14" s="53"/>
      <c r="G14" s="54"/>
      <c r="H14" s="55"/>
      <c r="I14" s="54"/>
      <c r="J14" s="54"/>
      <c r="K14" s="54"/>
      <c r="L14" s="54"/>
      <c r="M14" s="54"/>
      <c r="N14" s="54"/>
      <c r="O14" s="54"/>
      <c r="P14" s="54">
        <v>1799900</v>
      </c>
      <c r="Q14" s="54"/>
      <c r="R14" s="54"/>
      <c r="S14" s="54"/>
      <c r="T14" s="54"/>
      <c r="U14" s="54"/>
      <c r="V14" s="54"/>
      <c r="W14" s="54"/>
      <c r="X14" s="54"/>
      <c r="Y14" s="54"/>
      <c r="Z14" s="54"/>
      <c r="AA14" s="54"/>
      <c r="AB14" s="54"/>
      <c r="AC14" s="54"/>
      <c r="AD14" s="54"/>
      <c r="AE14" s="54"/>
      <c r="AF14" s="54"/>
      <c r="AG14" s="54"/>
      <c r="AH14" s="54"/>
      <c r="AI14" s="54"/>
      <c r="AJ14" s="54">
        <v>1422000</v>
      </c>
      <c r="AK14" s="54"/>
      <c r="AL14" s="54"/>
      <c r="AM14" s="54"/>
      <c r="AN14" s="54"/>
      <c r="AO14" s="54"/>
      <c r="AP14" s="54"/>
      <c r="AQ14" s="54"/>
      <c r="AR14" s="54"/>
      <c r="AS14" s="54"/>
      <c r="AT14" s="54"/>
      <c r="AU14" s="54"/>
      <c r="AV14" s="54"/>
      <c r="AW14" s="130">
        <f>MEDIAN(P14,AJ14)</f>
        <v>1610950</v>
      </c>
      <c r="AX14" s="130">
        <f>AVERAGE(P14,AJ14)</f>
        <v>1610950</v>
      </c>
      <c r="AY14" s="131">
        <f>STDEV(P14,AJ14)</f>
        <v>267215.65261039633</v>
      </c>
      <c r="AZ14" s="137">
        <f t="shared" si="1"/>
        <v>0.16587457873329173</v>
      </c>
      <c r="BA14" s="151">
        <f t="shared" si="0"/>
        <v>1610950</v>
      </c>
      <c r="BB14" s="135" t="s">
        <v>322</v>
      </c>
    </row>
    <row r="15" spans="1:54" s="49" customFormat="1" ht="45" x14ac:dyDescent="0.25">
      <c r="A15" s="68">
        <v>9</v>
      </c>
      <c r="B15" s="68" t="s">
        <v>335</v>
      </c>
      <c r="C15" s="66" t="s">
        <v>336</v>
      </c>
      <c r="D15" s="68" t="s">
        <v>175</v>
      </c>
      <c r="E15" s="68">
        <v>1</v>
      </c>
      <c r="F15" s="53"/>
      <c r="G15" s="54"/>
      <c r="H15" s="55"/>
      <c r="I15" s="54"/>
      <c r="J15" s="54">
        <v>799900</v>
      </c>
      <c r="K15" s="54"/>
      <c r="L15" s="54"/>
      <c r="M15" s="54"/>
      <c r="N15" s="54"/>
      <c r="O15" s="54"/>
      <c r="P15" s="54">
        <v>439900</v>
      </c>
      <c r="Q15" s="54">
        <v>1397330</v>
      </c>
      <c r="R15" s="54"/>
      <c r="S15" s="54"/>
      <c r="T15" s="54"/>
      <c r="U15" s="54"/>
      <c r="V15" s="54"/>
      <c r="W15" s="54">
        <v>58000</v>
      </c>
      <c r="X15" s="54"/>
      <c r="Y15" s="54"/>
      <c r="Z15" s="54"/>
      <c r="AA15" s="54"/>
      <c r="AB15" s="54"/>
      <c r="AC15" s="54"/>
      <c r="AD15" s="54"/>
      <c r="AE15" s="54"/>
      <c r="AF15" s="54"/>
      <c r="AG15" s="54">
        <v>593810</v>
      </c>
      <c r="AH15" s="54">
        <v>654500</v>
      </c>
      <c r="AI15" s="54"/>
      <c r="AJ15" s="54"/>
      <c r="AK15" s="54"/>
      <c r="AL15" s="54"/>
      <c r="AM15" s="54"/>
      <c r="AN15" s="54"/>
      <c r="AO15" s="54"/>
      <c r="AP15" s="54"/>
      <c r="AQ15" s="54"/>
      <c r="AR15" s="54"/>
      <c r="AS15" s="54"/>
      <c r="AT15" s="54"/>
      <c r="AU15" s="54"/>
      <c r="AV15" s="54"/>
      <c r="AW15" s="130">
        <f>MEDIAN(J15,AH15)</f>
        <v>727200</v>
      </c>
      <c r="AX15" s="130">
        <f>AVERAGE(J15,AH15)</f>
        <v>727200</v>
      </c>
      <c r="AY15" s="131">
        <f>STDEV(J15,AH15)</f>
        <v>102813.32598452401</v>
      </c>
      <c r="AZ15" s="137">
        <f t="shared" si="1"/>
        <v>0.14138246147486799</v>
      </c>
      <c r="BA15" s="151">
        <f t="shared" si="0"/>
        <v>727200</v>
      </c>
      <c r="BB15" s="135" t="s">
        <v>322</v>
      </c>
    </row>
    <row r="16" spans="1:54" s="49" customFormat="1" ht="30" x14ac:dyDescent="0.25">
      <c r="A16" s="68">
        <v>10</v>
      </c>
      <c r="B16" s="68" t="s">
        <v>337</v>
      </c>
      <c r="C16" s="66" t="s">
        <v>338</v>
      </c>
      <c r="D16" s="68" t="s">
        <v>175</v>
      </c>
      <c r="E16" s="68">
        <v>1</v>
      </c>
      <c r="F16" s="53"/>
      <c r="G16" s="54"/>
      <c r="H16" s="55"/>
      <c r="I16" s="54"/>
      <c r="J16" s="54">
        <v>249900</v>
      </c>
      <c r="K16" s="54"/>
      <c r="L16" s="54"/>
      <c r="M16" s="54"/>
      <c r="N16" s="54"/>
      <c r="O16" s="54"/>
      <c r="P16" s="54"/>
      <c r="Q16" s="54">
        <v>294811</v>
      </c>
      <c r="R16" s="54"/>
      <c r="S16" s="54"/>
      <c r="T16" s="54"/>
      <c r="U16" s="54"/>
      <c r="V16" s="54"/>
      <c r="W16" s="54">
        <v>99000</v>
      </c>
      <c r="X16" s="54"/>
      <c r="Y16" s="54"/>
      <c r="Z16" s="54"/>
      <c r="AA16" s="54"/>
      <c r="AB16" s="54"/>
      <c r="AC16" s="54"/>
      <c r="AD16" s="54"/>
      <c r="AE16" s="54"/>
      <c r="AF16" s="54"/>
      <c r="AG16" s="54"/>
      <c r="AH16" s="54"/>
      <c r="AI16" s="54"/>
      <c r="AJ16" s="54"/>
      <c r="AK16" s="54"/>
      <c r="AL16" s="54"/>
      <c r="AM16" s="54"/>
      <c r="AN16" s="54"/>
      <c r="AO16" s="54"/>
      <c r="AP16" s="54"/>
      <c r="AQ16" s="54"/>
      <c r="AR16" s="54"/>
      <c r="AS16" s="54"/>
      <c r="AT16" s="54"/>
      <c r="AU16" s="54"/>
      <c r="AV16" s="54"/>
      <c r="AW16" s="130">
        <f>MEDIAN(J16,Q16)</f>
        <v>272355.5</v>
      </c>
      <c r="AX16" s="130">
        <f>AVERAGE(J16,Q16)</f>
        <v>272355.5</v>
      </c>
      <c r="AY16" s="131">
        <f>STDEV(J16,Q16)</f>
        <v>31756.872649869038</v>
      </c>
      <c r="AZ16" s="137">
        <f t="shared" si="1"/>
        <v>0.11660081272406482</v>
      </c>
      <c r="BA16" s="151">
        <f t="shared" si="0"/>
        <v>272356</v>
      </c>
      <c r="BB16" s="135" t="s">
        <v>319</v>
      </c>
    </row>
    <row r="17" spans="1:54" s="49" customFormat="1" ht="45" x14ac:dyDescent="0.25">
      <c r="A17" s="68">
        <v>11</v>
      </c>
      <c r="B17" s="68" t="s">
        <v>339</v>
      </c>
      <c r="C17" s="66" t="s">
        <v>340</v>
      </c>
      <c r="D17" s="68" t="s">
        <v>175</v>
      </c>
      <c r="E17" s="68">
        <v>1</v>
      </c>
      <c r="F17" s="53"/>
      <c r="G17" s="54"/>
      <c r="H17" s="55"/>
      <c r="I17" s="54"/>
      <c r="J17" s="54">
        <v>249900</v>
      </c>
      <c r="K17" s="54"/>
      <c r="L17" s="54"/>
      <c r="M17" s="54"/>
      <c r="N17" s="54"/>
      <c r="O17" s="54"/>
      <c r="P17" s="54"/>
      <c r="Q17" s="54">
        <v>216948</v>
      </c>
      <c r="R17" s="54"/>
      <c r="S17" s="54"/>
      <c r="T17" s="54"/>
      <c r="U17" s="54"/>
      <c r="V17" s="54"/>
      <c r="W17" s="54"/>
      <c r="X17" s="54"/>
      <c r="Y17" s="54"/>
      <c r="Z17" s="54"/>
      <c r="AA17" s="54"/>
      <c r="AB17" s="54"/>
      <c r="AC17" s="54"/>
      <c r="AD17" s="54"/>
      <c r="AE17" s="54"/>
      <c r="AF17" s="54"/>
      <c r="AG17" s="54"/>
      <c r="AH17" s="54"/>
      <c r="AI17" s="54"/>
      <c r="AJ17" s="54"/>
      <c r="AK17" s="54">
        <v>323892</v>
      </c>
      <c r="AL17" s="54"/>
      <c r="AM17" s="54"/>
      <c r="AN17" s="54"/>
      <c r="AO17" s="54"/>
      <c r="AP17" s="54"/>
      <c r="AQ17" s="54"/>
      <c r="AR17" s="54"/>
      <c r="AS17" s="54"/>
      <c r="AT17" s="54"/>
      <c r="AU17" s="54"/>
      <c r="AV17" s="54"/>
      <c r="AW17" s="130">
        <f>MEDIAN(J17,AK17)</f>
        <v>286896</v>
      </c>
      <c r="AX17" s="130">
        <f>AVERAGE(J17,AK17)</f>
        <v>286896</v>
      </c>
      <c r="AY17" s="131">
        <f>STDEV(J17,AK17)</f>
        <v>52320.244953555026</v>
      </c>
      <c r="AZ17" s="137">
        <f t="shared" si="1"/>
        <v>0.18236658912482231</v>
      </c>
      <c r="BA17" s="151">
        <f t="shared" si="0"/>
        <v>286896</v>
      </c>
      <c r="BB17" s="135" t="s">
        <v>322</v>
      </c>
    </row>
    <row r="18" spans="1:54" s="49" customFormat="1" ht="75" x14ac:dyDescent="0.25">
      <c r="A18" s="68">
        <v>12</v>
      </c>
      <c r="B18" s="68" t="s">
        <v>341</v>
      </c>
      <c r="C18" s="66" t="s">
        <v>342</v>
      </c>
      <c r="D18" s="68" t="s">
        <v>175</v>
      </c>
      <c r="E18" s="68">
        <v>1</v>
      </c>
      <c r="F18" s="53"/>
      <c r="G18" s="54"/>
      <c r="H18" s="55">
        <v>1100000</v>
      </c>
      <c r="I18" s="54"/>
      <c r="J18" s="54"/>
      <c r="K18" s="54"/>
      <c r="L18" s="54"/>
      <c r="M18" s="54">
        <v>1490000</v>
      </c>
      <c r="N18" s="54"/>
      <c r="O18" s="54"/>
      <c r="P18" s="54"/>
      <c r="Q18" s="54">
        <v>1965458</v>
      </c>
      <c r="R18" s="54"/>
      <c r="S18" s="54"/>
      <c r="T18" s="54"/>
      <c r="U18" s="54"/>
      <c r="V18" s="54"/>
      <c r="W18" s="54"/>
      <c r="X18" s="54"/>
      <c r="Y18" s="54"/>
      <c r="Z18" s="54"/>
      <c r="AA18" s="54"/>
      <c r="AB18" s="54"/>
      <c r="AC18" s="54"/>
      <c r="AD18" s="54"/>
      <c r="AE18" s="54"/>
      <c r="AF18" s="54">
        <v>1290000</v>
      </c>
      <c r="AG18" s="54"/>
      <c r="AH18" s="54"/>
      <c r="AI18" s="54"/>
      <c r="AJ18" s="54"/>
      <c r="AK18" s="54"/>
      <c r="AL18" s="54"/>
      <c r="AM18" s="54"/>
      <c r="AN18" s="54"/>
      <c r="AO18" s="54"/>
      <c r="AP18" s="54"/>
      <c r="AQ18" s="54"/>
      <c r="AR18" s="54"/>
      <c r="AS18" s="54"/>
      <c r="AT18" s="54"/>
      <c r="AU18" s="54">
        <v>2268000</v>
      </c>
      <c r="AV18" s="54"/>
      <c r="AW18" s="130">
        <f>MEDIAN(Q18,AU18)</f>
        <v>2116729</v>
      </c>
      <c r="AX18" s="130">
        <f>AVERAGE(Q18,AU18)</f>
        <v>2116729</v>
      </c>
      <c r="AY18" s="131">
        <f>STDEV(Q18,AU18)</f>
        <v>213929.49979374046</v>
      </c>
      <c r="AZ18" s="137">
        <f t="shared" si="1"/>
        <v>0.10106607874401516</v>
      </c>
      <c r="BA18" s="151">
        <f t="shared" si="0"/>
        <v>2116729</v>
      </c>
      <c r="BB18" s="135" t="s">
        <v>319</v>
      </c>
    </row>
    <row r="19" spans="1:54" s="49" customFormat="1" ht="90" x14ac:dyDescent="0.25">
      <c r="A19" s="68">
        <v>13</v>
      </c>
      <c r="B19" s="68" t="s">
        <v>343</v>
      </c>
      <c r="C19" s="66" t="s">
        <v>344</v>
      </c>
      <c r="D19" s="68" t="s">
        <v>175</v>
      </c>
      <c r="E19" s="68">
        <v>1</v>
      </c>
      <c r="F19" s="53">
        <v>512892</v>
      </c>
      <c r="G19" s="54"/>
      <c r="H19" s="55"/>
      <c r="I19" s="54"/>
      <c r="J19" s="54"/>
      <c r="K19" s="54"/>
      <c r="L19" s="54"/>
      <c r="M19" s="54"/>
      <c r="N19" s="54"/>
      <c r="O19" s="54"/>
      <c r="P19" s="54"/>
      <c r="Q19" s="54">
        <v>933090</v>
      </c>
      <c r="R19" s="54"/>
      <c r="S19" s="54"/>
      <c r="T19" s="54"/>
      <c r="U19" s="54"/>
      <c r="V19" s="54"/>
      <c r="W19" s="54"/>
      <c r="X19" s="54"/>
      <c r="Y19" s="54"/>
      <c r="Z19" s="54"/>
      <c r="AA19" s="54"/>
      <c r="AB19" s="54"/>
      <c r="AC19" s="54"/>
      <c r="AD19" s="54"/>
      <c r="AE19" s="54"/>
      <c r="AF19" s="54"/>
      <c r="AG19" s="54"/>
      <c r="AH19" s="54"/>
      <c r="AI19" s="54"/>
      <c r="AJ19" s="54"/>
      <c r="AK19" s="54">
        <v>674892</v>
      </c>
      <c r="AL19" s="54">
        <v>3940000</v>
      </c>
      <c r="AM19" s="54"/>
      <c r="AN19" s="54"/>
      <c r="AO19" s="54">
        <v>3201100</v>
      </c>
      <c r="AP19" s="54"/>
      <c r="AQ19" s="54"/>
      <c r="AR19" s="54"/>
      <c r="AS19" s="54"/>
      <c r="AT19" s="54"/>
      <c r="AU19" s="54"/>
      <c r="AV19" s="54"/>
      <c r="AW19" s="130">
        <f>MEDIAN(F19,AK19)</f>
        <v>593892</v>
      </c>
      <c r="AX19" s="130">
        <f>AVERAGE(F19,AK19)</f>
        <v>593892</v>
      </c>
      <c r="AY19" s="131">
        <f>STDEV(F19,AK19)</f>
        <v>114551.2985522207</v>
      </c>
      <c r="AZ19" s="137">
        <f t="shared" si="1"/>
        <v>0.19288237348241885</v>
      </c>
      <c r="BA19" s="151">
        <f t="shared" si="0"/>
        <v>593892</v>
      </c>
      <c r="BB19" s="135" t="s">
        <v>322</v>
      </c>
    </row>
    <row r="20" spans="1:54" s="49" customFormat="1" ht="105" x14ac:dyDescent="0.25">
      <c r="A20" s="68">
        <v>14</v>
      </c>
      <c r="B20" s="68" t="s">
        <v>345</v>
      </c>
      <c r="C20" s="66" t="s">
        <v>346</v>
      </c>
      <c r="D20" s="68" t="s">
        <v>175</v>
      </c>
      <c r="E20" s="68">
        <v>1</v>
      </c>
      <c r="F20" s="53"/>
      <c r="G20" s="54">
        <v>380000</v>
      </c>
      <c r="H20" s="55"/>
      <c r="I20" s="54"/>
      <c r="J20" s="54"/>
      <c r="K20" s="54"/>
      <c r="L20" s="54"/>
      <c r="M20" s="54"/>
      <c r="N20" s="54"/>
      <c r="O20" s="54"/>
      <c r="P20" s="54"/>
      <c r="Q20" s="54">
        <v>561539</v>
      </c>
      <c r="R20" s="54"/>
      <c r="S20" s="54"/>
      <c r="T20" s="54"/>
      <c r="U20" s="54"/>
      <c r="V20" s="54">
        <v>205882</v>
      </c>
      <c r="W20" s="54"/>
      <c r="X20" s="54"/>
      <c r="Y20" s="54"/>
      <c r="Z20" s="54"/>
      <c r="AA20" s="54"/>
      <c r="AB20" s="54"/>
      <c r="AC20" s="54"/>
      <c r="AD20" s="54"/>
      <c r="AE20" s="54"/>
      <c r="AF20" s="54"/>
      <c r="AG20" s="54"/>
      <c r="AH20" s="54"/>
      <c r="AI20" s="54"/>
      <c r="AJ20" s="54"/>
      <c r="AK20" s="54">
        <f>+(399900*26%)+399900</f>
        <v>503874</v>
      </c>
      <c r="AL20" s="54"/>
      <c r="AM20" s="54"/>
      <c r="AN20" s="54"/>
      <c r="AO20" s="54"/>
      <c r="AP20" s="54"/>
      <c r="AQ20" s="54"/>
      <c r="AR20" s="54"/>
      <c r="AS20" s="54"/>
      <c r="AT20" s="54"/>
      <c r="AU20" s="54"/>
      <c r="AV20" s="54"/>
      <c r="AW20" s="130">
        <f>MEDIAN(G20,AK20)</f>
        <v>441937</v>
      </c>
      <c r="AX20" s="130">
        <f>AVERAGE(G20,AK20)</f>
        <v>441937</v>
      </c>
      <c r="AY20" s="131">
        <f>STDEV(G20,AK20)</f>
        <v>87592.14541270239</v>
      </c>
      <c r="AZ20" s="137">
        <f t="shared" si="1"/>
        <v>0.19820052499044521</v>
      </c>
      <c r="BA20" s="151">
        <f t="shared" si="0"/>
        <v>441937</v>
      </c>
      <c r="BB20" s="135" t="s">
        <v>322</v>
      </c>
    </row>
    <row r="21" spans="1:54" s="49" customFormat="1" ht="60" x14ac:dyDescent="0.25">
      <c r="A21" s="68">
        <v>15</v>
      </c>
      <c r="B21" s="68" t="s">
        <v>347</v>
      </c>
      <c r="C21" s="66" t="s">
        <v>348</v>
      </c>
      <c r="D21" s="68" t="s">
        <v>175</v>
      </c>
      <c r="E21" s="68">
        <v>1</v>
      </c>
      <c r="F21" s="53">
        <v>629874</v>
      </c>
      <c r="G21" s="54"/>
      <c r="H21" s="55"/>
      <c r="I21" s="54"/>
      <c r="J21" s="54"/>
      <c r="K21" s="54"/>
      <c r="L21" s="54"/>
      <c r="M21" s="54"/>
      <c r="N21" s="54"/>
      <c r="O21" s="54"/>
      <c r="P21" s="54"/>
      <c r="Q21" s="54">
        <v>776522</v>
      </c>
      <c r="R21" s="54"/>
      <c r="S21" s="54"/>
      <c r="T21" s="54"/>
      <c r="U21" s="54"/>
      <c r="V21" s="54">
        <v>1373946</v>
      </c>
      <c r="W21" s="54"/>
      <c r="X21" s="54"/>
      <c r="Y21" s="54"/>
      <c r="Z21" s="54">
        <v>455395</v>
      </c>
      <c r="AA21" s="54"/>
      <c r="AB21" s="54"/>
      <c r="AC21" s="54"/>
      <c r="AD21" s="54"/>
      <c r="AE21" s="54"/>
      <c r="AF21" s="54"/>
      <c r="AG21" s="54"/>
      <c r="AH21" s="54"/>
      <c r="AI21" s="54"/>
      <c r="AJ21" s="54"/>
      <c r="AK21" s="54"/>
      <c r="AL21" s="54"/>
      <c r="AM21" s="54"/>
      <c r="AN21" s="54"/>
      <c r="AO21" s="54"/>
      <c r="AP21" s="54"/>
      <c r="AQ21" s="54"/>
      <c r="AR21" s="54"/>
      <c r="AS21" s="54"/>
      <c r="AT21" s="54"/>
      <c r="AU21" s="54"/>
      <c r="AV21" s="54"/>
      <c r="AW21" s="130">
        <f>MEDIAN(F21,Z21)</f>
        <v>542634.5</v>
      </c>
      <c r="AX21" s="130">
        <f>AVERAGE(F21,Z21)</f>
        <v>542634.5</v>
      </c>
      <c r="AY21" s="131">
        <f>STDEV(F21,Z21)</f>
        <v>123375.28407464763</v>
      </c>
      <c r="AZ21" s="137">
        <f t="shared" si="1"/>
        <v>0.2273635090924879</v>
      </c>
      <c r="BA21" s="151">
        <f t="shared" si="0"/>
        <v>542635</v>
      </c>
      <c r="BB21" s="135" t="s">
        <v>322</v>
      </c>
    </row>
    <row r="22" spans="1:54" s="49" customFormat="1" ht="30" x14ac:dyDescent="0.25">
      <c r="A22" s="68">
        <v>16</v>
      </c>
      <c r="B22" s="68" t="s">
        <v>349</v>
      </c>
      <c r="C22" s="204" t="s">
        <v>350</v>
      </c>
      <c r="D22" s="68" t="s">
        <v>175</v>
      </c>
      <c r="E22" s="68">
        <v>1</v>
      </c>
      <c r="F22" s="53"/>
      <c r="G22" s="54"/>
      <c r="H22" s="55"/>
      <c r="I22" s="54"/>
      <c r="J22" s="54"/>
      <c r="K22" s="54"/>
      <c r="L22" s="54"/>
      <c r="M22" s="54"/>
      <c r="N22" s="54"/>
      <c r="O22" s="54"/>
      <c r="P22" s="54"/>
      <c r="Q22" s="54">
        <v>386295</v>
      </c>
      <c r="R22" s="54"/>
      <c r="S22" s="54"/>
      <c r="T22" s="54"/>
      <c r="U22" s="54"/>
      <c r="V22" s="54">
        <v>205882</v>
      </c>
      <c r="W22" s="54"/>
      <c r="X22" s="54"/>
      <c r="Y22" s="54"/>
      <c r="Z22" s="54">
        <v>235294</v>
      </c>
      <c r="AA22" s="54"/>
      <c r="AB22" s="54"/>
      <c r="AC22" s="54"/>
      <c r="AD22" s="54"/>
      <c r="AE22" s="54"/>
      <c r="AF22" s="54"/>
      <c r="AG22" s="54"/>
      <c r="AH22" s="54"/>
      <c r="AI22" s="54">
        <v>205000</v>
      </c>
      <c r="AJ22" s="54"/>
      <c r="AK22" s="54"/>
      <c r="AL22" s="54"/>
      <c r="AM22" s="54"/>
      <c r="AN22" s="54"/>
      <c r="AO22" s="54"/>
      <c r="AP22" s="54"/>
      <c r="AQ22" s="54"/>
      <c r="AR22" s="54"/>
      <c r="AS22" s="54"/>
      <c r="AT22" s="54"/>
      <c r="AU22" s="54"/>
      <c r="AV22" s="54"/>
      <c r="AW22" s="130">
        <f>MEDIAN(V22,Z22)</f>
        <v>220588</v>
      </c>
      <c r="AX22" s="130">
        <f>AVERAGE(V22,Z22)</f>
        <v>220588</v>
      </c>
      <c r="AY22" s="131">
        <f>STDEV(V22,Z22)</f>
        <v>20797.424648258737</v>
      </c>
      <c r="AZ22" s="137">
        <f t="shared" si="1"/>
        <v>9.4281758972649177E-2</v>
      </c>
      <c r="BA22" s="151">
        <f t="shared" si="0"/>
        <v>220588</v>
      </c>
      <c r="BB22" s="135" t="s">
        <v>351</v>
      </c>
    </row>
    <row r="23" spans="1:54" s="49" customFormat="1" ht="120" x14ac:dyDescent="0.25">
      <c r="A23" s="68">
        <v>17</v>
      </c>
      <c r="B23" s="68" t="s">
        <v>352</v>
      </c>
      <c r="C23" s="66" t="s">
        <v>353</v>
      </c>
      <c r="D23" s="68" t="s">
        <v>175</v>
      </c>
      <c r="E23" s="68">
        <v>1</v>
      </c>
      <c r="F23" s="53"/>
      <c r="G23" s="54"/>
      <c r="H23" s="55"/>
      <c r="I23" s="54"/>
      <c r="J23" s="54"/>
      <c r="K23" s="54"/>
      <c r="L23" s="54"/>
      <c r="M23" s="54"/>
      <c r="N23" s="54"/>
      <c r="O23" s="54"/>
      <c r="P23" s="54"/>
      <c r="Q23" s="54">
        <v>217651</v>
      </c>
      <c r="R23" s="54"/>
      <c r="S23" s="54"/>
      <c r="T23" s="54"/>
      <c r="U23" s="54"/>
      <c r="V23" s="54"/>
      <c r="W23" s="54">
        <v>38000</v>
      </c>
      <c r="X23" s="54"/>
      <c r="Y23" s="54"/>
      <c r="Z23" s="54"/>
      <c r="AA23" s="54"/>
      <c r="AB23" s="54"/>
      <c r="AC23" s="54"/>
      <c r="AD23" s="54"/>
      <c r="AE23" s="54"/>
      <c r="AF23" s="54"/>
      <c r="AG23" s="54"/>
      <c r="AH23" s="54"/>
      <c r="AI23" s="54">
        <v>207000</v>
      </c>
      <c r="AJ23" s="54"/>
      <c r="AK23" s="54"/>
      <c r="AL23" s="54"/>
      <c r="AM23" s="54"/>
      <c r="AN23" s="54"/>
      <c r="AO23" s="54"/>
      <c r="AP23" s="54"/>
      <c r="AQ23" s="54"/>
      <c r="AR23" s="54"/>
      <c r="AS23" s="54"/>
      <c r="AT23" s="54"/>
      <c r="AU23" s="54"/>
      <c r="AV23" s="54"/>
      <c r="AW23" s="130">
        <f>MEDIAN(Q23,AI23)</f>
        <v>212325.5</v>
      </c>
      <c r="AX23" s="130">
        <f>AVERAGE(Q23,AI23)</f>
        <v>212325.5</v>
      </c>
      <c r="AY23" s="131">
        <f>STDEV(AI23,Q23)</f>
        <v>7531.3943264179179</v>
      </c>
      <c r="AZ23" s="137">
        <f t="shared" si="1"/>
        <v>3.5470983590844801E-2</v>
      </c>
      <c r="BA23" s="151">
        <f t="shared" si="0"/>
        <v>212326</v>
      </c>
      <c r="BB23" s="135" t="s">
        <v>351</v>
      </c>
    </row>
    <row r="24" spans="1:54" s="49" customFormat="1" ht="30" x14ac:dyDescent="0.25">
      <c r="A24" s="68">
        <v>18</v>
      </c>
      <c r="B24" s="68" t="s">
        <v>354</v>
      </c>
      <c r="C24" s="66" t="s">
        <v>355</v>
      </c>
      <c r="D24" s="68" t="s">
        <v>175</v>
      </c>
      <c r="E24" s="68">
        <v>1</v>
      </c>
      <c r="F24" s="53"/>
      <c r="G24" s="54"/>
      <c r="H24" s="55"/>
      <c r="I24" s="54"/>
      <c r="J24" s="54"/>
      <c r="K24" s="54"/>
      <c r="L24" s="54"/>
      <c r="M24" s="54"/>
      <c r="N24" s="54"/>
      <c r="O24" s="54"/>
      <c r="P24" s="54"/>
      <c r="Q24" s="54">
        <v>308783</v>
      </c>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v>142827</v>
      </c>
      <c r="AR24" s="54">
        <v>139079</v>
      </c>
      <c r="AS24" s="54"/>
      <c r="AT24" s="54"/>
      <c r="AU24" s="54"/>
      <c r="AV24" s="54"/>
      <c r="AW24" s="130">
        <f>MEDIAN(AQ24,AR24)</f>
        <v>140953</v>
      </c>
      <c r="AX24" s="130">
        <f>AVERAGE(AQ24,AR24)</f>
        <v>140953</v>
      </c>
      <c r="AY24" s="131">
        <f>STDEV(AQ24,AR24)</f>
        <v>2650.2362158871802</v>
      </c>
      <c r="AZ24" s="137">
        <f t="shared" si="1"/>
        <v>1.8802268954099453E-2</v>
      </c>
      <c r="BA24" s="151">
        <f t="shared" si="0"/>
        <v>140953</v>
      </c>
      <c r="BB24" s="135" t="s">
        <v>351</v>
      </c>
    </row>
    <row r="25" spans="1:54" s="49" customFormat="1" ht="45" x14ac:dyDescent="0.25">
      <c r="A25" s="68">
        <v>19</v>
      </c>
      <c r="B25" s="68" t="s">
        <v>356</v>
      </c>
      <c r="C25" s="66" t="s">
        <v>357</v>
      </c>
      <c r="D25" s="68" t="s">
        <v>175</v>
      </c>
      <c r="E25" s="68">
        <v>1</v>
      </c>
      <c r="F25" s="53"/>
      <c r="G25" s="54"/>
      <c r="H25" s="55"/>
      <c r="I25" s="54"/>
      <c r="J25" s="54"/>
      <c r="K25" s="54"/>
      <c r="L25" s="54"/>
      <c r="M25" s="54"/>
      <c r="N25" s="54"/>
      <c r="O25" s="54"/>
      <c r="P25" s="54"/>
      <c r="Q25" s="54">
        <v>421245</v>
      </c>
      <c r="R25" s="54"/>
      <c r="S25" s="54"/>
      <c r="T25" s="54"/>
      <c r="U25" s="54"/>
      <c r="V25" s="54"/>
      <c r="W25" s="54"/>
      <c r="X25" s="54"/>
      <c r="Y25" s="54"/>
      <c r="Z25" s="54"/>
      <c r="AA25" s="54"/>
      <c r="AB25" s="54"/>
      <c r="AC25" s="54"/>
      <c r="AD25" s="54">
        <v>325000</v>
      </c>
      <c r="AE25" s="54"/>
      <c r="AF25" s="54"/>
      <c r="AG25" s="54"/>
      <c r="AH25" s="54"/>
      <c r="AI25" s="54"/>
      <c r="AJ25" s="54"/>
      <c r="AK25" s="54"/>
      <c r="AL25" s="54"/>
      <c r="AM25" s="54"/>
      <c r="AN25" s="54"/>
      <c r="AO25" s="54"/>
      <c r="AP25" s="54"/>
      <c r="AQ25" s="54"/>
      <c r="AR25" s="54"/>
      <c r="AS25" s="54"/>
      <c r="AT25" s="54"/>
      <c r="AU25" s="54"/>
      <c r="AV25" s="54"/>
      <c r="AW25" s="130">
        <f>MEDIAN(Q25,AD25)</f>
        <v>373122.5</v>
      </c>
      <c r="AX25" s="130">
        <f>AVERAGE(Q25,AD25)</f>
        <v>373122.5</v>
      </c>
      <c r="AY25" s="131">
        <f>STDEV(Q25,AD25)</f>
        <v>68055.49215529926</v>
      </c>
      <c r="AZ25" s="137">
        <f t="shared" si="1"/>
        <v>0.18239450088187997</v>
      </c>
      <c r="BA25" s="151">
        <f t="shared" si="0"/>
        <v>373123</v>
      </c>
      <c r="BB25" s="135" t="s">
        <v>322</v>
      </c>
    </row>
    <row r="26" spans="1:54" s="49" customFormat="1" ht="60" x14ac:dyDescent="0.25">
      <c r="A26" s="68">
        <v>20</v>
      </c>
      <c r="B26" s="68" t="s">
        <v>358</v>
      </c>
      <c r="C26" s="66" t="s">
        <v>359</v>
      </c>
      <c r="D26" s="68" t="s">
        <v>175</v>
      </c>
      <c r="E26" s="68">
        <v>1</v>
      </c>
      <c r="F26" s="53"/>
      <c r="G26" s="54"/>
      <c r="H26" s="55"/>
      <c r="I26" s="54"/>
      <c r="J26" s="54"/>
      <c r="K26" s="54"/>
      <c r="L26" s="54"/>
      <c r="M26" s="54"/>
      <c r="N26" s="54"/>
      <c r="O26" s="54"/>
      <c r="P26" s="54"/>
      <c r="Q26" s="54">
        <v>405813</v>
      </c>
      <c r="R26" s="54"/>
      <c r="S26" s="54"/>
      <c r="T26" s="54"/>
      <c r="U26" s="54"/>
      <c r="V26" s="54"/>
      <c r="W26" s="54">
        <v>85000</v>
      </c>
      <c r="X26" s="54"/>
      <c r="Y26" s="54"/>
      <c r="Z26" s="54"/>
      <c r="AA26" s="54"/>
      <c r="AB26" s="54"/>
      <c r="AC26" s="54"/>
      <c r="AD26" s="54"/>
      <c r="AE26" s="54"/>
      <c r="AF26" s="54"/>
      <c r="AG26" s="54"/>
      <c r="AH26" s="54"/>
      <c r="AI26" s="54"/>
      <c r="AJ26" s="54"/>
      <c r="AK26" s="54"/>
      <c r="AL26" s="54"/>
      <c r="AM26" s="54"/>
      <c r="AN26" s="54"/>
      <c r="AO26" s="54"/>
      <c r="AP26" s="54">
        <f>+(315000*26%)+315000</f>
        <v>396900</v>
      </c>
      <c r="AQ26" s="54"/>
      <c r="AR26" s="54"/>
      <c r="AS26" s="54"/>
      <c r="AT26" s="54"/>
      <c r="AU26" s="54"/>
      <c r="AV26" s="54"/>
      <c r="AW26" s="130">
        <f>MEDIAN(Q26,AP26)</f>
        <v>401356.5</v>
      </c>
      <c r="AX26" s="130">
        <f>AVERAGE(Q26,AP26)</f>
        <v>401356.5</v>
      </c>
      <c r="AY26" s="131">
        <f>STDEV(Q26,AP26)</f>
        <v>6302.4427407156982</v>
      </c>
      <c r="AZ26" s="137">
        <f t="shared" si="1"/>
        <v>1.5702854546309073E-2</v>
      </c>
      <c r="BA26" s="151">
        <f t="shared" si="0"/>
        <v>401357</v>
      </c>
      <c r="BB26" s="135" t="s">
        <v>351</v>
      </c>
    </row>
    <row r="27" spans="1:54" s="49" customFormat="1" ht="165" x14ac:dyDescent="0.25">
      <c r="A27" s="68">
        <v>21</v>
      </c>
      <c r="B27" s="68" t="s">
        <v>360</v>
      </c>
      <c r="C27" s="66" t="s">
        <v>361</v>
      </c>
      <c r="D27" s="68" t="s">
        <v>175</v>
      </c>
      <c r="E27" s="68">
        <v>1</v>
      </c>
      <c r="F27" s="53"/>
      <c r="G27" s="54">
        <v>165000</v>
      </c>
      <c r="H27" s="55"/>
      <c r="I27" s="54"/>
      <c r="J27" s="54"/>
      <c r="K27" s="54"/>
      <c r="L27" s="54"/>
      <c r="M27" s="54"/>
      <c r="N27" s="54"/>
      <c r="O27" s="54"/>
      <c r="P27" s="54"/>
      <c r="Q27" s="54">
        <v>297549</v>
      </c>
      <c r="R27" s="54"/>
      <c r="S27" s="54"/>
      <c r="T27" s="54"/>
      <c r="U27" s="54"/>
      <c r="V27" s="54"/>
      <c r="W27" s="54"/>
      <c r="X27" s="54"/>
      <c r="Y27" s="54"/>
      <c r="Z27" s="54"/>
      <c r="AA27" s="54"/>
      <c r="AB27" s="54"/>
      <c r="AC27" s="54"/>
      <c r="AD27" s="54"/>
      <c r="AE27" s="54"/>
      <c r="AF27" s="54"/>
      <c r="AG27" s="54"/>
      <c r="AH27" s="54"/>
      <c r="AI27" s="54"/>
      <c r="AJ27" s="54"/>
      <c r="AK27" s="54">
        <f>+(234900*26%)+234900</f>
        <v>295974</v>
      </c>
      <c r="AL27" s="54"/>
      <c r="AM27" s="54"/>
      <c r="AN27" s="54"/>
      <c r="AO27" s="54"/>
      <c r="AP27" s="54"/>
      <c r="AQ27" s="54"/>
      <c r="AR27" s="54"/>
      <c r="AS27" s="54"/>
      <c r="AT27" s="54"/>
      <c r="AU27" s="54"/>
      <c r="AV27" s="54"/>
      <c r="AW27" s="130">
        <f>MEDIAN(Q27,AK27)</f>
        <v>296761.5</v>
      </c>
      <c r="AX27" s="130">
        <f>AVERAGE(AK27,Q27)</f>
        <v>296761.5</v>
      </c>
      <c r="AY27" s="131">
        <f>STDEV(Q27,AK27)</f>
        <v>1113.6931803688124</v>
      </c>
      <c r="AZ27" s="137">
        <f t="shared" si="1"/>
        <v>3.7528223181538451E-3</v>
      </c>
      <c r="BA27" s="151">
        <f t="shared" si="0"/>
        <v>296762</v>
      </c>
      <c r="BB27" s="135" t="s">
        <v>351</v>
      </c>
    </row>
    <row r="28" spans="1:54" s="49" customFormat="1" ht="225" x14ac:dyDescent="0.25">
      <c r="A28" s="68">
        <v>22</v>
      </c>
      <c r="B28" s="68" t="s">
        <v>362</v>
      </c>
      <c r="C28" s="66" t="s">
        <v>363</v>
      </c>
      <c r="D28" s="68" t="s">
        <v>175</v>
      </c>
      <c r="E28" s="68">
        <v>1</v>
      </c>
      <c r="F28" s="53"/>
      <c r="G28" s="54">
        <v>185000</v>
      </c>
      <c r="H28" s="55"/>
      <c r="I28" s="54"/>
      <c r="J28" s="54"/>
      <c r="K28" s="54"/>
      <c r="L28" s="54"/>
      <c r="M28" s="54"/>
      <c r="N28" s="54"/>
      <c r="O28" s="54"/>
      <c r="P28" s="54"/>
      <c r="Q28" s="54">
        <v>239984</v>
      </c>
      <c r="R28" s="54"/>
      <c r="S28" s="54"/>
      <c r="T28" s="54">
        <v>255000</v>
      </c>
      <c r="U28" s="54">
        <v>255000</v>
      </c>
      <c r="V28" s="54"/>
      <c r="W28" s="54"/>
      <c r="X28" s="54"/>
      <c r="Y28" s="54"/>
      <c r="Z28" s="54"/>
      <c r="AA28" s="54"/>
      <c r="AB28" s="54"/>
      <c r="AC28" s="54">
        <v>125000</v>
      </c>
      <c r="AD28" s="54"/>
      <c r="AE28" s="54">
        <v>190000</v>
      </c>
      <c r="AF28" s="54"/>
      <c r="AG28" s="54"/>
      <c r="AH28" s="54"/>
      <c r="AI28" s="54"/>
      <c r="AJ28" s="54"/>
      <c r="AK28" s="54"/>
      <c r="AL28" s="54"/>
      <c r="AM28" s="54"/>
      <c r="AN28" s="54"/>
      <c r="AO28" s="54"/>
      <c r="AP28" s="54"/>
      <c r="AQ28" s="54"/>
      <c r="AR28" s="54"/>
      <c r="AS28" s="54"/>
      <c r="AT28" s="54"/>
      <c r="AU28" s="54"/>
      <c r="AV28" s="54"/>
      <c r="AW28" s="130">
        <f>MEDIAN(G28,AC28)</f>
        <v>155000</v>
      </c>
      <c r="AX28" s="130">
        <f>AVERAGE(G28,AC28)</f>
        <v>155000</v>
      </c>
      <c r="AY28" s="131">
        <f>STDEV(G28,AC28)</f>
        <v>42426.406871192848</v>
      </c>
      <c r="AZ28" s="137">
        <f t="shared" si="1"/>
        <v>0.2737187540076958</v>
      </c>
      <c r="BA28" s="151">
        <f t="shared" si="0"/>
        <v>155000</v>
      </c>
      <c r="BB28" s="135" t="s">
        <v>322</v>
      </c>
    </row>
    <row r="29" spans="1:54" ht="60" x14ac:dyDescent="0.25">
      <c r="A29" s="81">
        <v>23</v>
      </c>
      <c r="B29" s="81" t="s">
        <v>364</v>
      </c>
      <c r="C29" s="76" t="s">
        <v>365</v>
      </c>
      <c r="D29" s="81" t="s">
        <v>175</v>
      </c>
      <c r="E29" s="81">
        <v>1</v>
      </c>
      <c r="F29" s="50"/>
      <c r="G29" s="51">
        <v>28000</v>
      </c>
      <c r="H29" s="52"/>
      <c r="I29" s="51"/>
      <c r="J29" s="51"/>
      <c r="K29" s="51"/>
      <c r="L29" s="51"/>
      <c r="M29" s="51"/>
      <c r="N29" s="51"/>
      <c r="O29" s="51"/>
      <c r="P29" s="51"/>
      <c r="Q29" s="51">
        <v>25064</v>
      </c>
      <c r="R29" s="51"/>
      <c r="S29" s="51"/>
      <c r="T29" s="51"/>
      <c r="U29" s="51"/>
      <c r="V29" s="51"/>
      <c r="W29" s="51"/>
      <c r="X29" s="51"/>
      <c r="Y29" s="51"/>
      <c r="Z29" s="51"/>
      <c r="AA29" s="51"/>
      <c r="AB29" s="51"/>
      <c r="AC29" s="51">
        <v>15000</v>
      </c>
      <c r="AD29" s="51"/>
      <c r="AE29" s="51">
        <v>28000</v>
      </c>
      <c r="AF29" s="51"/>
      <c r="AG29" s="51"/>
      <c r="AH29" s="51"/>
      <c r="AI29" s="51"/>
      <c r="AJ29" s="51"/>
      <c r="AK29" s="51"/>
      <c r="AL29" s="51"/>
      <c r="AM29" s="51"/>
      <c r="AN29" s="51"/>
      <c r="AO29" s="51"/>
      <c r="AP29" s="51"/>
      <c r="AQ29" s="51"/>
      <c r="AR29" s="51"/>
      <c r="AS29" s="51"/>
      <c r="AT29" s="51"/>
      <c r="AU29" s="51"/>
      <c r="AV29" s="51"/>
      <c r="AW29" s="130">
        <f>MEDIAN(G29,Q29,AE29)</f>
        <v>28000</v>
      </c>
      <c r="AX29" s="130">
        <f>AVERAGE(G29,Q29,AE29)</f>
        <v>27021.333333333332</v>
      </c>
      <c r="AY29" s="131">
        <f>STDEV(G29,Q29,AE29)</f>
        <v>1695.1003903407413</v>
      </c>
      <c r="AZ29" s="137">
        <f t="shared" si="1"/>
        <v>6.2731929969187611E-2</v>
      </c>
      <c r="BA29" s="151">
        <f t="shared" si="0"/>
        <v>27022</v>
      </c>
      <c r="BB29" s="135" t="s">
        <v>351</v>
      </c>
    </row>
    <row r="30" spans="1:54" s="49" customFormat="1" ht="105" x14ac:dyDescent="0.25">
      <c r="A30" s="68">
        <v>24</v>
      </c>
      <c r="B30" s="68" t="s">
        <v>366</v>
      </c>
      <c r="C30" s="66" t="s">
        <v>367</v>
      </c>
      <c r="D30" s="68" t="s">
        <v>175</v>
      </c>
      <c r="E30" s="68">
        <v>1</v>
      </c>
      <c r="F30" s="53"/>
      <c r="G30" s="54"/>
      <c r="H30" s="55"/>
      <c r="I30" s="54"/>
      <c r="J30" s="54"/>
      <c r="K30" s="54"/>
      <c r="L30" s="54"/>
      <c r="M30" s="54"/>
      <c r="N30" s="54"/>
      <c r="O30" s="54"/>
      <c r="P30" s="54"/>
      <c r="Q30" s="54">
        <v>147300</v>
      </c>
      <c r="R30" s="54"/>
      <c r="S30" s="54">
        <v>455400</v>
      </c>
      <c r="T30" s="54">
        <v>140000</v>
      </c>
      <c r="U30" s="54"/>
      <c r="V30" s="54">
        <v>32889</v>
      </c>
      <c r="W30" s="54">
        <v>48000</v>
      </c>
      <c r="X30" s="54">
        <v>125000</v>
      </c>
      <c r="Y30" s="54">
        <v>50000</v>
      </c>
      <c r="Z30" s="54">
        <v>160000</v>
      </c>
      <c r="AA30" s="54"/>
      <c r="AB30" s="54"/>
      <c r="AC30" s="54"/>
      <c r="AD30" s="54"/>
      <c r="AE30" s="54"/>
      <c r="AF30" s="54"/>
      <c r="AG30" s="54"/>
      <c r="AH30" s="54"/>
      <c r="AI30" s="54"/>
      <c r="AJ30" s="54"/>
      <c r="AK30" s="54"/>
      <c r="AL30" s="54"/>
      <c r="AM30" s="54"/>
      <c r="AN30" s="54"/>
      <c r="AO30" s="54"/>
      <c r="AP30" s="54"/>
      <c r="AQ30" s="54"/>
      <c r="AR30" s="54"/>
      <c r="AS30" s="54"/>
      <c r="AT30" s="54"/>
      <c r="AU30" s="54"/>
      <c r="AV30" s="54"/>
      <c r="AW30" s="130">
        <f>MEDIAN(Q30,T30,X30,Z30)</f>
        <v>143650</v>
      </c>
      <c r="AX30" s="130">
        <f>AVERAGE(Q30,T30,X30,Z30)</f>
        <v>143075</v>
      </c>
      <c r="AY30" s="131">
        <f>STDEV(Q30,T30,X30,Z30)</f>
        <v>14611.268482464713</v>
      </c>
      <c r="AZ30" s="137">
        <f t="shared" si="1"/>
        <v>0.10212314158633383</v>
      </c>
      <c r="BA30" s="151">
        <f t="shared" si="0"/>
        <v>143075</v>
      </c>
      <c r="BB30" s="135" t="s">
        <v>351</v>
      </c>
    </row>
    <row r="31" spans="1:54" s="49" customFormat="1" ht="75" x14ac:dyDescent="0.25">
      <c r="A31" s="68">
        <v>25</v>
      </c>
      <c r="B31" s="68" t="s">
        <v>368</v>
      </c>
      <c r="C31" s="66" t="s">
        <v>369</v>
      </c>
      <c r="D31" s="68" t="s">
        <v>175</v>
      </c>
      <c r="E31" s="68">
        <v>1</v>
      </c>
      <c r="F31" s="53"/>
      <c r="G31" s="54"/>
      <c r="H31" s="55"/>
      <c r="I31" s="54"/>
      <c r="J31" s="54"/>
      <c r="K31" s="54"/>
      <c r="L31" s="54"/>
      <c r="M31" s="54"/>
      <c r="N31" s="54"/>
      <c r="O31" s="54"/>
      <c r="P31" s="54"/>
      <c r="Q31" s="54">
        <v>101088</v>
      </c>
      <c r="R31" s="54"/>
      <c r="S31" s="54"/>
      <c r="T31" s="54"/>
      <c r="U31" s="54"/>
      <c r="V31" s="54">
        <v>53142</v>
      </c>
      <c r="W31" s="54"/>
      <c r="X31" s="54"/>
      <c r="Y31" s="54"/>
      <c r="Z31" s="54">
        <v>54600</v>
      </c>
      <c r="AA31" s="54"/>
      <c r="AB31" s="54"/>
      <c r="AC31" s="54"/>
      <c r="AD31" s="54"/>
      <c r="AE31" s="54"/>
      <c r="AF31" s="54"/>
      <c r="AG31" s="54"/>
      <c r="AH31" s="54"/>
      <c r="AI31" s="54">
        <v>35000</v>
      </c>
      <c r="AJ31" s="54"/>
      <c r="AK31" s="54"/>
      <c r="AL31" s="54"/>
      <c r="AM31" s="54"/>
      <c r="AN31" s="54"/>
      <c r="AO31" s="54"/>
      <c r="AP31" s="54"/>
      <c r="AQ31" s="54"/>
      <c r="AR31" s="54"/>
      <c r="AS31" s="54"/>
      <c r="AT31" s="54"/>
      <c r="AU31" s="54"/>
      <c r="AV31" s="54"/>
      <c r="AW31" s="130">
        <f>MEDIAN(V31,Z31)</f>
        <v>53871</v>
      </c>
      <c r="AX31" s="130">
        <f>AVERAGE(V31,Z31)</f>
        <v>53871</v>
      </c>
      <c r="AY31" s="131">
        <f>STDEV(V31,Z31)</f>
        <v>1030.9616869699862</v>
      </c>
      <c r="AZ31" s="137">
        <f t="shared" si="1"/>
        <v>1.913760069369394E-2</v>
      </c>
      <c r="BA31" s="151">
        <f t="shared" si="0"/>
        <v>53871</v>
      </c>
      <c r="BB31" s="135" t="s">
        <v>351</v>
      </c>
    </row>
    <row r="32" spans="1:54" s="49" customFormat="1" ht="90" x14ac:dyDescent="0.25">
      <c r="A32" s="68">
        <v>26</v>
      </c>
      <c r="B32" s="68" t="s">
        <v>370</v>
      </c>
      <c r="C32" s="66" t="s">
        <v>371</v>
      </c>
      <c r="D32" s="68" t="s">
        <v>175</v>
      </c>
      <c r="E32" s="68">
        <v>1</v>
      </c>
      <c r="F32" s="53"/>
      <c r="G32" s="54"/>
      <c r="H32" s="55"/>
      <c r="I32" s="54"/>
      <c r="J32" s="54"/>
      <c r="K32" s="54"/>
      <c r="L32" s="54"/>
      <c r="M32" s="54"/>
      <c r="N32" s="54"/>
      <c r="O32" s="54"/>
      <c r="P32" s="54"/>
      <c r="Q32" s="54">
        <v>41985</v>
      </c>
      <c r="R32" s="54"/>
      <c r="S32" s="54"/>
      <c r="T32" s="54"/>
      <c r="U32" s="54"/>
      <c r="V32" s="54">
        <v>27523</v>
      </c>
      <c r="W32" s="54">
        <v>35000</v>
      </c>
      <c r="X32" s="54">
        <v>45000</v>
      </c>
      <c r="Y32" s="54">
        <v>42000</v>
      </c>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130">
        <f>MEDIAN(V32,W32)</f>
        <v>31261.5</v>
      </c>
      <c r="AX32" s="130">
        <f>AVERAGE(V32,W32)</f>
        <v>31261.5</v>
      </c>
      <c r="AY32" s="131">
        <f>STDEV(V32,W32)</f>
        <v>5287.0374029318154</v>
      </c>
      <c r="AZ32" s="137">
        <f t="shared" si="1"/>
        <v>0.16912295964466886</v>
      </c>
      <c r="BA32" s="151">
        <f t="shared" si="0"/>
        <v>31262</v>
      </c>
      <c r="BB32" s="135" t="s">
        <v>351</v>
      </c>
    </row>
    <row r="33" spans="1:54" s="49" customFormat="1" ht="75" x14ac:dyDescent="0.25">
      <c r="A33" s="68">
        <v>27</v>
      </c>
      <c r="B33" s="68" t="s">
        <v>372</v>
      </c>
      <c r="C33" s="66" t="s">
        <v>373</v>
      </c>
      <c r="D33" s="68" t="s">
        <v>175</v>
      </c>
      <c r="E33" s="68">
        <v>1</v>
      </c>
      <c r="F33" s="53"/>
      <c r="G33" s="54"/>
      <c r="H33" s="55"/>
      <c r="I33" s="54"/>
      <c r="J33" s="54"/>
      <c r="K33" s="54"/>
      <c r="L33" s="54"/>
      <c r="M33" s="54"/>
      <c r="N33" s="54"/>
      <c r="O33" s="54"/>
      <c r="P33" s="54"/>
      <c r="Q33" s="54">
        <v>122024</v>
      </c>
      <c r="R33" s="54"/>
      <c r="S33" s="54"/>
      <c r="T33" s="54"/>
      <c r="U33" s="54"/>
      <c r="V33" s="54"/>
      <c r="W33" s="54">
        <v>85000</v>
      </c>
      <c r="X33" s="54">
        <v>105000</v>
      </c>
      <c r="Y33" s="54">
        <v>98000</v>
      </c>
      <c r="Z33" s="54"/>
      <c r="AA33" s="54"/>
      <c r="AB33" s="54">
        <v>100000</v>
      </c>
      <c r="AC33" s="54"/>
      <c r="AD33" s="54"/>
      <c r="AE33" s="54"/>
      <c r="AF33" s="54"/>
      <c r="AG33" s="54"/>
      <c r="AH33" s="54"/>
      <c r="AI33" s="54"/>
      <c r="AJ33" s="54"/>
      <c r="AK33" s="54"/>
      <c r="AL33" s="54"/>
      <c r="AM33" s="54"/>
      <c r="AN33" s="54"/>
      <c r="AO33" s="54"/>
      <c r="AP33" s="54"/>
      <c r="AQ33" s="54"/>
      <c r="AR33" s="54"/>
      <c r="AS33" s="54"/>
      <c r="AT33" s="54"/>
      <c r="AU33" s="54"/>
      <c r="AV33" s="54"/>
      <c r="AW33" s="130">
        <f>MEDIAN(W33,Y33)</f>
        <v>91500</v>
      </c>
      <c r="AX33" s="130">
        <f>AVERAGE(W33,Y33)</f>
        <v>91500</v>
      </c>
      <c r="AY33" s="131">
        <f>STDEV(W33,Y33)</f>
        <v>9192.3881554251184</v>
      </c>
      <c r="AZ33" s="137">
        <f t="shared" si="1"/>
        <v>0.10046325852923627</v>
      </c>
      <c r="BA33" s="151">
        <f t="shared" si="0"/>
        <v>91500</v>
      </c>
      <c r="BB33" s="135" t="s">
        <v>351</v>
      </c>
    </row>
    <row r="34" spans="1:54" s="49" customFormat="1" ht="45" x14ac:dyDescent="0.25">
      <c r="A34" s="68">
        <v>28</v>
      </c>
      <c r="B34" s="68" t="s">
        <v>374</v>
      </c>
      <c r="C34" s="66" t="s">
        <v>375</v>
      </c>
      <c r="D34" s="68" t="s">
        <v>175</v>
      </c>
      <c r="E34" s="68">
        <v>1</v>
      </c>
      <c r="F34" s="53"/>
      <c r="G34" s="54"/>
      <c r="H34" s="55"/>
      <c r="I34" s="54"/>
      <c r="J34" s="54">
        <v>2345000</v>
      </c>
      <c r="K34" s="54">
        <v>1750000</v>
      </c>
      <c r="L34" s="54"/>
      <c r="M34" s="54"/>
      <c r="N34" s="54"/>
      <c r="O34" s="54"/>
      <c r="P34" s="54"/>
      <c r="Q34" s="54">
        <v>1656815</v>
      </c>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130">
        <f>MEDIAN(K34,Q34)</f>
        <v>1703407.5</v>
      </c>
      <c r="AX34" s="130">
        <f>AVERAGE(K34,Q34)</f>
        <v>1703407.5</v>
      </c>
      <c r="AY34" s="131">
        <f>STDEV(K34,Q34)</f>
        <v>65891.74540486843</v>
      </c>
      <c r="AZ34" s="137">
        <f t="shared" si="1"/>
        <v>3.8682314950984092E-2</v>
      </c>
      <c r="BA34" s="151">
        <f t="shared" si="0"/>
        <v>1703408</v>
      </c>
      <c r="BB34" s="135" t="s">
        <v>322</v>
      </c>
    </row>
    <row r="35" spans="1:54" s="49" customFormat="1" ht="75" x14ac:dyDescent="0.25">
      <c r="A35" s="68">
        <v>29</v>
      </c>
      <c r="B35" s="68" t="s">
        <v>376</v>
      </c>
      <c r="C35" s="66" t="s">
        <v>377</v>
      </c>
      <c r="D35" s="68" t="s">
        <v>175</v>
      </c>
      <c r="E35" s="68">
        <v>1</v>
      </c>
      <c r="F35" s="53"/>
      <c r="G35" s="54"/>
      <c r="H35" s="55"/>
      <c r="I35" s="54"/>
      <c r="J35" s="54">
        <v>629900</v>
      </c>
      <c r="K35" s="54"/>
      <c r="L35" s="54"/>
      <c r="M35" s="54"/>
      <c r="N35" s="54">
        <f>+(260000*26%)+260000</f>
        <v>327600</v>
      </c>
      <c r="O35" s="54"/>
      <c r="P35" s="54"/>
      <c r="Q35" s="54">
        <v>210489</v>
      </c>
      <c r="R35" s="54"/>
      <c r="S35" s="54"/>
      <c r="T35" s="54"/>
      <c r="U35" s="54"/>
      <c r="V35" s="54"/>
      <c r="W35" s="54"/>
      <c r="X35" s="54"/>
      <c r="Y35" s="54"/>
      <c r="Z35" s="54"/>
      <c r="AA35" s="54">
        <v>410000</v>
      </c>
      <c r="AB35" s="54"/>
      <c r="AC35" s="54"/>
      <c r="AD35" s="54"/>
      <c r="AE35" s="54"/>
      <c r="AF35" s="54"/>
      <c r="AG35" s="54"/>
      <c r="AH35" s="54"/>
      <c r="AI35" s="54"/>
      <c r="AJ35" s="54"/>
      <c r="AK35" s="54"/>
      <c r="AL35" s="54"/>
      <c r="AM35" s="54"/>
      <c r="AN35" s="54"/>
      <c r="AO35" s="54"/>
      <c r="AP35" s="54"/>
      <c r="AQ35" s="54"/>
      <c r="AR35" s="54"/>
      <c r="AS35" s="54"/>
      <c r="AT35" s="54"/>
      <c r="AU35" s="54"/>
      <c r="AV35" s="54"/>
      <c r="AW35" s="130">
        <f>MEDIAN(N35,AA35)</f>
        <v>368800</v>
      </c>
      <c r="AX35" s="130">
        <f>AVERAGE(N35,AA35)</f>
        <v>368800</v>
      </c>
      <c r="AY35" s="131">
        <f>STDEV(N35,AA35)</f>
        <v>58265.598769771517</v>
      </c>
      <c r="AZ35" s="137">
        <f t="shared" si="1"/>
        <v>0.15798698147985768</v>
      </c>
      <c r="BA35" s="151">
        <f t="shared" si="0"/>
        <v>368800</v>
      </c>
      <c r="BB35" s="135" t="s">
        <v>322</v>
      </c>
    </row>
    <row r="36" spans="1:54" s="49" customFormat="1" ht="30" x14ac:dyDescent="0.25">
      <c r="A36" s="68">
        <v>30</v>
      </c>
      <c r="B36" s="68" t="s">
        <v>378</v>
      </c>
      <c r="C36" s="66" t="s">
        <v>379</v>
      </c>
      <c r="D36" s="68" t="s">
        <v>175</v>
      </c>
      <c r="E36" s="68">
        <v>1</v>
      </c>
      <c r="F36" s="53"/>
      <c r="G36" s="54"/>
      <c r="H36" s="55"/>
      <c r="I36" s="54"/>
      <c r="J36" s="54"/>
      <c r="K36" s="54"/>
      <c r="L36" s="54"/>
      <c r="M36" s="54"/>
      <c r="N36" s="54">
        <f>+(42900*26%)+42900</f>
        <v>54054</v>
      </c>
      <c r="O36" s="54"/>
      <c r="P36" s="54"/>
      <c r="Q36" s="54">
        <v>77090</v>
      </c>
      <c r="R36" s="54"/>
      <c r="S36" s="54"/>
      <c r="T36" s="54"/>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130">
        <f>MEDIAN(N36,Q36)</f>
        <v>65572</v>
      </c>
      <c r="AX36" s="130">
        <f>AVERAGE(Q36,N36)</f>
        <v>65572</v>
      </c>
      <c r="AY36" s="131">
        <f>STDEV(N36,Q36)</f>
        <v>16288.911811413309</v>
      </c>
      <c r="AZ36" s="137">
        <f t="shared" si="1"/>
        <v>0.24841261226458411</v>
      </c>
      <c r="BA36" s="151">
        <f t="shared" si="0"/>
        <v>65572</v>
      </c>
      <c r="BB36" s="135" t="s">
        <v>322</v>
      </c>
    </row>
    <row r="37" spans="1:54" s="49" customFormat="1" ht="75" x14ac:dyDescent="0.25">
      <c r="A37" s="68">
        <v>31</v>
      </c>
      <c r="B37" s="68" t="s">
        <v>380</v>
      </c>
      <c r="C37" s="66" t="s">
        <v>381</v>
      </c>
      <c r="D37" s="68" t="s">
        <v>175</v>
      </c>
      <c r="E37" s="68">
        <v>1</v>
      </c>
      <c r="F37" s="53"/>
      <c r="G37" s="54"/>
      <c r="H37" s="55"/>
      <c r="I37" s="54"/>
      <c r="J37" s="54"/>
      <c r="K37" s="54"/>
      <c r="L37" s="54"/>
      <c r="M37" s="54"/>
      <c r="N37" s="54"/>
      <c r="O37" s="54"/>
      <c r="P37" s="54">
        <v>53900</v>
      </c>
      <c r="Q37" s="54">
        <v>21048</v>
      </c>
      <c r="R37" s="54"/>
      <c r="S37" s="54"/>
      <c r="T37" s="54">
        <v>40000</v>
      </c>
      <c r="U37" s="54"/>
      <c r="V37" s="54">
        <v>40756</v>
      </c>
      <c r="W37" s="54">
        <v>28000</v>
      </c>
      <c r="X37" s="54">
        <v>40000</v>
      </c>
      <c r="Y37" s="54"/>
      <c r="Z37" s="54">
        <v>37720</v>
      </c>
      <c r="AA37" s="54"/>
      <c r="AB37" s="54">
        <v>63500</v>
      </c>
      <c r="AC37" s="54"/>
      <c r="AD37" s="54"/>
      <c r="AE37" s="54"/>
      <c r="AF37" s="54"/>
      <c r="AG37" s="54"/>
      <c r="AH37" s="54"/>
      <c r="AI37" s="54">
        <v>16500</v>
      </c>
      <c r="AJ37" s="54"/>
      <c r="AK37" s="54"/>
      <c r="AL37" s="54"/>
      <c r="AM37" s="54"/>
      <c r="AN37" s="54"/>
      <c r="AO37" s="54"/>
      <c r="AP37" s="54"/>
      <c r="AQ37" s="54"/>
      <c r="AR37" s="54"/>
      <c r="AS37" s="54"/>
      <c r="AT37" s="54"/>
      <c r="AU37" s="54"/>
      <c r="AV37" s="54"/>
      <c r="AW37" s="130">
        <f>MEDIAN(P37,T37,V37,X37,AB37)</f>
        <v>40756</v>
      </c>
      <c r="AX37" s="130">
        <f>AVERAGE(P37,T37,V37,X37,AB37)</f>
        <v>47631.199999999997</v>
      </c>
      <c r="AY37" s="131">
        <f>STDEV(P37,T37,V37,X37,AB37)</f>
        <v>10663.670437518211</v>
      </c>
      <c r="AZ37" s="137">
        <f t="shared" si="1"/>
        <v>0.22387994502591183</v>
      </c>
      <c r="BA37" s="151">
        <f t="shared" si="0"/>
        <v>40756</v>
      </c>
      <c r="BB37" s="135" t="s">
        <v>322</v>
      </c>
    </row>
    <row r="38" spans="1:54" s="49" customFormat="1" ht="60" x14ac:dyDescent="0.25">
      <c r="A38" s="68">
        <v>32</v>
      </c>
      <c r="B38" s="68" t="s">
        <v>382</v>
      </c>
      <c r="C38" s="66" t="s">
        <v>383</v>
      </c>
      <c r="D38" s="68" t="s">
        <v>175</v>
      </c>
      <c r="E38" s="68">
        <v>1</v>
      </c>
      <c r="F38" s="53">
        <v>227905</v>
      </c>
      <c r="G38" s="54"/>
      <c r="H38" s="55"/>
      <c r="I38" s="54"/>
      <c r="J38" s="54"/>
      <c r="K38" s="54"/>
      <c r="L38" s="54"/>
      <c r="M38" s="54"/>
      <c r="N38" s="54"/>
      <c r="O38" s="54"/>
      <c r="P38" s="54"/>
      <c r="Q38" s="54">
        <v>125324</v>
      </c>
      <c r="R38" s="54"/>
      <c r="S38" s="54">
        <v>299900</v>
      </c>
      <c r="T38" s="54"/>
      <c r="U38" s="54"/>
      <c r="V38" s="54">
        <v>32252</v>
      </c>
      <c r="W38" s="54"/>
      <c r="X38" s="54">
        <v>390000</v>
      </c>
      <c r="Y38" s="54">
        <v>406400</v>
      </c>
      <c r="Z38" s="54"/>
      <c r="AA38" s="54"/>
      <c r="AB38" s="54">
        <v>414500</v>
      </c>
      <c r="AC38" s="54"/>
      <c r="AD38" s="54"/>
      <c r="AE38" s="54"/>
      <c r="AF38" s="54"/>
      <c r="AG38" s="54"/>
      <c r="AH38" s="54"/>
      <c r="AI38" s="54">
        <v>249500</v>
      </c>
      <c r="AJ38" s="54"/>
      <c r="AK38" s="54"/>
      <c r="AL38" s="54"/>
      <c r="AM38" s="54"/>
      <c r="AN38" s="54"/>
      <c r="AO38" s="54"/>
      <c r="AP38" s="54"/>
      <c r="AQ38" s="54"/>
      <c r="AR38" s="54"/>
      <c r="AS38" s="54"/>
      <c r="AT38" s="54"/>
      <c r="AU38" s="54"/>
      <c r="AV38" s="54">
        <v>129492</v>
      </c>
      <c r="AW38" s="130">
        <f>MEDIAN(Q38,AV38)</f>
        <v>127408</v>
      </c>
      <c r="AX38" s="130">
        <f>AVERAGE(Q38,AV38)</f>
        <v>127408</v>
      </c>
      <c r="AY38" s="131">
        <f>STDEV(Q38,AV38)</f>
        <v>2947.2210639855302</v>
      </c>
      <c r="AZ38" s="137">
        <f t="shared" si="1"/>
        <v>2.3132150759650336E-2</v>
      </c>
      <c r="BA38" s="151">
        <f t="shared" si="0"/>
        <v>127408</v>
      </c>
      <c r="BB38" s="135" t="s">
        <v>319</v>
      </c>
    </row>
    <row r="39" spans="1:54" s="49" customFormat="1" ht="30" x14ac:dyDescent="0.25">
      <c r="A39" s="68">
        <v>33</v>
      </c>
      <c r="B39" s="68" t="s">
        <v>384</v>
      </c>
      <c r="C39" s="66" t="s">
        <v>385</v>
      </c>
      <c r="D39" s="68" t="s">
        <v>175</v>
      </c>
      <c r="E39" s="68">
        <v>1</v>
      </c>
      <c r="F39" s="53"/>
      <c r="G39" s="54"/>
      <c r="H39" s="55"/>
      <c r="I39" s="54"/>
      <c r="J39" s="54"/>
      <c r="K39" s="54"/>
      <c r="L39" s="54"/>
      <c r="M39" s="54"/>
      <c r="N39" s="54"/>
      <c r="O39" s="54"/>
      <c r="P39" s="54"/>
      <c r="Q39" s="54">
        <v>56027</v>
      </c>
      <c r="R39" s="54"/>
      <c r="S39" s="54"/>
      <c r="T39" s="54"/>
      <c r="U39" s="54"/>
      <c r="V39" s="54"/>
      <c r="W39" s="54"/>
      <c r="X39" s="54"/>
      <c r="Y39" s="54"/>
      <c r="Z39" s="54"/>
      <c r="AA39" s="54">
        <v>27000</v>
      </c>
      <c r="AB39" s="54"/>
      <c r="AC39" s="54"/>
      <c r="AD39" s="54">
        <v>26500</v>
      </c>
      <c r="AE39" s="54"/>
      <c r="AF39" s="54"/>
      <c r="AG39" s="54"/>
      <c r="AH39" s="54"/>
      <c r="AI39" s="54"/>
      <c r="AJ39" s="54"/>
      <c r="AK39" s="54"/>
      <c r="AL39" s="54"/>
      <c r="AM39" s="54"/>
      <c r="AN39" s="54"/>
      <c r="AO39" s="54"/>
      <c r="AP39" s="54"/>
      <c r="AQ39" s="54"/>
      <c r="AR39" s="54"/>
      <c r="AS39" s="54"/>
      <c r="AT39" s="54"/>
      <c r="AU39" s="54"/>
      <c r="AV39" s="54"/>
      <c r="AW39" s="130">
        <f>MEDIAN(AA39,AD39)</f>
        <v>26750</v>
      </c>
      <c r="AX39" s="130">
        <f>AVERAGE(AA39,AD39)</f>
        <v>26750</v>
      </c>
      <c r="AY39" s="131">
        <f>STDEV(AA39,AD39)</f>
        <v>353.55339059327378</v>
      </c>
      <c r="AZ39" s="137">
        <f t="shared" si="1"/>
        <v>1.3216949181056963E-2</v>
      </c>
      <c r="BA39" s="151">
        <f t="shared" si="0"/>
        <v>26750</v>
      </c>
      <c r="BB39" s="135" t="s">
        <v>319</v>
      </c>
    </row>
    <row r="40" spans="1:54" s="49" customFormat="1" ht="75" x14ac:dyDescent="0.25">
      <c r="A40" s="68">
        <v>34</v>
      </c>
      <c r="B40" s="68" t="s">
        <v>386</v>
      </c>
      <c r="C40" s="66" t="s">
        <v>387</v>
      </c>
      <c r="D40" s="68" t="s">
        <v>175</v>
      </c>
      <c r="E40" s="68">
        <v>1</v>
      </c>
      <c r="F40" s="53"/>
      <c r="G40" s="54"/>
      <c r="H40" s="55"/>
      <c r="I40" s="54"/>
      <c r="J40" s="54">
        <v>498900</v>
      </c>
      <c r="K40" s="54"/>
      <c r="L40" s="54"/>
      <c r="M40" s="54"/>
      <c r="N40" s="54"/>
      <c r="O40" s="54"/>
      <c r="P40" s="54">
        <v>385000</v>
      </c>
      <c r="Q40" s="54">
        <v>419715</v>
      </c>
      <c r="R40" s="54"/>
      <c r="S40" s="54"/>
      <c r="T40" s="54"/>
      <c r="U40" s="54"/>
      <c r="V40" s="54"/>
      <c r="W40" s="54"/>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130">
        <f>MEDIAN(P40,Q40)</f>
        <v>402357.5</v>
      </c>
      <c r="AX40" s="130">
        <f>AVERAGE(P40,Q40)</f>
        <v>402357.5</v>
      </c>
      <c r="AY40" s="131">
        <f>STDEV(P40,Q40)</f>
        <v>24547.211908890997</v>
      </c>
      <c r="AZ40" s="137">
        <f t="shared" si="1"/>
        <v>6.1008461154299337E-2</v>
      </c>
      <c r="BA40" s="151">
        <f t="shared" si="0"/>
        <v>402358</v>
      </c>
      <c r="BB40" s="135" t="s">
        <v>319</v>
      </c>
    </row>
    <row r="41" spans="1:54" s="49" customFormat="1" ht="75" x14ac:dyDescent="0.25">
      <c r="A41" s="68">
        <v>35</v>
      </c>
      <c r="B41" s="68" t="s">
        <v>388</v>
      </c>
      <c r="C41" s="66" t="s">
        <v>389</v>
      </c>
      <c r="D41" s="68" t="s">
        <v>175</v>
      </c>
      <c r="E41" s="68">
        <v>1</v>
      </c>
      <c r="F41" s="53"/>
      <c r="G41" s="54"/>
      <c r="H41" s="55"/>
      <c r="I41" s="54"/>
      <c r="J41" s="54"/>
      <c r="K41" s="54"/>
      <c r="L41" s="54"/>
      <c r="M41" s="54"/>
      <c r="N41" s="54"/>
      <c r="O41" s="54"/>
      <c r="P41" s="54"/>
      <c r="Q41" s="54">
        <v>98279</v>
      </c>
      <c r="R41" s="54"/>
      <c r="S41" s="54"/>
      <c r="T41" s="54"/>
      <c r="U41" s="54"/>
      <c r="V41" s="54"/>
      <c r="W41" s="54"/>
      <c r="X41" s="54"/>
      <c r="Y41" s="54"/>
      <c r="Z41" s="54"/>
      <c r="AA41" s="54"/>
      <c r="AB41" s="54"/>
      <c r="AC41" s="54"/>
      <c r="AD41" s="54"/>
      <c r="AE41" s="54"/>
      <c r="AF41" s="54"/>
      <c r="AG41" s="54"/>
      <c r="AH41" s="54"/>
      <c r="AI41" s="54"/>
      <c r="AJ41" s="54"/>
      <c r="AK41" s="54"/>
      <c r="AL41" s="54"/>
      <c r="AM41" s="54">
        <v>69990</v>
      </c>
      <c r="AN41" s="54">
        <v>118000</v>
      </c>
      <c r="AO41" s="54"/>
      <c r="AP41" s="54"/>
      <c r="AQ41" s="54"/>
      <c r="AR41" s="54"/>
      <c r="AS41" s="54"/>
      <c r="AT41" s="54"/>
      <c r="AU41" s="54"/>
      <c r="AV41" s="54"/>
      <c r="AW41" s="130">
        <f>MEDIAN(Q41,AM41)</f>
        <v>84134.5</v>
      </c>
      <c r="AX41" s="130">
        <f>AVERAGE(Q41,AM41)</f>
        <v>84134.5</v>
      </c>
      <c r="AY41" s="131">
        <f>STDEV(Q41,AM41)</f>
        <v>20003.343732986243</v>
      </c>
      <c r="AZ41" s="137">
        <f t="shared" si="1"/>
        <v>0.23775435443232257</v>
      </c>
      <c r="BA41" s="151">
        <f t="shared" si="0"/>
        <v>84135</v>
      </c>
      <c r="BB41" s="135" t="s">
        <v>322</v>
      </c>
    </row>
    <row r="42" spans="1:54" s="49" customFormat="1" ht="75" x14ac:dyDescent="0.25">
      <c r="A42" s="68">
        <v>36</v>
      </c>
      <c r="B42" s="68" t="s">
        <v>390</v>
      </c>
      <c r="C42" s="66" t="s">
        <v>391</v>
      </c>
      <c r="D42" s="68" t="s">
        <v>175</v>
      </c>
      <c r="E42" s="68">
        <v>1</v>
      </c>
      <c r="F42" s="53"/>
      <c r="G42" s="54"/>
      <c r="H42" s="55"/>
      <c r="I42" s="54"/>
      <c r="J42" s="54"/>
      <c r="K42" s="54"/>
      <c r="L42" s="54"/>
      <c r="M42" s="54"/>
      <c r="N42" s="54"/>
      <c r="O42" s="54"/>
      <c r="P42" s="54"/>
      <c r="Q42" s="54">
        <v>98153</v>
      </c>
      <c r="R42" s="54"/>
      <c r="S42" s="54"/>
      <c r="T42" s="54"/>
      <c r="U42" s="54"/>
      <c r="V42" s="54"/>
      <c r="W42" s="54"/>
      <c r="X42" s="54"/>
      <c r="Y42" s="54"/>
      <c r="Z42" s="54"/>
      <c r="AA42" s="54"/>
      <c r="AB42" s="54"/>
      <c r="AC42" s="54"/>
      <c r="AD42" s="54"/>
      <c r="AE42" s="54"/>
      <c r="AF42" s="54"/>
      <c r="AG42" s="54"/>
      <c r="AH42" s="54"/>
      <c r="AI42" s="54"/>
      <c r="AJ42" s="54"/>
      <c r="AK42" s="54"/>
      <c r="AL42" s="54"/>
      <c r="AM42" s="54">
        <v>46990</v>
      </c>
      <c r="AN42" s="54">
        <v>118000</v>
      </c>
      <c r="AO42" s="54"/>
      <c r="AP42" s="54"/>
      <c r="AQ42" s="54"/>
      <c r="AR42" s="54"/>
      <c r="AS42" s="54"/>
      <c r="AT42" s="54"/>
      <c r="AU42" s="54"/>
      <c r="AV42" s="54"/>
      <c r="AW42" s="130">
        <f>MEDIAN(Q42,AN42)</f>
        <v>108076.5</v>
      </c>
      <c r="AX42" s="130">
        <f t="shared" ref="AX42:AX43" si="2">AVERAGE(Q42,AN42)</f>
        <v>108076.5</v>
      </c>
      <c r="AY42" s="131">
        <f t="shared" ref="AY42:AY43" si="3">STDEV(Q42,AN42)</f>
        <v>14033.948286209408</v>
      </c>
      <c r="AZ42" s="137">
        <f t="shared" si="1"/>
        <v>0.12985198712217186</v>
      </c>
      <c r="BA42" s="151">
        <f t="shared" si="0"/>
        <v>108077</v>
      </c>
      <c r="BB42" s="135" t="s">
        <v>319</v>
      </c>
    </row>
    <row r="43" spans="1:54" s="49" customFormat="1" ht="75" x14ac:dyDescent="0.25">
      <c r="A43" s="68">
        <v>37</v>
      </c>
      <c r="B43" s="68" t="s">
        <v>392</v>
      </c>
      <c r="C43" s="66" t="s">
        <v>393</v>
      </c>
      <c r="D43" s="68" t="s">
        <v>175</v>
      </c>
      <c r="E43" s="68">
        <v>1</v>
      </c>
      <c r="F43" s="53"/>
      <c r="G43" s="54"/>
      <c r="H43" s="55"/>
      <c r="I43" s="54"/>
      <c r="J43" s="54"/>
      <c r="K43" s="54"/>
      <c r="L43" s="54"/>
      <c r="M43" s="54"/>
      <c r="N43" s="54"/>
      <c r="O43" s="54"/>
      <c r="P43" s="54"/>
      <c r="Q43" s="54">
        <v>98153</v>
      </c>
      <c r="R43" s="54"/>
      <c r="S43" s="54"/>
      <c r="T43" s="54"/>
      <c r="U43" s="54"/>
      <c r="V43" s="54"/>
      <c r="W43" s="54"/>
      <c r="X43" s="54"/>
      <c r="Y43" s="54"/>
      <c r="Z43" s="54"/>
      <c r="AA43" s="54"/>
      <c r="AB43" s="54"/>
      <c r="AC43" s="54"/>
      <c r="AD43" s="54"/>
      <c r="AE43" s="54"/>
      <c r="AF43" s="54"/>
      <c r="AG43" s="54"/>
      <c r="AH43" s="54"/>
      <c r="AI43" s="54"/>
      <c r="AJ43" s="54"/>
      <c r="AK43" s="54"/>
      <c r="AL43" s="54"/>
      <c r="AM43" s="54"/>
      <c r="AN43" s="54">
        <v>118000</v>
      </c>
      <c r="AO43" s="54"/>
      <c r="AP43" s="54"/>
      <c r="AQ43" s="54"/>
      <c r="AR43" s="54"/>
      <c r="AS43" s="54"/>
      <c r="AT43" s="54"/>
      <c r="AU43" s="54"/>
      <c r="AV43" s="54"/>
      <c r="AW43" s="130">
        <f>MEDIAN(Q43,AN43)</f>
        <v>108076.5</v>
      </c>
      <c r="AX43" s="130">
        <f t="shared" si="2"/>
        <v>108076.5</v>
      </c>
      <c r="AY43" s="131">
        <f t="shared" si="3"/>
        <v>14033.948286209408</v>
      </c>
      <c r="AZ43" s="137">
        <f t="shared" si="1"/>
        <v>0.12985198712217186</v>
      </c>
      <c r="BA43" s="151">
        <f t="shared" si="0"/>
        <v>108077</v>
      </c>
      <c r="BB43" s="135" t="s">
        <v>319</v>
      </c>
    </row>
    <row r="44" spans="1:54" s="49" customFormat="1" ht="90" x14ac:dyDescent="0.25">
      <c r="A44" s="68">
        <v>38</v>
      </c>
      <c r="B44" s="68" t="s">
        <v>394</v>
      </c>
      <c r="C44" s="66" t="s">
        <v>395</v>
      </c>
      <c r="D44" s="68" t="s">
        <v>175</v>
      </c>
      <c r="E44" s="68">
        <v>1</v>
      </c>
      <c r="F44" s="53"/>
      <c r="G44" s="54"/>
      <c r="H44" s="55"/>
      <c r="I44" s="54"/>
      <c r="J44" s="54"/>
      <c r="K44" s="54"/>
      <c r="L44" s="54"/>
      <c r="M44" s="54"/>
      <c r="N44" s="54"/>
      <c r="O44" s="54"/>
      <c r="P44" s="54"/>
      <c r="Q44" s="54">
        <v>140029</v>
      </c>
      <c r="R44" s="54"/>
      <c r="S44" s="54"/>
      <c r="T44" s="54"/>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v>115000</v>
      </c>
      <c r="AU44" s="54"/>
      <c r="AV44" s="54"/>
      <c r="AW44" s="130">
        <f>MEDIAN(Q44,AT44)</f>
        <v>127514.5</v>
      </c>
      <c r="AX44" s="130">
        <f>AVERAGE(Q44,AT44)</f>
        <v>127514.5</v>
      </c>
      <c r="AY44" s="131">
        <f>STDEV(Q44,AT44)</f>
        <v>17698.175626318098</v>
      </c>
      <c r="AZ44" s="137">
        <f t="shared" si="1"/>
        <v>0.13879343624700013</v>
      </c>
      <c r="BA44" s="151">
        <f t="shared" si="0"/>
        <v>127515</v>
      </c>
      <c r="BB44" s="135" t="s">
        <v>319</v>
      </c>
    </row>
    <row r="45" spans="1:54" s="2" customFormat="1" ht="15.75" thickBot="1" x14ac:dyDescent="0.3">
      <c r="A45" s="423" t="s">
        <v>396</v>
      </c>
      <c r="B45" s="424"/>
      <c r="C45" s="424"/>
      <c r="D45" s="424"/>
      <c r="E45" s="425"/>
      <c r="F45" s="56"/>
      <c r="G45" s="57"/>
      <c r="H45" s="58"/>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162">
        <f>+SUM(AW7:AW44)</f>
        <v>23901052.5</v>
      </c>
      <c r="AX45" s="162">
        <f t="shared" ref="AX45:BA45" si="4">+SUM(AX7:AX44)</f>
        <v>23760046.033333331</v>
      </c>
      <c r="AY45" s="162">
        <f t="shared" si="4"/>
        <v>3428661.5209153453</v>
      </c>
      <c r="AZ45" s="162"/>
      <c r="BA45" s="162">
        <f t="shared" si="4"/>
        <v>23753179</v>
      </c>
      <c r="BB45" s="163"/>
    </row>
    <row r="47" spans="1:54" ht="14.45" customHeight="1" x14ac:dyDescent="0.25">
      <c r="A47" s="422" t="s">
        <v>397</v>
      </c>
      <c r="B47" s="422"/>
      <c r="C47" s="422"/>
      <c r="D47" s="422"/>
      <c r="E47" s="422"/>
      <c r="F47" s="422"/>
      <c r="G47" s="422"/>
      <c r="H47" s="422"/>
      <c r="I47" s="422"/>
      <c r="J47" s="422"/>
      <c r="K47" s="422"/>
      <c r="L47" s="422"/>
      <c r="M47" s="422"/>
      <c r="N47" s="422"/>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row>
    <row r="48" spans="1:54" x14ac:dyDescent="0.25">
      <c r="A48" s="422"/>
      <c r="B48" s="422"/>
      <c r="C48" s="422"/>
      <c r="D48" s="422"/>
      <c r="E48" s="422"/>
      <c r="F48" s="422"/>
      <c r="G48" s="422"/>
      <c r="H48" s="422"/>
      <c r="I48" s="422"/>
      <c r="J48" s="422"/>
      <c r="K48" s="422"/>
      <c r="L48" s="422"/>
      <c r="M48" s="422"/>
      <c r="N48" s="422"/>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BA48" s="60"/>
    </row>
    <row r="49" spans="1:50" x14ac:dyDescent="0.25">
      <c r="A49" s="422"/>
      <c r="B49" s="422"/>
      <c r="C49" s="422"/>
      <c r="D49" s="422"/>
      <c r="E49" s="422"/>
      <c r="F49" s="422"/>
      <c r="G49" s="422"/>
      <c r="H49" s="422"/>
      <c r="I49" s="422"/>
      <c r="J49" s="422"/>
      <c r="K49" s="422"/>
      <c r="L49" s="422"/>
      <c r="M49" s="422"/>
      <c r="N49" s="422"/>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row>
    <row r="50" spans="1:50" x14ac:dyDescent="0.25">
      <c r="A50" s="422"/>
      <c r="B50" s="422"/>
      <c r="C50" s="422"/>
      <c r="D50" s="422"/>
      <c r="E50" s="422"/>
      <c r="F50" s="422"/>
      <c r="G50" s="422"/>
      <c r="H50" s="422"/>
      <c r="I50" s="422"/>
      <c r="J50" s="422"/>
      <c r="K50" s="422"/>
      <c r="L50" s="422"/>
      <c r="M50" s="422"/>
      <c r="N50" s="422"/>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row>
    <row r="51" spans="1:50" x14ac:dyDescent="0.25">
      <c r="A51" s="422"/>
      <c r="B51" s="422"/>
      <c r="C51" s="422"/>
      <c r="D51" s="422"/>
      <c r="E51" s="422"/>
      <c r="F51" s="422"/>
      <c r="G51" s="422"/>
      <c r="H51" s="422"/>
      <c r="I51" s="422"/>
      <c r="J51" s="422"/>
      <c r="K51" s="422"/>
      <c r="L51" s="422"/>
      <c r="M51" s="422"/>
      <c r="N51" s="422"/>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row>
    <row r="52" spans="1:50" x14ac:dyDescent="0.25">
      <c r="A52" s="422"/>
      <c r="B52" s="422"/>
      <c r="C52" s="422"/>
      <c r="D52" s="422"/>
      <c r="E52" s="422"/>
      <c r="F52" s="422"/>
      <c r="G52" s="422"/>
      <c r="H52" s="422"/>
      <c r="I52" s="422"/>
      <c r="J52" s="422"/>
      <c r="K52" s="422"/>
      <c r="L52" s="422"/>
      <c r="M52" s="422"/>
      <c r="N52" s="422"/>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row>
    <row r="53" spans="1:50" x14ac:dyDescent="0.25">
      <c r="A53" s="422"/>
      <c r="B53" s="422"/>
      <c r="C53" s="422"/>
      <c r="D53" s="422"/>
      <c r="E53" s="422"/>
      <c r="F53" s="422"/>
      <c r="G53" s="422"/>
      <c r="H53" s="422"/>
      <c r="I53" s="422"/>
      <c r="J53" s="422"/>
      <c r="K53" s="422"/>
      <c r="L53" s="422"/>
      <c r="M53" s="422"/>
      <c r="N53" s="422"/>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row>
    <row r="54" spans="1:50" x14ac:dyDescent="0.25">
      <c r="A54" s="422"/>
      <c r="B54" s="422"/>
      <c r="C54" s="422"/>
      <c r="D54" s="422"/>
      <c r="E54" s="422"/>
      <c r="F54" s="422"/>
      <c r="G54" s="422"/>
      <c r="H54" s="422"/>
      <c r="I54" s="422"/>
      <c r="J54" s="422"/>
      <c r="K54" s="422"/>
      <c r="L54" s="422"/>
      <c r="M54" s="422"/>
      <c r="N54" s="422"/>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row>
    <row r="55" spans="1:50" x14ac:dyDescent="0.25">
      <c r="A55" s="422"/>
      <c r="B55" s="422"/>
      <c r="C55" s="422"/>
      <c r="D55" s="422"/>
      <c r="E55" s="422"/>
      <c r="F55" s="422"/>
      <c r="G55" s="422"/>
      <c r="H55" s="422"/>
      <c r="I55" s="422"/>
      <c r="J55" s="422"/>
      <c r="K55" s="422"/>
      <c r="L55" s="422"/>
      <c r="M55" s="422"/>
      <c r="N55" s="422"/>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row>
    <row r="56" spans="1:50" x14ac:dyDescent="0.25">
      <c r="A56" s="422"/>
      <c r="B56" s="422"/>
      <c r="C56" s="422"/>
      <c r="D56" s="422"/>
      <c r="E56" s="422"/>
      <c r="F56" s="422"/>
      <c r="G56" s="422"/>
      <c r="H56" s="422"/>
      <c r="I56" s="422"/>
      <c r="J56" s="422"/>
      <c r="K56" s="422"/>
      <c r="L56" s="422"/>
      <c r="M56" s="422"/>
      <c r="N56" s="422"/>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row>
    <row r="57" spans="1:50" x14ac:dyDescent="0.25">
      <c r="A57" s="422"/>
      <c r="B57" s="422"/>
      <c r="C57" s="422"/>
      <c r="D57" s="422"/>
      <c r="E57" s="422"/>
      <c r="F57" s="422"/>
      <c r="G57" s="422"/>
      <c r="H57" s="422"/>
      <c r="I57" s="422"/>
      <c r="J57" s="422"/>
      <c r="K57" s="422"/>
      <c r="L57" s="422"/>
      <c r="M57" s="422"/>
      <c r="N57" s="422"/>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row>
    <row r="58" spans="1:50" x14ac:dyDescent="0.25">
      <c r="A58" s="422"/>
      <c r="B58" s="422"/>
      <c r="C58" s="422"/>
      <c r="D58" s="422"/>
      <c r="E58" s="422"/>
      <c r="F58" s="422"/>
      <c r="G58" s="422"/>
      <c r="H58" s="422"/>
      <c r="I58" s="422"/>
      <c r="J58" s="422"/>
      <c r="K58" s="422"/>
      <c r="L58" s="422"/>
      <c r="M58" s="422"/>
      <c r="N58" s="422"/>
    </row>
    <row r="59" spans="1:50" x14ac:dyDescent="0.25">
      <c r="A59" s="422"/>
      <c r="B59" s="422"/>
      <c r="C59" s="422"/>
      <c r="D59" s="422"/>
      <c r="E59" s="422"/>
      <c r="F59" s="422"/>
      <c r="G59" s="422"/>
      <c r="H59" s="422"/>
      <c r="I59" s="422"/>
      <c r="J59" s="422"/>
      <c r="K59" s="422"/>
      <c r="L59" s="422"/>
      <c r="M59" s="422"/>
      <c r="N59" s="422"/>
    </row>
    <row r="60" spans="1:50" x14ac:dyDescent="0.25">
      <c r="A60" s="422"/>
      <c r="B60" s="422"/>
      <c r="C60" s="422"/>
      <c r="D60" s="422"/>
      <c r="E60" s="422"/>
      <c r="F60" s="422"/>
      <c r="G60" s="422"/>
      <c r="H60" s="422"/>
      <c r="I60" s="422"/>
      <c r="J60" s="422"/>
      <c r="K60" s="422"/>
      <c r="L60" s="422"/>
      <c r="M60" s="422"/>
      <c r="N60" s="422"/>
    </row>
    <row r="61" spans="1:50" x14ac:dyDescent="0.25">
      <c r="A61" s="422"/>
      <c r="B61" s="422"/>
      <c r="C61" s="422"/>
      <c r="D61" s="422"/>
      <c r="E61" s="422"/>
      <c r="F61" s="422"/>
      <c r="G61" s="422"/>
      <c r="H61" s="422"/>
      <c r="I61" s="422"/>
      <c r="J61" s="422"/>
      <c r="K61" s="422"/>
      <c r="L61" s="422"/>
      <c r="M61" s="422"/>
      <c r="N61" s="422"/>
    </row>
    <row r="62" spans="1:50" x14ac:dyDescent="0.25">
      <c r="A62" s="422"/>
      <c r="B62" s="422"/>
      <c r="C62" s="422"/>
      <c r="D62" s="422"/>
      <c r="E62" s="422"/>
      <c r="F62" s="422"/>
      <c r="G62" s="422"/>
      <c r="H62" s="422"/>
      <c r="I62" s="422"/>
      <c r="J62" s="422"/>
      <c r="K62" s="422"/>
      <c r="L62" s="422"/>
      <c r="M62" s="422"/>
      <c r="N62" s="422"/>
    </row>
    <row r="63" spans="1:50" x14ac:dyDescent="0.25">
      <c r="A63" s="422"/>
      <c r="B63" s="422"/>
      <c r="C63" s="422"/>
      <c r="D63" s="422"/>
      <c r="E63" s="422"/>
      <c r="F63" s="422"/>
      <c r="G63" s="422"/>
      <c r="H63" s="422"/>
      <c r="I63" s="422"/>
      <c r="J63" s="422"/>
      <c r="K63" s="422"/>
      <c r="L63" s="422"/>
      <c r="M63" s="422"/>
      <c r="N63" s="422"/>
    </row>
    <row r="64" spans="1:50" x14ac:dyDescent="0.25">
      <c r="A64" s="422"/>
      <c r="B64" s="422"/>
      <c r="C64" s="422"/>
      <c r="D64" s="422"/>
      <c r="E64" s="422"/>
      <c r="F64" s="422"/>
      <c r="G64" s="422"/>
      <c r="H64" s="422"/>
      <c r="I64" s="422"/>
      <c r="J64" s="422"/>
      <c r="K64" s="422"/>
      <c r="L64" s="422"/>
      <c r="M64" s="422"/>
      <c r="N64" s="422"/>
    </row>
  </sheetData>
  <mergeCells count="50">
    <mergeCell ref="A47:N64"/>
    <mergeCell ref="A2:BB2"/>
    <mergeCell ref="A3:BB3"/>
    <mergeCell ref="AW4:AZ5"/>
    <mergeCell ref="BA4:BB5"/>
    <mergeCell ref="A45:E45"/>
    <mergeCell ref="AH4:AH5"/>
    <mergeCell ref="AI4:AI5"/>
    <mergeCell ref="AJ4:AJ5"/>
    <mergeCell ref="Y4:Y5"/>
    <mergeCell ref="Z4:Z5"/>
    <mergeCell ref="AA4:AA5"/>
    <mergeCell ref="AB4:AB5"/>
    <mergeCell ref="AC4:AC5"/>
    <mergeCell ref="AD4:AD5"/>
    <mergeCell ref="S4:S5"/>
    <mergeCell ref="T4:T5"/>
    <mergeCell ref="AQ4:AQ5"/>
    <mergeCell ref="AR4:AR5"/>
    <mergeCell ref="AS4:AS5"/>
    <mergeCell ref="AT4:AT5"/>
    <mergeCell ref="AE4:AE5"/>
    <mergeCell ref="AF4:AF5"/>
    <mergeCell ref="AG4:AG5"/>
    <mergeCell ref="U4:U5"/>
    <mergeCell ref="V4:V5"/>
    <mergeCell ref="W4:W5"/>
    <mergeCell ref="X4:X5"/>
    <mergeCell ref="AU4:AU5"/>
    <mergeCell ref="AV4:AV5"/>
    <mergeCell ref="AK4:AK5"/>
    <mergeCell ref="AL4:AL5"/>
    <mergeCell ref="AM4:AM5"/>
    <mergeCell ref="AN4:AN5"/>
    <mergeCell ref="AO4:AO5"/>
    <mergeCell ref="AP4:AP5"/>
    <mergeCell ref="R4:R5"/>
    <mergeCell ref="J4:J5"/>
    <mergeCell ref="K4:K5"/>
    <mergeCell ref="L4:L5"/>
    <mergeCell ref="A4:E5"/>
    <mergeCell ref="F4:F5"/>
    <mergeCell ref="G4:G5"/>
    <mergeCell ref="H4:H5"/>
    <mergeCell ref="I4:I5"/>
    <mergeCell ref="M4:M5"/>
    <mergeCell ref="N4:N5"/>
    <mergeCell ref="O4:O5"/>
    <mergeCell ref="P4:P5"/>
    <mergeCell ref="Q4:Q5"/>
  </mergeCells>
  <conditionalFormatting sqref="AZ7:AZ44">
    <cfRule type="cellIs" dxfId="0" priority="1" operator="greaterThan">
      <formula>0.3</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
  <sheetViews>
    <sheetView workbookViewId="0">
      <selection activeCell="B4" sqref="B4"/>
    </sheetView>
  </sheetViews>
  <sheetFormatPr baseColWidth="10" defaultRowHeight="15" x14ac:dyDescent="0.25"/>
  <cols>
    <col min="2" max="2" width="50.42578125" customWidth="1"/>
  </cols>
  <sheetData>
    <row r="1" spans="1:4" ht="51" x14ac:dyDescent="0.25">
      <c r="A1" s="3" t="s">
        <v>2</v>
      </c>
      <c r="B1" s="3" t="s">
        <v>3</v>
      </c>
      <c r="C1" s="3" t="s">
        <v>4</v>
      </c>
      <c r="D1" s="3" t="s">
        <v>5</v>
      </c>
    </row>
    <row r="2" spans="1:4" ht="25.5" x14ac:dyDescent="0.25">
      <c r="A2" s="6" t="s">
        <v>17</v>
      </c>
      <c r="B2" s="7" t="s">
        <v>186</v>
      </c>
      <c r="C2" s="8" t="s">
        <v>167</v>
      </c>
      <c r="D2" s="8">
        <v>50</v>
      </c>
    </row>
    <row r="3" spans="1:4" x14ac:dyDescent="0.25">
      <c r="A3" s="6" t="s">
        <v>29</v>
      </c>
      <c r="B3" s="7" t="s">
        <v>107</v>
      </c>
      <c r="C3" s="8" t="s">
        <v>167</v>
      </c>
      <c r="D3" s="8">
        <v>100</v>
      </c>
    </row>
    <row r="4" spans="1:4" x14ac:dyDescent="0.25">
      <c r="A4" s="14" t="s">
        <v>74</v>
      </c>
      <c r="B4" s="7" t="s">
        <v>155</v>
      </c>
      <c r="C4" s="8" t="s">
        <v>167</v>
      </c>
      <c r="D4" s="8">
        <v>81</v>
      </c>
    </row>
    <row r="5" spans="1:4" ht="25.5" x14ac:dyDescent="0.25">
      <c r="A5" s="14" t="s">
        <v>80</v>
      </c>
      <c r="B5" s="7" t="s">
        <v>162</v>
      </c>
      <c r="C5" s="8" t="s">
        <v>167</v>
      </c>
      <c r="D5" s="8">
        <v>4</v>
      </c>
    </row>
  </sheetData>
  <dataValidations count="1">
    <dataValidation type="list" allowBlank="1" showInputMessage="1" showErrorMessage="1" sqref="C4:C5" xr:uid="{00000000-0002-0000-0500-000000000000}">
      <formula1>#REF!</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 PAPELERIA</vt:lpstr>
      <vt:lpstr>LOTE 2 CONSUMIBLES</vt:lpstr>
      <vt:lpstr>LOTE 3 ELEMENTOS DEPORTIVOS</vt:lpstr>
      <vt:lpstr>LOTE 4 ELEMENTOS CULTURALES</vt:lpstr>
      <vt:lpstr>LOTE 5 ELEMENTOORGANIZA COMUNAL</vt:lpstr>
      <vt:lpstr>Ítems a retirar de la cotizació</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Cepeda Galindo</dc:creator>
  <cp:keywords/>
  <dc:description/>
  <cp:lastModifiedBy>Diana Guevara</cp:lastModifiedBy>
  <cp:revision/>
  <cp:lastPrinted>2025-05-21T15:32:50Z</cp:lastPrinted>
  <dcterms:created xsi:type="dcterms:W3CDTF">2022-02-23T18:47:10Z</dcterms:created>
  <dcterms:modified xsi:type="dcterms:W3CDTF">2025-09-23T16:37:28Z</dcterms:modified>
  <cp:category/>
  <cp:contentStatus/>
</cp:coreProperties>
</file>