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03"/>
  <workbookPr/>
  <mc:AlternateContent xmlns:mc="http://schemas.openxmlformats.org/markup-compatibility/2006">
    <mc:Choice Requires="x15">
      <x15ac:absPath xmlns:x15ac="http://schemas.microsoft.com/office/spreadsheetml/2010/11/ac" url="C:\Users\lauva\OneDrive\Escritorio\MARMATO\"/>
    </mc:Choice>
  </mc:AlternateContent>
  <xr:revisionPtr revIDLastSave="0" documentId="11_8881C2286E793D22B6AC685DFAC25AC3EE3FB7C2" xr6:coauthVersionLast="47" xr6:coauthVersionMax="47" xr10:uidLastSave="{00000000-0000-0000-0000-000000000000}"/>
  <bookViews>
    <workbookView xWindow="0" yWindow="0" windowWidth="17256" windowHeight="7092" xr2:uid="{00000000-000D-0000-FFFF-FFFF00000000}"/>
  </bookViews>
  <sheets>
    <sheet name="PTO" sheetId="17" r:id="rId1"/>
    <sheet name="talleres rurales dificil acceso" sheetId="18" r:id="rId2"/>
    <sheet name="SIEMBRA EP" sheetId="10" r:id="rId3"/>
    <sheet name="siembra " sheetId="9" r:id="rId4"/>
    <sheet name="CERCA GUADUA EP" sheetId="11" r:id="rId5"/>
    <sheet name="cerca en guadua " sheetId="6" r:id="rId6"/>
    <sheet name="mano de obra " sheetId="5" r:id="rId7"/>
    <sheet name="cotizaciones " sheetId="8" r:id="rId8"/>
    <sheet name="Hoja1" sheetId="19" r:id="rId9"/>
  </sheets>
  <definedNames>
    <definedName name="_xlnm.Print_Area" localSheetId="5">'cerca en guadua '!$A$1:$F$28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7" l="1"/>
  <c r="E10" i="18" l="1"/>
  <c r="H6" i="17" l="1"/>
  <c r="B15" i="18"/>
  <c r="E15" i="18" s="1"/>
  <c r="E16" i="18" s="1"/>
  <c r="B9" i="18"/>
  <c r="E9" i="18" s="1"/>
  <c r="B8" i="18"/>
  <c r="E8" i="18" s="1"/>
  <c r="B5" i="18"/>
  <c r="E5" i="18" s="1"/>
  <c r="B4" i="18"/>
  <c r="E4" i="18" s="1"/>
  <c r="E6" i="18" s="1"/>
  <c r="E11" i="18" l="1"/>
  <c r="E12" i="18" s="1"/>
  <c r="E17" i="18" l="1"/>
  <c r="F5" i="17" s="1"/>
  <c r="H5" i="17" s="1"/>
  <c r="H7" i="17" s="1"/>
  <c r="E23" i="10" l="1"/>
  <c r="P5" i="8" l="1"/>
  <c r="P12" i="8"/>
  <c r="P13" i="8"/>
  <c r="P15" i="8"/>
  <c r="P4" i="8"/>
  <c r="L11" i="8" l="1"/>
  <c r="N9" i="8"/>
  <c r="N8" i="8"/>
  <c r="L10" i="8"/>
  <c r="L9" i="8"/>
  <c r="P9" i="8" s="1"/>
  <c r="M8" i="8"/>
  <c r="L8" i="8"/>
  <c r="L7" i="8"/>
  <c r="L6" i="8"/>
  <c r="F14" i="8" l="1"/>
  <c r="P14" i="8" s="1"/>
  <c r="C8" i="8"/>
  <c r="P8" i="8" s="1"/>
  <c r="E6" i="8"/>
  <c r="E11" i="8"/>
  <c r="E7" i="8"/>
  <c r="C6" i="8"/>
  <c r="P6" i="8" s="1"/>
  <c r="C10" i="8"/>
  <c r="P10" i="8" s="1"/>
  <c r="C7" i="8"/>
  <c r="C11" i="8"/>
  <c r="P11" i="8" s="1"/>
  <c r="P7" i="8" l="1"/>
  <c r="B13" i="11"/>
  <c r="B14" i="11"/>
  <c r="B15" i="11"/>
  <c r="B16" i="11"/>
  <c r="B17" i="11"/>
  <c r="B18" i="11"/>
  <c r="B12" i="11"/>
  <c r="B5" i="11"/>
  <c r="B6" i="11"/>
  <c r="B7" i="11"/>
  <c r="B8" i="11"/>
  <c r="B9" i="11"/>
  <c r="B4" i="11"/>
  <c r="B19" i="10"/>
  <c r="B16" i="10"/>
  <c r="B17" i="10"/>
  <c r="B18" i="10"/>
  <c r="B15" i="10"/>
  <c r="E15" i="10" s="1"/>
  <c r="B5" i="10"/>
  <c r="B6" i="10"/>
  <c r="B7" i="10"/>
  <c r="B8" i="10"/>
  <c r="B9" i="10"/>
  <c r="B10" i="10"/>
  <c r="B11" i="10"/>
  <c r="B12" i="10"/>
  <c r="B4" i="10"/>
  <c r="B15" i="9" l="1"/>
  <c r="E17" i="9"/>
  <c r="D14" i="6"/>
  <c r="E14" i="6" s="1"/>
  <c r="D18" i="6"/>
  <c r="E18" i="6" s="1"/>
  <c r="D16" i="10"/>
  <c r="E16" i="10" s="1"/>
  <c r="D17" i="10"/>
  <c r="E17" i="10" s="1"/>
  <c r="D18" i="10"/>
  <c r="E18" i="10" s="1"/>
  <c r="D19" i="10"/>
  <c r="E19" i="10" s="1"/>
  <c r="B11" i="6"/>
  <c r="E12" i="6"/>
  <c r="D11" i="5"/>
  <c r="C26" i="5" s="1"/>
  <c r="C14" i="5"/>
  <c r="C17" i="5" s="1"/>
  <c r="C19" i="5"/>
  <c r="B28" i="5"/>
  <c r="D32" i="5" s="1"/>
  <c r="C32" i="5"/>
  <c r="E32" i="5" l="1"/>
  <c r="D6" i="9"/>
  <c r="E6" i="9" s="1"/>
  <c r="D19" i="6"/>
  <c r="E19" i="6" s="1"/>
  <c r="D15" i="6"/>
  <c r="E15" i="6" s="1"/>
  <c r="C23" i="5"/>
  <c r="D9" i="6"/>
  <c r="E9" i="6" s="1"/>
  <c r="D7" i="6"/>
  <c r="E7" i="6" s="1"/>
  <c r="D19" i="9"/>
  <c r="E19" i="9" s="1"/>
  <c r="D12" i="9"/>
  <c r="E12" i="9" s="1"/>
  <c r="D10" i="9"/>
  <c r="E10" i="9" s="1"/>
  <c r="D7" i="9"/>
  <c r="E7" i="9" s="1"/>
  <c r="C22" i="5"/>
  <c r="D6" i="6"/>
  <c r="E6" i="6" s="1"/>
  <c r="D18" i="11"/>
  <c r="E18" i="11" s="1"/>
  <c r="D17" i="11"/>
  <c r="E17" i="11" s="1"/>
  <c r="D14" i="11"/>
  <c r="E14" i="11" s="1"/>
  <c r="D18" i="9"/>
  <c r="E18" i="9" s="1"/>
  <c r="D7" i="11"/>
  <c r="E7" i="11" s="1"/>
  <c r="D11" i="10"/>
  <c r="E11" i="10" s="1"/>
  <c r="D7" i="10"/>
  <c r="E7" i="10" s="1"/>
  <c r="D9" i="11"/>
  <c r="D5" i="10"/>
  <c r="E5" i="10" s="1"/>
  <c r="D4" i="11"/>
  <c r="E4" i="11" s="1"/>
  <c r="D8" i="10"/>
  <c r="E8" i="10" s="1"/>
  <c r="D6" i="11"/>
  <c r="E6" i="11" s="1"/>
  <c r="D10" i="10"/>
  <c r="E10" i="10" s="1"/>
  <c r="D6" i="10"/>
  <c r="E6" i="10" s="1"/>
  <c r="D5" i="11"/>
  <c r="E5" i="11" s="1"/>
  <c r="D9" i="10"/>
  <c r="E9" i="10" s="1"/>
  <c r="D8" i="11"/>
  <c r="E8" i="11" s="1"/>
  <c r="D12" i="10"/>
  <c r="E12" i="10" s="1"/>
  <c r="D4" i="10"/>
  <c r="E4" i="10" s="1"/>
  <c r="D10" i="6"/>
  <c r="E10" i="6" s="1"/>
  <c r="D8" i="6"/>
  <c r="E8" i="6" s="1"/>
  <c r="D21" i="9"/>
  <c r="E21" i="9" s="1"/>
  <c r="D14" i="9"/>
  <c r="E14" i="9" s="1"/>
  <c r="D11" i="9"/>
  <c r="E11" i="9" s="1"/>
  <c r="D9" i="9"/>
  <c r="E9" i="9" s="1"/>
  <c r="D13" i="11"/>
  <c r="E13" i="11" s="1"/>
  <c r="C18" i="5"/>
  <c r="D5" i="6"/>
  <c r="E5" i="6" s="1"/>
  <c r="E20" i="10"/>
  <c r="E24" i="10" s="1"/>
  <c r="E25" i="10" s="1"/>
  <c r="D20" i="9"/>
  <c r="E20" i="9" s="1"/>
  <c r="D13" i="9"/>
  <c r="E13" i="9" s="1"/>
  <c r="D8" i="9"/>
  <c r="E8" i="9" s="1"/>
  <c r="C25" i="5"/>
  <c r="C21" i="5"/>
  <c r="C24" i="5"/>
  <c r="C20" i="5"/>
  <c r="C16" i="5"/>
  <c r="C15" i="5"/>
  <c r="C28" i="5" l="1"/>
  <c r="E9" i="11"/>
  <c r="E10" i="11" s="1"/>
  <c r="E22" i="9"/>
  <c r="E26" i="9" s="1"/>
  <c r="E27" i="9" s="1"/>
  <c r="E15" i="9"/>
  <c r="E11" i="6"/>
  <c r="E22" i="6" s="1"/>
  <c r="D12" i="11"/>
  <c r="E12" i="11" s="1"/>
  <c r="D13" i="6"/>
  <c r="E13" i="6" s="1"/>
  <c r="D16" i="11"/>
  <c r="E16" i="11" s="1"/>
  <c r="D17" i="6"/>
  <c r="E17" i="6" s="1"/>
  <c r="E13" i="10"/>
  <c r="D16" i="6"/>
  <c r="E16" i="6" s="1"/>
  <c r="D15" i="11"/>
  <c r="E15" i="11" s="1"/>
  <c r="E23" i="9" l="1"/>
  <c r="E20" i="6"/>
  <c r="E19" i="11"/>
  <c r="E20" i="11" s="1"/>
  <c r="E21" i="10"/>
  <c r="E26" i="10"/>
  <c r="E21" i="11"/>
  <c r="E28" i="9"/>
  <c r="F4" i="17" l="1"/>
  <c r="G4" i="17" s="1"/>
  <c r="E31" i="9"/>
  <c r="C34" i="9" s="1"/>
  <c r="E4" i="17"/>
  <c r="E22" i="11"/>
  <c r="E23" i="11" s="1"/>
  <c r="E24" i="11" s="1"/>
  <c r="E3" i="17" s="1"/>
  <c r="E21" i="6"/>
  <c r="E23" i="6"/>
  <c r="E24" i="6" s="1"/>
  <c r="E25" i="6" s="1"/>
  <c r="F7" i="9"/>
  <c r="F10" i="9"/>
  <c r="F17" i="9"/>
  <c r="F21" i="9"/>
  <c r="F24" i="9"/>
  <c r="F28" i="9"/>
  <c r="F16" i="9"/>
  <c r="F25" i="9"/>
  <c r="F11" i="9"/>
  <c r="F18" i="9"/>
  <c r="F6" i="9"/>
  <c r="F14" i="9"/>
  <c r="F9" i="9"/>
  <c r="F15" i="9"/>
  <c r="F12" i="9"/>
  <c r="F22" i="9"/>
  <c r="F19" i="9"/>
  <c r="F13" i="9"/>
  <c r="F8" i="9"/>
  <c r="F20" i="9"/>
  <c r="F26" i="9"/>
  <c r="F23" i="9"/>
  <c r="F27" i="9"/>
  <c r="F24" i="6" l="1"/>
  <c r="F3" i="17"/>
  <c r="F8" i="6"/>
  <c r="F15" i="6"/>
  <c r="F19" i="6"/>
  <c r="E26" i="6"/>
  <c r="E2" i="6" s="1"/>
  <c r="F5" i="6"/>
  <c r="F9" i="6"/>
  <c r="F12" i="6"/>
  <c r="F25" i="6"/>
  <c r="F16" i="6"/>
  <c r="F17" i="6"/>
  <c r="F13" i="6"/>
  <c r="F10" i="6"/>
  <c r="F18" i="6"/>
  <c r="F14" i="6"/>
  <c r="F7" i="6"/>
  <c r="F6" i="6"/>
  <c r="F20" i="6"/>
  <c r="F11" i="6"/>
  <c r="F21" i="6"/>
  <c r="F22" i="6"/>
  <c r="F23" i="6"/>
  <c r="F7" i="17" l="1"/>
  <c r="G3" i="17"/>
  <c r="G7" i="17" s="1"/>
</calcChain>
</file>

<file path=xl/sharedStrings.xml><?xml version="1.0" encoding="utf-8"?>
<sst xmlns="http://schemas.openxmlformats.org/spreadsheetml/2006/main" count="302" uniqueCount="195">
  <si>
    <t>APORTE</t>
  </si>
  <si>
    <t>HA</t>
  </si>
  <si>
    <t>KM</t>
  </si>
  <si>
    <t>Número</t>
  </si>
  <si>
    <t>VALOR UNITARIO</t>
  </si>
  <si>
    <t>VALOR TOTAL</t>
  </si>
  <si>
    <t xml:space="preserve">GOBERNACIÓN </t>
  </si>
  <si>
    <t>ALCALDÍA</t>
  </si>
  <si>
    <t>AISLAMIENTO</t>
  </si>
  <si>
    <t>SIEMBRA</t>
  </si>
  <si>
    <t>TALLERES</t>
  </si>
  <si>
    <t>FORTALECIMIENTO DE VIVEROS</t>
  </si>
  <si>
    <t>DETALLE</t>
  </si>
  <si>
    <t>CANT</t>
  </si>
  <si>
    <t xml:space="preserve">UNIDAD </t>
  </si>
  <si>
    <t>COSTO UNITARIO</t>
  </si>
  <si>
    <t>COSTO TOTAL</t>
  </si>
  <si>
    <t># talleres</t>
  </si>
  <si>
    <t xml:space="preserve">1. COSTOS DIRECTOS </t>
  </si>
  <si>
    <t>1.1 PERSONAL</t>
  </si>
  <si>
    <t>Facilitador taller (incluye viaticos de un dìa)</t>
  </si>
  <si>
    <t xml:space="preserve">Taller </t>
  </si>
  <si>
    <t>Preparaciòn del taller y logistica</t>
  </si>
  <si>
    <t>SUBTOTAL PERSONAL</t>
  </si>
  <si>
    <t>1.2 MATERIALES Y EQUIPOS</t>
  </si>
  <si>
    <t>Alquiler de equipos</t>
  </si>
  <si>
    <t xml:space="preserve">Unidad </t>
  </si>
  <si>
    <t>Alimentacion asistentes</t>
  </si>
  <si>
    <t xml:space="preserve">Refrigerio </t>
  </si>
  <si>
    <t xml:space="preserve">Materiales </t>
  </si>
  <si>
    <t xml:space="preserve">SUBTOTAL INSUMOS </t>
  </si>
  <si>
    <t xml:space="preserve">SUBTOTAL DIRECTOS </t>
  </si>
  <si>
    <t xml:space="preserve">2. COSTOS INDIRECTOS </t>
  </si>
  <si>
    <t>2.1 TRANSPORTE</t>
  </si>
  <si>
    <t>Transporte FACILITADOR a zona Rural</t>
  </si>
  <si>
    <t xml:space="preserve">dia </t>
  </si>
  <si>
    <t xml:space="preserve">SUBTOTAL INDIRECTOS </t>
  </si>
  <si>
    <t xml:space="preserve">COSTO TOTAL </t>
  </si>
  <si>
    <t>ACTIVIDAD</t>
  </si>
  <si>
    <t>UNIDAD</t>
  </si>
  <si>
    <t># HA</t>
  </si>
  <si>
    <t xml:space="preserve">1.1 MANO DE OBRA </t>
  </si>
  <si>
    <t>ROCERIA ALTA para adecuación</t>
  </si>
  <si>
    <t>Jornal</t>
  </si>
  <si>
    <t xml:space="preserve">TRAZO </t>
  </si>
  <si>
    <t>AHOYADO</t>
  </si>
  <si>
    <t>PLATEO.</t>
  </si>
  <si>
    <t>FERTILIZACION</t>
  </si>
  <si>
    <t xml:space="preserve">RESIEMBRA </t>
  </si>
  <si>
    <t>TRANSPORTE (menor)</t>
  </si>
  <si>
    <t xml:space="preserve">CONTROL FITOSANITARIO </t>
  </si>
  <si>
    <t>SUBTOTAL MO</t>
  </si>
  <si>
    <t xml:space="preserve">1.2 INSUMOS </t>
  </si>
  <si>
    <t>PLANTULAS (incluye 10% pérdidas)</t>
  </si>
  <si>
    <t>PLANTULA</t>
  </si>
  <si>
    <t>FERTILIZANTE ORGANICO (250 GR /Plantula)</t>
  </si>
  <si>
    <t>Kg</t>
  </si>
  <si>
    <t>CONTROLADOR ORGANICO DE DEFOLIADORES</t>
  </si>
  <si>
    <t>litro</t>
  </si>
  <si>
    <t>FERTILIZANTE LIQUIDO ORGANICO</t>
  </si>
  <si>
    <t>CAL DOLOMITA (300gr/planta)</t>
  </si>
  <si>
    <t xml:space="preserve">        HERRAMIENTAS</t>
  </si>
  <si>
    <t xml:space="preserve">TRANSPORTE GENERAL DE LOS  INSUMOS (30%COSTO INSUMOS) </t>
  </si>
  <si>
    <t>COSTO TOTAL ESTABLECIMIENTO</t>
  </si>
  <si>
    <t xml:space="preserve">ACCIONES DE RESTAURACIÓN POR HECTAREA </t>
  </si>
  <si>
    <t>Actividad</t>
  </si>
  <si>
    <t>Cantidad</t>
  </si>
  <si>
    <t>Costo Unitario</t>
  </si>
  <si>
    <t>Costo total</t>
  </si>
  <si>
    <t>DETALLE /Densidad de siembra 500 árboles/ha)</t>
  </si>
  <si>
    <t>CANT/Ha</t>
  </si>
  <si>
    <t>VALOR/UNIT</t>
  </si>
  <si>
    <t>TOTAL</t>
  </si>
  <si>
    <t>%</t>
  </si>
  <si>
    <t xml:space="preserve">      ROCERIA ALTA para adecuación</t>
  </si>
  <si>
    <t xml:space="preserve">        TRAZO </t>
  </si>
  <si>
    <t xml:space="preserve">      AHOYADO</t>
  </si>
  <si>
    <t xml:space="preserve">      PLATEO.</t>
  </si>
  <si>
    <t xml:space="preserve">      FERTILIZACION</t>
  </si>
  <si>
    <t xml:space="preserve">      SIEMBRA</t>
  </si>
  <si>
    <t xml:space="preserve">      RESIEMBRA </t>
  </si>
  <si>
    <t xml:space="preserve">      TRANSPORTE (menor)</t>
  </si>
  <si>
    <t xml:space="preserve">      CONTROL FITOSANITARIO </t>
  </si>
  <si>
    <t xml:space="preserve">      PLANTULAS (incluye 10% pérdidas) (incentivo para implementación de viveros comunitarios) </t>
  </si>
  <si>
    <t xml:space="preserve">       FERTILIZANTE ORGANICO (250 GR /Plantula) gallinaza compostada bulto por 50 kg </t>
  </si>
  <si>
    <t>KGR</t>
  </si>
  <si>
    <t xml:space="preserve">CONTROLADOR ORGANICO DE DEFOLIADORES x litro </t>
  </si>
  <si>
    <t>FERTILIZANTE LIQUIDO ORGANICO (litro)</t>
  </si>
  <si>
    <t>LTS</t>
  </si>
  <si>
    <t xml:space="preserve">      CAL DOLOMITA (300gr/planta)</t>
  </si>
  <si>
    <t xml:space="preserve">        HERRAMIENTAS   (5% MO)</t>
  </si>
  <si>
    <t xml:space="preserve">       TRANSPORTE GENERAL DE LOS  INSUMOS (30%COSTO INSUMOS) </t>
  </si>
  <si>
    <t>COSTO TOTAL ESTABLECIMIENTO X HAS</t>
  </si>
  <si>
    <t>VR UNITARIO POR HA</t>
  </si>
  <si>
    <t xml:space="preserve">ARBOL </t>
  </si>
  <si>
    <r>
      <rPr>
        <b/>
        <sz val="10"/>
        <rFont val="Arial"/>
        <family val="2"/>
      </rPr>
      <t>OBSERVACIÓN:</t>
    </r>
    <r>
      <rPr>
        <sz val="10"/>
        <rFont val="Arial"/>
        <family val="2"/>
      </rPr>
      <t xml:space="preserve">  
- Se establecerán 500 árboles en surcos cada 6 metros y a una distancia de 3 metros entre árbol. No se deben realizar rocerías completas; unicamente se debe realizar la rocería en los surcos a intervenir.
- Se deben establecer minimo cinco especies por hectarea, de las cuales minimo una especie debe ser frutal. Las especies deben ser acordes a las condiciones climaticas de la zona y a la presencia de las mismas en el paisaje. 
- Los árboles a sembrar tendrán una altura entre 0,25 -  0,30. Bien lignificados la bolsa de siembra es de minimo 1 kilo, plántulas vigorosas y sin problemas fitosanitarios.
- 
- El valor del transporte incluye: el transporte en vehículo automotor hasta 25 km de distancia del centro poblado, incluye el transporte No automotor y al hombro fuerte pendiente hasta una distancia de 5 kms de la carretera. </t>
    </r>
  </si>
  <si>
    <t>#Km</t>
  </si>
  <si>
    <t xml:space="preserve">      TRAZO Y ROCERÍA</t>
  </si>
  <si>
    <t xml:space="preserve">      HINCADO</t>
  </si>
  <si>
    <t xml:space="preserve">      TEMPLADO Y GRAPADO</t>
  </si>
  <si>
    <t xml:space="preserve">      PINTADA</t>
  </si>
  <si>
    <t xml:space="preserve">POSTES DE GUADUA DE 2 M X DIAMETRO MINIMO DE 10 CM </t>
  </si>
  <si>
    <t>POSTE</t>
  </si>
  <si>
    <t xml:space="preserve">ALAMBRE CALIBRE 14 X 350 M </t>
  </si>
  <si>
    <t>ROLLO</t>
  </si>
  <si>
    <t>PINTURA AMARILLA ESMALTE</t>
  </si>
  <si>
    <t>GALON</t>
  </si>
  <si>
    <t>IMPERMEABILIZANTE(TIPO VARETA)</t>
  </si>
  <si>
    <t>DISOLVENTE PARA PINTURA E IMPERMEABILIZANTE</t>
  </si>
  <si>
    <t>GRAPAS de 3"</t>
  </si>
  <si>
    <t>KILO</t>
  </si>
  <si>
    <t>PUNTILLAS DE 3 PULGADAS</t>
  </si>
  <si>
    <t>HERRAMIENTAS   (5% MO)</t>
  </si>
  <si>
    <t xml:space="preserve">AISLAMEINTO EN GUADUA CON CERCA INERTE VALOR POR KM </t>
  </si>
  <si>
    <t>CERCA INERTE (Establecimiento de franja amarilla en áreas de interés ambiental)</t>
  </si>
  <si>
    <t>V/TOTAL</t>
  </si>
  <si>
    <t xml:space="preserve">1. MANO DE OBRA </t>
  </si>
  <si>
    <t>SMLV</t>
  </si>
  <si>
    <t>Subtotal mano de obra</t>
  </si>
  <si>
    <t xml:space="preserve">1.2    INSUMOS </t>
  </si>
  <si>
    <t>LIBRAS</t>
  </si>
  <si>
    <t xml:space="preserve">Subtotal insumos </t>
  </si>
  <si>
    <t>2   Costos Indirectos</t>
  </si>
  <si>
    <t>Subtotal costos indirectos</t>
  </si>
  <si>
    <t xml:space="preserve">TOTAL COSTOS </t>
  </si>
  <si>
    <r>
      <rPr>
        <b/>
        <sz val="10"/>
        <rFont val="Arial"/>
        <family val="2"/>
      </rPr>
      <t xml:space="preserve">Observaciones: </t>
    </r>
    <r>
      <rPr>
        <sz val="10"/>
        <rFont val="Arial"/>
        <family val="2"/>
      </rPr>
      <t xml:space="preserve">
- Los postes de guadua deben ser de cepa, basa y sobrebasa y que cuenten con permiso de aprovechamiento forestal.
- Los postes deben tener un mínimo de 10 cms de diámetro y 2 metros de longitud.
- El estacón de guadua debe tener en su parte superior un corte recto y a ras del entrenudo para evitar el empocillamiento de guadua.
- El valor del transporte incluye: el transporte en vehículo automotor hasta 25 km de distancia del centro poblado, incluye el transporte No automotor y al hombro fuerte pendiente hasta una distancia de 5 kms de la carretera. </t>
    </r>
  </si>
  <si>
    <t xml:space="preserve">ESPECIFICACIONES TECNICAS </t>
  </si>
  <si>
    <t>ESPECIFICACION</t>
  </si>
  <si>
    <t xml:space="preserve">CANTIDAD </t>
  </si>
  <si>
    <t xml:space="preserve">Postes cada 2.5 mts </t>
  </si>
  <si>
    <t>poste</t>
  </si>
  <si>
    <t xml:space="preserve">Pies de amigo cada 30 metros </t>
  </si>
  <si>
    <t>Tres hilos de alambre calibre 14*</t>
  </si>
  <si>
    <t>rollo</t>
  </si>
  <si>
    <t xml:space="preserve">Hoyos de 0.5 m de profundidad por 0,4O x 0.4O m </t>
  </si>
  <si>
    <t xml:space="preserve">hoyos </t>
  </si>
  <si>
    <t xml:space="preserve">* Rollo de 350 metros </t>
  </si>
  <si>
    <t>CÁLCULOS PARA MANO DE OBRA</t>
  </si>
  <si>
    <t>GRUPO DE BIODIVERSIDAD Y ECOSISTEMAS</t>
  </si>
  <si>
    <t>DOTACION LABORAL</t>
  </si>
  <si>
    <t>AÑO</t>
  </si>
  <si>
    <t>Guantes</t>
  </si>
  <si>
    <t>SMLMV:</t>
  </si>
  <si>
    <t>Botas</t>
  </si>
  <si>
    <t>SUBSIDIO TRANSPORTE</t>
  </si>
  <si>
    <t>Gafas</t>
  </si>
  <si>
    <t>DIAS LABORALES MES</t>
  </si>
  <si>
    <t>Chalecos Visibilidad</t>
  </si>
  <si>
    <t>HORAS LABORALES POR DIA</t>
  </si>
  <si>
    <t>Cascos con barbuquejo</t>
  </si>
  <si>
    <t>ANALISIS DE PRESTACIONES SOCIALES PERSONAL CON SALARIO INFERIOR A 2 SMMV, VALIDO PARA OFICIALES Y AYUDANTES</t>
  </si>
  <si>
    <t>COSTO TRABAJADOR MENSUAL</t>
  </si>
  <si>
    <t xml:space="preserve">SALARIO </t>
  </si>
  <si>
    <t>CESANTIAS</t>
  </si>
  <si>
    <t>VACACIONES</t>
  </si>
  <si>
    <t>PRIMA DE SERVICIOS</t>
  </si>
  <si>
    <t xml:space="preserve">INTERESES A LAS CESANTIAS </t>
  </si>
  <si>
    <t>SUBSIDIO DE TRANSPORTE</t>
  </si>
  <si>
    <t>APORTES SALUD</t>
  </si>
  <si>
    <t>APORTES RIESGOS PROFESIONALES</t>
  </si>
  <si>
    <t>APORTES PENSION</t>
  </si>
  <si>
    <t>APORTE SENA</t>
  </si>
  <si>
    <t>APORTE ICBF</t>
  </si>
  <si>
    <t>APORTE CCF</t>
  </si>
  <si>
    <t>DOTACION DE LABOR</t>
  </si>
  <si>
    <t>TOTAL PRESTACIONES SOCIALES</t>
  </si>
  <si>
    <t>DESCRIPCION DE MANO DE OBRA</t>
  </si>
  <si>
    <t>UN</t>
  </si>
  <si>
    <t>VR DIA</t>
  </si>
  <si>
    <t>FACTOR</t>
  </si>
  <si>
    <t>VR DIA INTEGRAL</t>
  </si>
  <si>
    <t>OBRERO CON PRESTACIONES</t>
  </si>
  <si>
    <t xml:space="preserve">DETALLE DE PRODUCTO </t>
  </si>
  <si>
    <t>ALMACEN DEL CAFÉ</t>
  </si>
  <si>
    <t>MADERAS DE OCCIDENTE</t>
  </si>
  <si>
    <t>TIERRAGRO</t>
  </si>
  <si>
    <t>EL POTRERO</t>
  </si>
  <si>
    <t>HOMECENTER</t>
  </si>
  <si>
    <t>MADERA JARAMILLO</t>
  </si>
  <si>
    <t>INMUNIZAR</t>
  </si>
  <si>
    <t xml:space="preserve"> EASY</t>
  </si>
  <si>
    <t>SUPRATECH</t>
  </si>
  <si>
    <t>SAN PEDRO ORGANICOS S.A.S.</t>
  </si>
  <si>
    <t>CONSTRUYAMOS</t>
  </si>
  <si>
    <t>EL CAMPESINO</t>
  </si>
  <si>
    <t>ZULUAGA FERRETEROS</t>
  </si>
  <si>
    <t>CORPORACIÓN EJE CAFÉ</t>
  </si>
  <si>
    <t xml:space="preserve">V/L PROMEDIO </t>
  </si>
  <si>
    <t>POSTES DE GUADUA DE 2M X DIAMETRO MINIMO DE 10 CM</t>
  </si>
  <si>
    <t xml:space="preserve">POSTES DE MADERA DE 2M 4 CARAS </t>
  </si>
  <si>
    <t>ALAMBRE CALIBRE 14 X 350 M DE 10 X10</t>
  </si>
  <si>
    <t>IMPERMEABILIZANTE (TIPO VARETA)*5GL</t>
  </si>
  <si>
    <t>FERTILIZANTE ORGANICO (250 GR/Plántula) gallinaza compostada bulto por 50 kg</t>
  </si>
  <si>
    <t>CONTROLADOR ORGANICO DE DEFOLIADORES x litro</t>
  </si>
  <si>
    <t>CAL DOLOMITA (300gr/planta)*50K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</si>
</sst>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&quot;$&quot;\ #,##0"/>
    <numFmt numFmtId="167" formatCode="0.0%"/>
    <numFmt numFmtId="168" formatCode="_-&quot;$&quot;\ * #,##0.0_-;\-&quot;$&quot;\ * #,##0.0_-;_-&quot;$&quot;\ * &quot;-&quot;?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5" fillId="6" borderId="0" applyNumberFormat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</cellStyleXfs>
  <cellXfs count="178">
    <xf numFmtId="0" fontId="0" fillId="0" borderId="0" xfId="0"/>
    <xf numFmtId="165" fontId="0" fillId="0" borderId="0" xfId="0" applyNumberFormat="1"/>
    <xf numFmtId="0" fontId="3" fillId="0" borderId="2" xfId="0" applyFont="1" applyBorder="1"/>
    <xf numFmtId="0" fontId="3" fillId="0" borderId="0" xfId="0" applyFont="1"/>
    <xf numFmtId="3" fontId="3" fillId="0" borderId="0" xfId="0" applyNumberFormat="1" applyFont="1"/>
    <xf numFmtId="0" fontId="3" fillId="0" borderId="2" xfId="0" applyFont="1" applyBorder="1" applyAlignment="1">
      <alignment horizontal="left" wrapText="1"/>
    </xf>
    <xf numFmtId="0" fontId="3" fillId="0" borderId="2" xfId="0" applyFont="1" applyBorder="1" applyAlignment="1">
      <alignment wrapText="1"/>
    </xf>
    <xf numFmtId="9" fontId="3" fillId="0" borderId="2" xfId="2" applyFont="1" applyBorder="1"/>
    <xf numFmtId="165" fontId="3" fillId="0" borderId="0" xfId="0" applyNumberFormat="1" applyFont="1"/>
    <xf numFmtId="165" fontId="3" fillId="3" borderId="2" xfId="1" applyNumberFormat="1" applyFont="1" applyFill="1" applyBorder="1"/>
    <xf numFmtId="0" fontId="4" fillId="4" borderId="2" xfId="0" applyFont="1" applyFill="1" applyBorder="1" applyAlignment="1">
      <alignment horizontal="center"/>
    </xf>
    <xf numFmtId="10" fontId="7" fillId="0" borderId="2" xfId="0" applyNumberFormat="1" applyFont="1" applyBorder="1"/>
    <xf numFmtId="3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/>
    <xf numFmtId="0" fontId="7" fillId="7" borderId="6" xfId="0" applyFont="1" applyFill="1" applyBorder="1" applyAlignment="1">
      <alignment horizontal="center"/>
    </xf>
    <xf numFmtId="0" fontId="7" fillId="0" borderId="0" xfId="0" applyFont="1"/>
    <xf numFmtId="10" fontId="10" fillId="8" borderId="2" xfId="5" applyNumberFormat="1" applyFont="1" applyFill="1" applyBorder="1"/>
    <xf numFmtId="0" fontId="10" fillId="8" borderId="2" xfId="6" applyFont="1" applyFill="1" applyBorder="1" applyAlignment="1">
      <alignment wrapText="1"/>
    </xf>
    <xf numFmtId="0" fontId="10" fillId="8" borderId="2" xfId="6" applyFont="1" applyFill="1" applyBorder="1"/>
    <xf numFmtId="167" fontId="10" fillId="8" borderId="2" xfId="5" applyNumberFormat="1" applyFont="1" applyFill="1" applyBorder="1"/>
    <xf numFmtId="0" fontId="10" fillId="0" borderId="2" xfId="6" applyFont="1" applyBorder="1"/>
    <xf numFmtId="166" fontId="7" fillId="0" borderId="2" xfId="0" applyNumberFormat="1" applyFont="1" applyBorder="1" applyAlignment="1">
      <alignment horizontal="center" vertical="center"/>
    </xf>
    <xf numFmtId="0" fontId="12" fillId="0" borderId="2" xfId="7" applyFont="1" applyBorder="1" applyAlignment="1">
      <alignment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3" fillId="0" borderId="2" xfId="7" applyFont="1" applyBorder="1" applyAlignment="1">
      <alignment wrapText="1"/>
    </xf>
    <xf numFmtId="0" fontId="7" fillId="0" borderId="4" xfId="0" applyFont="1" applyBorder="1" applyAlignment="1">
      <alignment horizontal="center" vertical="center"/>
    </xf>
    <xf numFmtId="0" fontId="8" fillId="7" borderId="2" xfId="0" applyFont="1" applyFill="1" applyBorder="1" applyAlignment="1">
      <alignment vertical="center" wrapText="1"/>
    </xf>
    <xf numFmtId="0" fontId="8" fillId="7" borderId="2" xfId="0" applyFont="1" applyFill="1" applyBorder="1" applyAlignment="1">
      <alignment vertical="center"/>
    </xf>
    <xf numFmtId="166" fontId="7" fillId="0" borderId="4" xfId="0" applyNumberFormat="1" applyFont="1" applyBorder="1" applyAlignment="1">
      <alignment horizontal="center" vertical="center"/>
    </xf>
    <xf numFmtId="0" fontId="8" fillId="7" borderId="2" xfId="0" applyFont="1" applyFill="1" applyBorder="1" applyAlignment="1">
      <alignment horizontal="left" vertical="center"/>
    </xf>
    <xf numFmtId="0" fontId="13" fillId="0" borderId="2" xfId="7" applyFont="1" applyBorder="1"/>
    <xf numFmtId="0" fontId="8" fillId="7" borderId="2" xfId="0" applyFont="1" applyFill="1" applyBorder="1" applyAlignment="1">
      <alignment horizontal="left"/>
    </xf>
    <xf numFmtId="0" fontId="9" fillId="0" borderId="2" xfId="0" applyFont="1" applyBorder="1"/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/>
    </xf>
    <xf numFmtId="0" fontId="9" fillId="0" borderId="0" xfId="0" applyFont="1"/>
    <xf numFmtId="0" fontId="15" fillId="0" borderId="0" xfId="0" applyFont="1" applyAlignment="1">
      <alignment horizontal="left"/>
    </xf>
    <xf numFmtId="0" fontId="9" fillId="0" borderId="0" xfId="0" applyFont="1" applyAlignment="1">
      <alignment wrapText="1"/>
    </xf>
    <xf numFmtId="9" fontId="3" fillId="2" borderId="11" xfId="0" applyNumberFormat="1" applyFont="1" applyFill="1" applyBorder="1"/>
    <xf numFmtId="165" fontId="3" fillId="2" borderId="11" xfId="0" applyNumberFormat="1" applyFont="1" applyFill="1" applyBorder="1"/>
    <xf numFmtId="0" fontId="3" fillId="2" borderId="11" xfId="0" applyFont="1" applyFill="1" applyBorder="1"/>
    <xf numFmtId="0" fontId="16" fillId="2" borderId="12" xfId="0" applyFont="1" applyFill="1" applyBorder="1"/>
    <xf numFmtId="9" fontId="4" fillId="4" borderId="2" xfId="2" applyFont="1" applyFill="1" applyBorder="1"/>
    <xf numFmtId="165" fontId="4" fillId="9" borderId="2" xfId="0" applyNumberFormat="1" applyFont="1" applyFill="1" applyBorder="1"/>
    <xf numFmtId="165" fontId="4" fillId="4" borderId="2" xfId="1" applyNumberFormat="1" applyFont="1" applyFill="1" applyBorder="1"/>
    <xf numFmtId="0" fontId="4" fillId="4" borderId="2" xfId="0" applyFont="1" applyFill="1" applyBorder="1"/>
    <xf numFmtId="165" fontId="4" fillId="4" borderId="2" xfId="0" applyNumberFormat="1" applyFont="1" applyFill="1" applyBorder="1"/>
    <xf numFmtId="9" fontId="4" fillId="3" borderId="2" xfId="2" applyFont="1" applyFill="1" applyBorder="1"/>
    <xf numFmtId="165" fontId="4" fillId="3" borderId="2" xfId="0" applyNumberFormat="1" applyFont="1" applyFill="1" applyBorder="1"/>
    <xf numFmtId="165" fontId="4" fillId="3" borderId="2" xfId="1" applyNumberFormat="1" applyFont="1" applyFill="1" applyBorder="1"/>
    <xf numFmtId="0" fontId="4" fillId="3" borderId="2" xfId="0" applyFont="1" applyFill="1" applyBorder="1"/>
    <xf numFmtId="165" fontId="3" fillId="0" borderId="2" xfId="0" applyNumberFormat="1" applyFont="1" applyBorder="1"/>
    <xf numFmtId="165" fontId="3" fillId="0" borderId="2" xfId="1" applyNumberFormat="1" applyFont="1" applyFill="1" applyBorder="1"/>
    <xf numFmtId="165" fontId="4" fillId="0" borderId="2" xfId="0" applyNumberFormat="1" applyFont="1" applyBorder="1"/>
    <xf numFmtId="0" fontId="4" fillId="0" borderId="2" xfId="0" applyFont="1" applyBorder="1"/>
    <xf numFmtId="0" fontId="3" fillId="3" borderId="2" xfId="0" applyFont="1" applyFill="1" applyBorder="1"/>
    <xf numFmtId="165" fontId="3" fillId="0" borderId="2" xfId="1" applyNumberFormat="1" applyFont="1" applyFill="1" applyBorder="1" applyAlignment="1">
      <alignment vertical="top"/>
    </xf>
    <xf numFmtId="0" fontId="3" fillId="0" borderId="2" xfId="0" applyFont="1" applyBorder="1" applyAlignment="1">
      <alignment vertical="top"/>
    </xf>
    <xf numFmtId="164" fontId="4" fillId="0" borderId="2" xfId="0" applyNumberFormat="1" applyFont="1" applyBorder="1"/>
    <xf numFmtId="0" fontId="15" fillId="0" borderId="0" xfId="0" applyFont="1"/>
    <xf numFmtId="0" fontId="17" fillId="0" borderId="0" xfId="0" applyFont="1"/>
    <xf numFmtId="0" fontId="18" fillId="0" borderId="2" xfId="0" applyFont="1" applyBorder="1" applyAlignment="1">
      <alignment vertical="center" wrapText="1"/>
    </xf>
    <xf numFmtId="165" fontId="17" fillId="0" borderId="2" xfId="1" applyNumberFormat="1" applyFont="1" applyBorder="1" applyAlignment="1">
      <alignment vertical="center" wrapText="1"/>
    </xf>
    <xf numFmtId="165" fontId="17" fillId="0" borderId="0" xfId="1" applyNumberFormat="1" applyFont="1"/>
    <xf numFmtId="3" fontId="15" fillId="10" borderId="0" xfId="0" applyNumberFormat="1" applyFont="1" applyFill="1" applyAlignment="1">
      <alignment horizontal="center"/>
    </xf>
    <xf numFmtId="165" fontId="15" fillId="10" borderId="19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9" fontId="3" fillId="0" borderId="0" xfId="0" applyNumberFormat="1" applyFont="1"/>
    <xf numFmtId="0" fontId="3" fillId="3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168" fontId="0" fillId="0" borderId="0" xfId="0" applyNumberFormat="1"/>
    <xf numFmtId="0" fontId="4" fillId="0" borderId="2" xfId="0" applyFont="1" applyBorder="1" applyAlignment="1">
      <alignment horizontal="center" wrapText="1"/>
    </xf>
    <xf numFmtId="0" fontId="4" fillId="0" borderId="2" xfId="3" applyFont="1" applyFill="1" applyBorder="1" applyAlignment="1">
      <alignment horizontal="center"/>
    </xf>
    <xf numFmtId="0" fontId="4" fillId="0" borderId="2" xfId="3" applyFont="1" applyFill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2" fillId="11" borderId="2" xfId="3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5" fontId="1" fillId="0" borderId="2" xfId="1" applyNumberFormat="1" applyFont="1" applyFill="1" applyBorder="1"/>
    <xf numFmtId="165" fontId="1" fillId="0" borderId="2" xfId="0" applyNumberFormat="1" applyFont="1" applyBorder="1"/>
    <xf numFmtId="165" fontId="2" fillId="0" borderId="2" xfId="0" applyNumberFormat="1" applyFont="1" applyBorder="1"/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left" wrapText="1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vertical="top"/>
    </xf>
    <xf numFmtId="165" fontId="1" fillId="0" borderId="2" xfId="1" applyNumberFormat="1" applyFont="1" applyFill="1" applyBorder="1" applyAlignment="1">
      <alignment vertical="top"/>
    </xf>
    <xf numFmtId="0" fontId="8" fillId="7" borderId="6" xfId="0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10" fontId="7" fillId="0" borderId="2" xfId="0" applyNumberFormat="1" applyFont="1" applyBorder="1" applyAlignment="1">
      <alignment horizontal="center" vertical="center"/>
    </xf>
    <xf numFmtId="0" fontId="7" fillId="11" borderId="6" xfId="0" applyFont="1" applyFill="1" applyBorder="1"/>
    <xf numFmtId="0" fontId="2" fillId="0" borderId="4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165" fontId="17" fillId="0" borderId="0" xfId="0" applyNumberFormat="1" applyFont="1"/>
    <xf numFmtId="165" fontId="17" fillId="0" borderId="2" xfId="1" applyNumberFormat="1" applyFont="1" applyFill="1" applyBorder="1" applyAlignment="1">
      <alignment vertical="center" wrapText="1"/>
    </xf>
    <xf numFmtId="0" fontId="18" fillId="7" borderId="1" xfId="0" applyFont="1" applyFill="1" applyBorder="1" applyAlignment="1">
      <alignment horizontal="center" wrapText="1"/>
    </xf>
    <xf numFmtId="0" fontId="18" fillId="7" borderId="2" xfId="0" applyFont="1" applyFill="1" applyBorder="1" applyAlignment="1">
      <alignment wrapText="1"/>
    </xf>
    <xf numFmtId="164" fontId="17" fillId="0" borderId="2" xfId="0" applyNumberFormat="1" applyFont="1" applyBorder="1"/>
    <xf numFmtId="0" fontId="18" fillId="7" borderId="1" xfId="0" applyFont="1" applyFill="1" applyBorder="1" applyAlignment="1">
      <alignment wrapText="1"/>
    </xf>
    <xf numFmtId="164" fontId="0" fillId="0" borderId="0" xfId="1" applyFont="1"/>
    <xf numFmtId="0" fontId="3" fillId="0" borderId="2" xfId="8" applyFont="1" applyBorder="1" applyAlignment="1">
      <alignment horizontal="center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1" fillId="0" borderId="2" xfId="1" applyNumberFormat="1" applyFont="1" applyFill="1" applyBorder="1" applyAlignment="1">
      <alignment vertical="center"/>
    </xf>
    <xf numFmtId="165" fontId="1" fillId="0" borderId="2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0" fillId="0" borderId="2" xfId="0" applyBorder="1"/>
    <xf numFmtId="0" fontId="2" fillId="0" borderId="2" xfId="0" applyFont="1" applyBorder="1" applyAlignment="1">
      <alignment wrapText="1"/>
    </xf>
    <xf numFmtId="165" fontId="0" fillId="0" borderId="2" xfId="1" applyNumberFormat="1" applyFont="1" applyBorder="1"/>
    <xf numFmtId="164" fontId="0" fillId="0" borderId="2" xfId="1" applyFont="1" applyBorder="1"/>
    <xf numFmtId="0" fontId="0" fillId="0" borderId="2" xfId="0" applyBorder="1" applyAlignment="1">
      <alignment wrapText="1"/>
    </xf>
    <xf numFmtId="164" fontId="0" fillId="0" borderId="2" xfId="0" applyNumberFormat="1" applyBorder="1"/>
    <xf numFmtId="164" fontId="0" fillId="12" borderId="2" xfId="0" applyNumberFormat="1" applyFill="1" applyBorder="1"/>
    <xf numFmtId="165" fontId="0" fillId="0" borderId="2" xfId="0" applyNumberFormat="1" applyBorder="1" applyAlignment="1">
      <alignment vertical="center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4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3" borderId="2" xfId="4" applyFont="1" applyFill="1" applyBorder="1" applyAlignment="1">
      <alignment horizontal="center" vertical="center" wrapText="1"/>
    </xf>
    <xf numFmtId="3" fontId="15" fillId="10" borderId="18" xfId="0" applyNumberFormat="1" applyFont="1" applyFill="1" applyBorder="1" applyAlignment="1">
      <alignment horizontal="center"/>
    </xf>
    <xf numFmtId="3" fontId="15" fillId="10" borderId="17" xfId="0" applyNumberFormat="1" applyFont="1" applyFill="1" applyBorder="1" applyAlignment="1">
      <alignment horizontal="center"/>
    </xf>
    <xf numFmtId="3" fontId="15" fillId="10" borderId="16" xfId="0" applyNumberFormat="1" applyFont="1" applyFill="1" applyBorder="1" applyAlignment="1">
      <alignment horizontal="center"/>
    </xf>
    <xf numFmtId="3" fontId="15" fillId="10" borderId="15" xfId="0" applyNumberFormat="1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 vertical="top" wrapText="1"/>
    </xf>
    <xf numFmtId="0" fontId="9" fillId="3" borderId="0" xfId="0" applyFont="1" applyFill="1" applyAlignment="1">
      <alignment horizontal="center" vertical="top" wrapText="1"/>
    </xf>
    <xf numFmtId="0" fontId="4" fillId="3" borderId="3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 vertical="top" wrapText="1"/>
    </xf>
    <xf numFmtId="0" fontId="9" fillId="3" borderId="11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166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11" fillId="7" borderId="2" xfId="6" applyFont="1" applyFill="1" applyBorder="1" applyAlignment="1">
      <alignment horizontal="center" vertical="center" wrapText="1"/>
    </xf>
    <xf numFmtId="0" fontId="11" fillId="7" borderId="4" xfId="6" applyFont="1" applyFill="1" applyBorder="1" applyAlignment="1">
      <alignment horizontal="center" vertical="center" wrapText="1"/>
    </xf>
    <xf numFmtId="0" fontId="11" fillId="7" borderId="5" xfId="6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166" fontId="6" fillId="0" borderId="4" xfId="0" applyNumberFormat="1" applyFont="1" applyBorder="1" applyAlignment="1">
      <alignment horizontal="center"/>
    </xf>
    <xf numFmtId="166" fontId="6" fillId="0" borderId="5" xfId="0" applyNumberFormat="1" applyFont="1" applyBorder="1" applyAlignment="1">
      <alignment horizontal="center"/>
    </xf>
  </cellXfs>
  <cellStyles count="9">
    <cellStyle name="20% - Énfasis1" xfId="3" builtinId="30"/>
    <cellStyle name="60% - Énfasis1" xfId="4" builtinId="32"/>
    <cellStyle name="Moneda" xfId="1" builtinId="4"/>
    <cellStyle name="Normal" xfId="0" builtinId="0"/>
    <cellStyle name="Normal 2" xfId="7" xr:uid="{00000000-0005-0000-0000-000004000000}"/>
    <cellStyle name="Normal 3" xfId="6" xr:uid="{00000000-0005-0000-0000-000005000000}"/>
    <cellStyle name="Normal 4" xfId="8" xr:uid="{00000000-0005-0000-0000-000006000000}"/>
    <cellStyle name="Porcentaje" xfId="2" builtinId="5"/>
    <cellStyle name="Porcentaje 2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H11" sqref="H11"/>
    </sheetView>
  </sheetViews>
  <sheetFormatPr defaultColWidth="11.42578125" defaultRowHeight="14.45"/>
  <cols>
    <col min="1" max="1" width="22.7109375" customWidth="1"/>
    <col min="2" max="2" width="5.85546875" customWidth="1"/>
    <col min="3" max="3" width="7.42578125" customWidth="1"/>
    <col min="4" max="4" width="7.85546875" bestFit="1" customWidth="1"/>
    <col min="5" max="6" width="15.5703125" bestFit="1" customWidth="1"/>
    <col min="7" max="8" width="15.28515625" bestFit="1" customWidth="1"/>
  </cols>
  <sheetData>
    <row r="1" spans="1:8">
      <c r="A1" s="124"/>
      <c r="B1" s="125"/>
      <c r="C1" s="125"/>
      <c r="D1" s="125"/>
      <c r="E1" s="125"/>
      <c r="F1" s="125"/>
      <c r="G1" s="132" t="s">
        <v>0</v>
      </c>
      <c r="H1" s="132"/>
    </row>
    <row r="2" spans="1:8" ht="28.9">
      <c r="A2" s="124"/>
      <c r="B2" s="125" t="s">
        <v>1</v>
      </c>
      <c r="C2" s="125" t="s">
        <v>2</v>
      </c>
      <c r="D2" s="125" t="s">
        <v>3</v>
      </c>
      <c r="E2" s="125" t="s">
        <v>4</v>
      </c>
      <c r="F2" s="125" t="s">
        <v>5</v>
      </c>
      <c r="G2" s="125" t="s">
        <v>6</v>
      </c>
      <c r="H2" s="125" t="s">
        <v>7</v>
      </c>
    </row>
    <row r="3" spans="1:8">
      <c r="A3" s="124" t="s">
        <v>8</v>
      </c>
      <c r="B3" s="124"/>
      <c r="C3" s="124">
        <v>1</v>
      </c>
      <c r="D3" s="124"/>
      <c r="E3" s="126">
        <f>+'CERCA GUADUA EP'!E24</f>
        <v>12648071.800000001</v>
      </c>
      <c r="F3" s="126">
        <f>+'cerca en guadua '!E25</f>
        <v>12648071.800000001</v>
      </c>
      <c r="G3" s="126">
        <f>+F3</f>
        <v>12648071.800000001</v>
      </c>
      <c r="H3" s="127">
        <v>0</v>
      </c>
    </row>
    <row r="4" spans="1:8">
      <c r="A4" s="124" t="s">
        <v>9</v>
      </c>
      <c r="B4" s="124">
        <v>4</v>
      </c>
      <c r="C4" s="124"/>
      <c r="D4" s="124"/>
      <c r="E4" s="126">
        <f>+'siembra '!E28</f>
        <v>9816077.5800000019</v>
      </c>
      <c r="F4" s="126">
        <f>+'SIEMBRA EP'!E26</f>
        <v>39264310.320000008</v>
      </c>
      <c r="G4" s="126">
        <f>+F4</f>
        <v>39264310.320000008</v>
      </c>
      <c r="H4" s="127">
        <v>0</v>
      </c>
    </row>
    <row r="5" spans="1:8">
      <c r="A5" s="124" t="s">
        <v>10</v>
      </c>
      <c r="B5" s="124"/>
      <c r="C5" s="124"/>
      <c r="D5" s="124">
        <v>5</v>
      </c>
      <c r="E5" s="126">
        <v>1109991</v>
      </c>
      <c r="F5" s="126">
        <f>+'talleres rurales dificil acceso'!E17</f>
        <v>4989355</v>
      </c>
      <c r="G5" s="127">
        <v>0</v>
      </c>
      <c r="H5" s="127">
        <f>+F5</f>
        <v>4989355</v>
      </c>
    </row>
    <row r="6" spans="1:8" ht="28.9">
      <c r="A6" s="128" t="s">
        <v>11</v>
      </c>
      <c r="B6" s="124"/>
      <c r="C6" s="124"/>
      <c r="D6" s="124">
        <v>4</v>
      </c>
      <c r="E6" s="126">
        <v>2499048</v>
      </c>
      <c r="F6" s="126">
        <f>+D6*E6</f>
        <v>9996192</v>
      </c>
      <c r="G6" s="127">
        <v>0</v>
      </c>
      <c r="H6" s="127">
        <f>+F6</f>
        <v>9996192</v>
      </c>
    </row>
    <row r="7" spans="1:8">
      <c r="A7" s="124"/>
      <c r="B7" s="124"/>
      <c r="C7" s="124"/>
      <c r="D7" s="124"/>
      <c r="E7" s="124"/>
      <c r="F7" s="130">
        <f>SUM(F3:F6)</f>
        <v>66897929.120000005</v>
      </c>
      <c r="G7" s="129">
        <f>SUM(G3:G6)</f>
        <v>51912382.120000005</v>
      </c>
      <c r="H7" s="129">
        <f>SUM(H3:H6)</f>
        <v>14985547</v>
      </c>
    </row>
  </sheetData>
  <mergeCells count="1">
    <mergeCell ref="G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7"/>
  <sheetViews>
    <sheetView workbookViewId="0">
      <selection activeCell="A17" sqref="A17:D17"/>
    </sheetView>
  </sheetViews>
  <sheetFormatPr defaultColWidth="11.42578125" defaultRowHeight="14.45"/>
  <cols>
    <col min="1" max="1" width="26.140625" customWidth="1"/>
    <col min="4" max="4" width="19.140625" customWidth="1"/>
    <col min="5" max="5" width="15.42578125" customWidth="1"/>
  </cols>
  <sheetData>
    <row r="1" spans="1:10">
      <c r="A1" s="78" t="s">
        <v>12</v>
      </c>
      <c r="B1" s="78" t="s">
        <v>13</v>
      </c>
      <c r="C1" s="79" t="s">
        <v>14</v>
      </c>
      <c r="D1" s="78" t="s">
        <v>15</v>
      </c>
      <c r="E1" s="78" t="s">
        <v>16</v>
      </c>
      <c r="I1" t="s">
        <v>17</v>
      </c>
      <c r="J1">
        <v>5</v>
      </c>
    </row>
    <row r="2" spans="1:10">
      <c r="A2" s="133" t="s">
        <v>18</v>
      </c>
      <c r="B2" s="134"/>
      <c r="C2" s="134"/>
      <c r="D2" s="134"/>
      <c r="E2" s="135"/>
    </row>
    <row r="3" spans="1:10">
      <c r="A3" s="133" t="s">
        <v>19</v>
      </c>
      <c r="B3" s="134"/>
      <c r="C3" s="134"/>
      <c r="D3" s="134"/>
      <c r="E3" s="135"/>
    </row>
    <row r="4" spans="1:10">
      <c r="A4" s="114" t="s">
        <v>20</v>
      </c>
      <c r="B4" s="115">
        <f>1*$J$1</f>
        <v>5</v>
      </c>
      <c r="C4" s="116" t="s">
        <v>21</v>
      </c>
      <c r="D4" s="117">
        <v>263516</v>
      </c>
      <c r="E4" s="118">
        <f>+D4*B4</f>
        <v>1317580</v>
      </c>
    </row>
    <row r="5" spans="1:10">
      <c r="A5" s="114" t="s">
        <v>22</v>
      </c>
      <c r="B5" s="115">
        <f>1*$J$1</f>
        <v>5</v>
      </c>
      <c r="C5" s="116" t="s">
        <v>21</v>
      </c>
      <c r="D5" s="117">
        <v>82109</v>
      </c>
      <c r="E5" s="118">
        <f>+D5*B5</f>
        <v>410545</v>
      </c>
    </row>
    <row r="6" spans="1:10">
      <c r="A6" s="114" t="s">
        <v>23</v>
      </c>
      <c r="B6" s="115">
        <v>2</v>
      </c>
      <c r="C6" s="116"/>
      <c r="D6" s="117"/>
      <c r="E6" s="118">
        <f>+SUM(E4:E5)</f>
        <v>1728125</v>
      </c>
    </row>
    <row r="7" spans="1:10">
      <c r="A7" s="133" t="s">
        <v>24</v>
      </c>
      <c r="B7" s="134"/>
      <c r="C7" s="134"/>
      <c r="D7" s="134"/>
      <c r="E7" s="135"/>
    </row>
    <row r="8" spans="1:10">
      <c r="A8" s="114" t="s">
        <v>25</v>
      </c>
      <c r="B8" s="115">
        <f>1*$J$1</f>
        <v>5</v>
      </c>
      <c r="C8" s="116" t="s">
        <v>26</v>
      </c>
      <c r="D8" s="117">
        <v>90000</v>
      </c>
      <c r="E8" s="118">
        <f>+B8*D8</f>
        <v>450000</v>
      </c>
    </row>
    <row r="9" spans="1:10">
      <c r="A9" s="114" t="s">
        <v>27</v>
      </c>
      <c r="B9" s="116">
        <f>20*$J$1</f>
        <v>100</v>
      </c>
      <c r="C9" s="114" t="s">
        <v>28</v>
      </c>
      <c r="D9" s="117">
        <v>10000</v>
      </c>
      <c r="E9" s="118">
        <f>+B9*D9</f>
        <v>1000000</v>
      </c>
      <c r="H9" s="115"/>
    </row>
    <row r="10" spans="1:10">
      <c r="A10" s="119" t="s">
        <v>29</v>
      </c>
      <c r="B10" s="120">
        <v>5</v>
      </c>
      <c r="C10" s="121">
        <v>5</v>
      </c>
      <c r="D10" s="117">
        <v>62246</v>
      </c>
      <c r="E10" s="131">
        <f>+D10*$J$1</f>
        <v>311230</v>
      </c>
      <c r="H10" s="116"/>
    </row>
    <row r="11" spans="1:10" ht="14.45" customHeight="1">
      <c r="A11" s="136" t="s">
        <v>30</v>
      </c>
      <c r="B11" s="137"/>
      <c r="C11" s="137"/>
      <c r="D11" s="137"/>
      <c r="E11" s="118">
        <f>+E8+E9+E10</f>
        <v>1761230</v>
      </c>
    </row>
    <row r="12" spans="1:10">
      <c r="A12" s="138" t="s">
        <v>31</v>
      </c>
      <c r="B12" s="139"/>
      <c r="C12" s="139"/>
      <c r="D12" s="139"/>
      <c r="E12" s="118">
        <f>E6+E11</f>
        <v>3489355</v>
      </c>
    </row>
    <row r="13" spans="1:10">
      <c r="A13" s="133" t="s">
        <v>32</v>
      </c>
      <c r="B13" s="134"/>
      <c r="C13" s="134"/>
      <c r="D13" s="134"/>
      <c r="E13" s="135"/>
    </row>
    <row r="14" spans="1:10">
      <c r="A14" s="133" t="s">
        <v>33</v>
      </c>
      <c r="B14" s="134"/>
      <c r="C14" s="134"/>
      <c r="D14" s="134"/>
      <c r="E14" s="135"/>
    </row>
    <row r="15" spans="1:10" ht="28.9">
      <c r="A15" s="122" t="s">
        <v>34</v>
      </c>
      <c r="B15" s="115">
        <f>1*$J$1</f>
        <v>5</v>
      </c>
      <c r="C15" s="123" t="s">
        <v>35</v>
      </c>
      <c r="D15" s="117">
        <v>300000</v>
      </c>
      <c r="E15" s="118">
        <f>+B15*D15</f>
        <v>1500000</v>
      </c>
    </row>
    <row r="16" spans="1:10">
      <c r="A16" s="136" t="s">
        <v>36</v>
      </c>
      <c r="B16" s="137"/>
      <c r="C16" s="137"/>
      <c r="D16" s="137"/>
      <c r="E16" s="118">
        <f>+E15</f>
        <v>1500000</v>
      </c>
    </row>
    <row r="17" spans="1:5">
      <c r="A17" s="138" t="s">
        <v>37</v>
      </c>
      <c r="B17" s="139"/>
      <c r="C17" s="139"/>
      <c r="D17" s="139"/>
      <c r="E17" s="118">
        <f>+E12+E16</f>
        <v>4989355</v>
      </c>
    </row>
  </sheetData>
  <mergeCells count="9">
    <mergeCell ref="A14:E14"/>
    <mergeCell ref="A16:D16"/>
    <mergeCell ref="A17:D17"/>
    <mergeCell ref="A2:E2"/>
    <mergeCell ref="A3:E3"/>
    <mergeCell ref="A7:E7"/>
    <mergeCell ref="A11:D11"/>
    <mergeCell ref="A12:D12"/>
    <mergeCell ref="A13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6"/>
  <sheetViews>
    <sheetView zoomScale="70" zoomScaleNormal="70" workbookViewId="0">
      <selection activeCell="G7" sqref="G7"/>
    </sheetView>
  </sheetViews>
  <sheetFormatPr defaultColWidth="11.42578125" defaultRowHeight="14.45"/>
  <cols>
    <col min="1" max="1" width="37.5703125" customWidth="1"/>
    <col min="4" max="4" width="13" customWidth="1"/>
    <col min="5" max="5" width="22.28515625" customWidth="1"/>
    <col min="7" max="7" width="20.42578125" customWidth="1"/>
  </cols>
  <sheetData>
    <row r="1" spans="1:18" ht="28.9">
      <c r="A1" s="78" t="s">
        <v>38</v>
      </c>
      <c r="B1" s="78" t="s">
        <v>13</v>
      </c>
      <c r="C1" s="79" t="s">
        <v>39</v>
      </c>
      <c r="D1" s="78" t="s">
        <v>15</v>
      </c>
      <c r="E1" s="78" t="s">
        <v>16</v>
      </c>
      <c r="G1" s="77" t="s">
        <v>40</v>
      </c>
      <c r="H1">
        <v>4</v>
      </c>
    </row>
    <row r="2" spans="1:18">
      <c r="A2" s="143" t="s">
        <v>18</v>
      </c>
      <c r="B2" s="144"/>
      <c r="C2" s="144"/>
      <c r="D2" s="144"/>
      <c r="E2" s="145"/>
    </row>
    <row r="3" spans="1:18">
      <c r="A3" s="143" t="s">
        <v>41</v>
      </c>
      <c r="B3" s="144"/>
      <c r="C3" s="144"/>
      <c r="D3" s="144"/>
      <c r="E3" s="145"/>
    </row>
    <row r="4" spans="1:18">
      <c r="A4" s="80" t="s">
        <v>42</v>
      </c>
      <c r="B4" s="81">
        <f>+$H$1*'siembra '!B6</f>
        <v>18</v>
      </c>
      <c r="C4" s="81" t="s">
        <v>43</v>
      </c>
      <c r="D4" s="82">
        <f>'mano de obra '!$E$32</f>
        <v>98352</v>
      </c>
      <c r="E4" s="83">
        <f t="shared" ref="E4:E12" si="0">B4*D4</f>
        <v>1770336</v>
      </c>
      <c r="R4" s="1"/>
    </row>
    <row r="5" spans="1:18">
      <c r="A5" s="80" t="s">
        <v>44</v>
      </c>
      <c r="B5" s="81">
        <f>+$H$1*'siembra '!B7</f>
        <v>12</v>
      </c>
      <c r="C5" s="81" t="s">
        <v>43</v>
      </c>
      <c r="D5" s="82">
        <f>'mano de obra '!$E$32</f>
        <v>98352</v>
      </c>
      <c r="E5" s="83">
        <f t="shared" si="0"/>
        <v>1180224</v>
      </c>
      <c r="R5" s="1"/>
    </row>
    <row r="6" spans="1:18">
      <c r="A6" s="80" t="s">
        <v>45</v>
      </c>
      <c r="B6" s="81">
        <f>+$H$1*'siembra '!B8</f>
        <v>30</v>
      </c>
      <c r="C6" s="81" t="s">
        <v>43</v>
      </c>
      <c r="D6" s="82">
        <f>'mano de obra '!$E$32</f>
        <v>98352</v>
      </c>
      <c r="E6" s="83">
        <f t="shared" si="0"/>
        <v>2950560</v>
      </c>
      <c r="R6" s="1"/>
    </row>
    <row r="7" spans="1:18">
      <c r="A7" s="80" t="s">
        <v>46</v>
      </c>
      <c r="B7" s="81">
        <f>+$H$1*'siembra '!B9</f>
        <v>12</v>
      </c>
      <c r="C7" s="81" t="s">
        <v>43</v>
      </c>
      <c r="D7" s="82">
        <f>'mano de obra '!$E$32</f>
        <v>98352</v>
      </c>
      <c r="E7" s="83">
        <f t="shared" si="0"/>
        <v>1180224</v>
      </c>
      <c r="G7" s="112"/>
      <c r="R7" s="1"/>
    </row>
    <row r="8" spans="1:18">
      <c r="A8" s="80" t="s">
        <v>47</v>
      </c>
      <c r="B8" s="81">
        <f>+$H$1*'siembra '!B10</f>
        <v>6</v>
      </c>
      <c r="C8" s="81" t="s">
        <v>43</v>
      </c>
      <c r="D8" s="82">
        <f>'mano de obra '!$E$32</f>
        <v>98352</v>
      </c>
      <c r="E8" s="83">
        <f t="shared" si="0"/>
        <v>590112</v>
      </c>
      <c r="R8" s="1"/>
    </row>
    <row r="9" spans="1:18">
      <c r="A9" s="80" t="s">
        <v>9</v>
      </c>
      <c r="B9" s="81">
        <f>+$H$1*'siembra '!B11</f>
        <v>30</v>
      </c>
      <c r="C9" s="81" t="s">
        <v>43</v>
      </c>
      <c r="D9" s="82">
        <f>'mano de obra '!$E$32</f>
        <v>98352</v>
      </c>
      <c r="E9" s="83">
        <f t="shared" si="0"/>
        <v>2950560</v>
      </c>
      <c r="R9" s="1"/>
    </row>
    <row r="10" spans="1:18">
      <c r="A10" s="80" t="s">
        <v>48</v>
      </c>
      <c r="B10" s="81">
        <f>+$H$1*'siembra '!B12</f>
        <v>6</v>
      </c>
      <c r="C10" s="81" t="s">
        <v>43</v>
      </c>
      <c r="D10" s="82">
        <f>'mano de obra '!$E$32</f>
        <v>98352</v>
      </c>
      <c r="E10" s="83">
        <f t="shared" si="0"/>
        <v>590112</v>
      </c>
      <c r="R10" s="1"/>
    </row>
    <row r="11" spans="1:18">
      <c r="A11" s="80" t="s">
        <v>49</v>
      </c>
      <c r="B11" s="81">
        <f>+$H$1*'siembra '!B13</f>
        <v>12</v>
      </c>
      <c r="C11" s="81" t="s">
        <v>43</v>
      </c>
      <c r="D11" s="82">
        <f>'mano de obra '!$E$32</f>
        <v>98352</v>
      </c>
      <c r="E11" s="83">
        <f t="shared" si="0"/>
        <v>1180224</v>
      </c>
      <c r="R11" s="1"/>
    </row>
    <row r="12" spans="1:18">
      <c r="A12" s="80" t="s">
        <v>50</v>
      </c>
      <c r="B12" s="81">
        <f>+$H$1*'siembra '!B14</f>
        <v>6</v>
      </c>
      <c r="C12" s="81" t="s">
        <v>43</v>
      </c>
      <c r="D12" s="82">
        <f>'mano de obra '!$E$32</f>
        <v>98352</v>
      </c>
      <c r="E12" s="83">
        <f t="shared" si="0"/>
        <v>590112</v>
      </c>
      <c r="R12" s="1"/>
    </row>
    <row r="13" spans="1:18">
      <c r="A13" s="140" t="s">
        <v>51</v>
      </c>
      <c r="B13" s="141"/>
      <c r="C13" s="141"/>
      <c r="D13" s="142"/>
      <c r="E13" s="84">
        <f>SUM(E4:E12)</f>
        <v>12982464</v>
      </c>
      <c r="G13" s="73"/>
      <c r="R13" s="1"/>
    </row>
    <row r="14" spans="1:18">
      <c r="A14" s="143" t="s">
        <v>52</v>
      </c>
      <c r="B14" s="144"/>
      <c r="C14" s="144"/>
      <c r="D14" s="144"/>
      <c r="E14" s="145"/>
      <c r="R14" s="1"/>
    </row>
    <row r="15" spans="1:18">
      <c r="A15" s="85" t="s">
        <v>53</v>
      </c>
      <c r="B15" s="81">
        <f>+$H$1*'siembra '!B17</f>
        <v>4800</v>
      </c>
      <c r="C15" s="81" t="s">
        <v>54</v>
      </c>
      <c r="D15" s="82">
        <v>3500</v>
      </c>
      <c r="E15" s="83">
        <f>B15*D15</f>
        <v>16800000</v>
      </c>
      <c r="R15" s="1"/>
    </row>
    <row r="16" spans="1:18" ht="29.25" customHeight="1">
      <c r="A16" s="85" t="s">
        <v>55</v>
      </c>
      <c r="B16" s="81">
        <f>+$H$1*'siembra '!B18</f>
        <v>1320</v>
      </c>
      <c r="C16" s="87" t="s">
        <v>56</v>
      </c>
      <c r="D16" s="82">
        <f>'cotizaciones '!P12/50</f>
        <v>740.34</v>
      </c>
      <c r="E16" s="83">
        <f>B16*D16</f>
        <v>977248.8</v>
      </c>
      <c r="R16" s="1"/>
    </row>
    <row r="17" spans="1:18" ht="28.9">
      <c r="A17" s="86" t="s">
        <v>57</v>
      </c>
      <c r="B17" s="81">
        <f>+$H$1*'siembra '!B19</f>
        <v>16</v>
      </c>
      <c r="C17" s="81" t="s">
        <v>58</v>
      </c>
      <c r="D17" s="82">
        <f>'cotizaciones '!P13</f>
        <v>74533</v>
      </c>
      <c r="E17" s="83">
        <f>B17*D17</f>
        <v>1192528</v>
      </c>
      <c r="R17" s="1"/>
    </row>
    <row r="18" spans="1:18">
      <c r="A18" s="86" t="s">
        <v>59</v>
      </c>
      <c r="B18" s="81">
        <f>+$H$1*'siembra '!B20</f>
        <v>8</v>
      </c>
      <c r="C18" s="87" t="s">
        <v>58</v>
      </c>
      <c r="D18" s="82">
        <f>'cotizaciones '!P14</f>
        <v>59275</v>
      </c>
      <c r="E18" s="83">
        <f>B18*D18</f>
        <v>474200</v>
      </c>
      <c r="R18" s="1"/>
    </row>
    <row r="19" spans="1:18">
      <c r="A19" s="85" t="s">
        <v>60</v>
      </c>
      <c r="B19" s="81">
        <f>+$H$1*'siembra '!B21</f>
        <v>1440</v>
      </c>
      <c r="C19" s="87" t="s">
        <v>56</v>
      </c>
      <c r="D19" s="82">
        <f>'cotizaciones '!P15/50</f>
        <v>390.34</v>
      </c>
      <c r="E19" s="83">
        <f>B19*D19</f>
        <v>562089.6</v>
      </c>
      <c r="R19" s="1"/>
    </row>
    <row r="20" spans="1:18">
      <c r="A20" s="140" t="s">
        <v>30</v>
      </c>
      <c r="B20" s="141"/>
      <c r="C20" s="141"/>
      <c r="D20" s="142"/>
      <c r="E20" s="84">
        <f>SUM(E15:E19)</f>
        <v>20006066.400000002</v>
      </c>
      <c r="R20" s="1"/>
    </row>
    <row r="21" spans="1:18">
      <c r="A21" s="140" t="s">
        <v>31</v>
      </c>
      <c r="B21" s="141"/>
      <c r="C21" s="141"/>
      <c r="D21" s="142"/>
      <c r="E21" s="84">
        <f>E13+E20</f>
        <v>32988530.400000002</v>
      </c>
      <c r="R21" s="1"/>
    </row>
    <row r="22" spans="1:18">
      <c r="A22" s="143" t="s">
        <v>32</v>
      </c>
      <c r="B22" s="144"/>
      <c r="C22" s="144"/>
      <c r="D22" s="144"/>
      <c r="E22" s="145"/>
      <c r="R22" s="1"/>
    </row>
    <row r="23" spans="1:18">
      <c r="A23" s="146" t="s">
        <v>61</v>
      </c>
      <c r="B23" s="147"/>
      <c r="C23" s="147"/>
      <c r="D23" s="148"/>
      <c r="E23" s="83">
        <f>+H1*'siembra '!E25</f>
        <v>273960</v>
      </c>
      <c r="R23" s="1"/>
    </row>
    <row r="24" spans="1:18">
      <c r="A24" s="80" t="s">
        <v>62</v>
      </c>
      <c r="B24" s="81"/>
      <c r="C24" s="81"/>
      <c r="D24" s="82"/>
      <c r="E24" s="83">
        <f>E20*30%</f>
        <v>6001819.9200000009</v>
      </c>
      <c r="R24" s="1"/>
    </row>
    <row r="25" spans="1:18">
      <c r="A25" s="140" t="s">
        <v>36</v>
      </c>
      <c r="B25" s="141"/>
      <c r="C25" s="141"/>
      <c r="D25" s="142"/>
      <c r="E25" s="84">
        <f>SUM(E23:E24)</f>
        <v>6275779.9200000009</v>
      </c>
      <c r="R25" s="1"/>
    </row>
    <row r="26" spans="1:18">
      <c r="A26" s="140" t="s">
        <v>63</v>
      </c>
      <c r="B26" s="141"/>
      <c r="C26" s="141"/>
      <c r="D26" s="142"/>
      <c r="E26" s="84">
        <f>E20+E25+E13</f>
        <v>39264310.320000008</v>
      </c>
      <c r="R26" s="1"/>
    </row>
  </sheetData>
  <mergeCells count="10">
    <mergeCell ref="A13:D13"/>
    <mergeCell ref="A2:E2"/>
    <mergeCell ref="A3:E3"/>
    <mergeCell ref="A26:D26"/>
    <mergeCell ref="A14:E14"/>
    <mergeCell ref="A20:D20"/>
    <mergeCell ref="A21:D21"/>
    <mergeCell ref="A22:E22"/>
    <mergeCell ref="A23:D23"/>
    <mergeCell ref="A25:D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5"/>
  <sheetViews>
    <sheetView view="pageBreakPreview" zoomScale="60" zoomScaleNormal="70" workbookViewId="0">
      <selection activeCell="E29" sqref="E29"/>
    </sheetView>
  </sheetViews>
  <sheetFormatPr defaultColWidth="11.42578125" defaultRowHeight="14.45"/>
  <cols>
    <col min="1" max="1" width="37.5703125" customWidth="1"/>
    <col min="5" max="5" width="22.28515625" customWidth="1"/>
    <col min="8" max="8" width="20.42578125" customWidth="1"/>
  </cols>
  <sheetData>
    <row r="1" spans="1:8">
      <c r="A1" s="149" t="s">
        <v>64</v>
      </c>
      <c r="B1" s="149"/>
      <c r="C1" s="149"/>
      <c r="D1" s="149"/>
      <c r="E1" s="149"/>
      <c r="F1" s="149"/>
    </row>
    <row r="2" spans="1:8" ht="27.6">
      <c r="A2" s="75" t="s">
        <v>65</v>
      </c>
      <c r="B2" s="76" t="s">
        <v>66</v>
      </c>
      <c r="C2" s="74" t="s">
        <v>26</v>
      </c>
      <c r="D2" s="76" t="s">
        <v>67</v>
      </c>
      <c r="E2" s="76" t="s">
        <v>68</v>
      </c>
      <c r="F2" s="75"/>
    </row>
    <row r="3" spans="1:8" ht="27.6">
      <c r="A3" s="74" t="s">
        <v>69</v>
      </c>
      <c r="B3" s="74" t="s">
        <v>70</v>
      </c>
      <c r="C3" s="74" t="s">
        <v>14</v>
      </c>
      <c r="D3" s="74" t="s">
        <v>71</v>
      </c>
      <c r="E3" s="74" t="s">
        <v>72</v>
      </c>
      <c r="F3" s="74" t="s">
        <v>73</v>
      </c>
    </row>
    <row r="4" spans="1:8">
      <c r="A4" s="57" t="s">
        <v>18</v>
      </c>
      <c r="B4" s="2"/>
      <c r="C4" s="2"/>
      <c r="D4" s="2"/>
      <c r="E4" s="2"/>
      <c r="F4" s="2"/>
    </row>
    <row r="5" spans="1:8">
      <c r="A5" s="57" t="s">
        <v>41</v>
      </c>
      <c r="B5" s="2"/>
      <c r="C5" s="2"/>
      <c r="D5" s="2"/>
      <c r="E5" s="2"/>
      <c r="F5" s="2"/>
    </row>
    <row r="6" spans="1:8">
      <c r="A6" s="2" t="s">
        <v>74</v>
      </c>
      <c r="B6" s="113">
        <v>4.5</v>
      </c>
      <c r="C6" s="72" t="s">
        <v>43</v>
      </c>
      <c r="D6" s="55">
        <f>'mano de obra '!$E$32</f>
        <v>98352</v>
      </c>
      <c r="E6" s="54">
        <f t="shared" ref="E6:E14" si="0">B6*D6</f>
        <v>442584</v>
      </c>
      <c r="F6" s="7">
        <f t="shared" ref="F6:F28" si="1">E6/$E$28</f>
        <v>4.5087663213028512E-2</v>
      </c>
    </row>
    <row r="7" spans="1:8">
      <c r="A7" s="2" t="s">
        <v>75</v>
      </c>
      <c r="B7" s="113">
        <v>3</v>
      </c>
      <c r="C7" s="72" t="s">
        <v>43</v>
      </c>
      <c r="D7" s="55">
        <f>'mano de obra '!$E$32</f>
        <v>98352</v>
      </c>
      <c r="E7" s="54">
        <f t="shared" si="0"/>
        <v>295056</v>
      </c>
      <c r="F7" s="7">
        <f t="shared" si="1"/>
        <v>3.0058442142019005E-2</v>
      </c>
    </row>
    <row r="8" spans="1:8">
      <c r="A8" s="2" t="s">
        <v>76</v>
      </c>
      <c r="B8" s="113">
        <v>7.5</v>
      </c>
      <c r="C8" s="72" t="s">
        <v>43</v>
      </c>
      <c r="D8" s="55">
        <f>'mano de obra '!$E$32</f>
        <v>98352</v>
      </c>
      <c r="E8" s="54">
        <f t="shared" si="0"/>
        <v>737640</v>
      </c>
      <c r="F8" s="7">
        <f t="shared" si="1"/>
        <v>7.514610535504751E-2</v>
      </c>
    </row>
    <row r="9" spans="1:8">
      <c r="A9" s="2" t="s">
        <v>77</v>
      </c>
      <c r="B9" s="113">
        <v>3</v>
      </c>
      <c r="C9" s="72" t="s">
        <v>43</v>
      </c>
      <c r="D9" s="55">
        <f>'mano de obra '!$E$32</f>
        <v>98352</v>
      </c>
      <c r="E9" s="54">
        <f t="shared" si="0"/>
        <v>295056</v>
      </c>
      <c r="F9" s="7">
        <f t="shared" si="1"/>
        <v>3.0058442142019005E-2</v>
      </c>
    </row>
    <row r="10" spans="1:8">
      <c r="A10" s="2" t="s">
        <v>78</v>
      </c>
      <c r="B10" s="113">
        <v>1.5</v>
      </c>
      <c r="C10" s="72" t="s">
        <v>43</v>
      </c>
      <c r="D10" s="55">
        <f>'mano de obra '!$E$32</f>
        <v>98352</v>
      </c>
      <c r="E10" s="54">
        <f t="shared" si="0"/>
        <v>147528</v>
      </c>
      <c r="F10" s="7">
        <f t="shared" si="1"/>
        <v>1.5029221071009503E-2</v>
      </c>
    </row>
    <row r="11" spans="1:8">
      <c r="A11" s="2" t="s">
        <v>79</v>
      </c>
      <c r="B11" s="113">
        <v>7.5</v>
      </c>
      <c r="C11" s="72" t="s">
        <v>43</v>
      </c>
      <c r="D11" s="55">
        <f>'mano de obra '!$E$32</f>
        <v>98352</v>
      </c>
      <c r="E11" s="54">
        <f t="shared" si="0"/>
        <v>737640</v>
      </c>
      <c r="F11" s="7">
        <f t="shared" si="1"/>
        <v>7.514610535504751E-2</v>
      </c>
    </row>
    <row r="12" spans="1:8">
      <c r="A12" s="2" t="s">
        <v>80</v>
      </c>
      <c r="B12" s="113">
        <v>1.5</v>
      </c>
      <c r="C12" s="72" t="s">
        <v>43</v>
      </c>
      <c r="D12" s="55">
        <f>'mano de obra '!$E$32</f>
        <v>98352</v>
      </c>
      <c r="E12" s="54">
        <f t="shared" si="0"/>
        <v>147528</v>
      </c>
      <c r="F12" s="7">
        <f t="shared" si="1"/>
        <v>1.5029221071009503E-2</v>
      </c>
    </row>
    <row r="13" spans="1:8">
      <c r="A13" s="2" t="s">
        <v>81</v>
      </c>
      <c r="B13" s="113">
        <v>3</v>
      </c>
      <c r="C13" s="72" t="s">
        <v>43</v>
      </c>
      <c r="D13" s="55">
        <f>'mano de obra '!$E$32</f>
        <v>98352</v>
      </c>
      <c r="E13" s="54">
        <f t="shared" si="0"/>
        <v>295056</v>
      </c>
      <c r="F13" s="7">
        <f t="shared" si="1"/>
        <v>3.0058442142019005E-2</v>
      </c>
    </row>
    <row r="14" spans="1:8">
      <c r="A14" s="2" t="s">
        <v>82</v>
      </c>
      <c r="B14" s="113">
        <v>1.5</v>
      </c>
      <c r="C14" s="72" t="s">
        <v>43</v>
      </c>
      <c r="D14" s="55">
        <f>'mano de obra '!$E$32</f>
        <v>98352</v>
      </c>
      <c r="E14" s="54">
        <f t="shared" si="0"/>
        <v>147528</v>
      </c>
      <c r="F14" s="7">
        <f t="shared" si="1"/>
        <v>1.5029221071009503E-2</v>
      </c>
    </row>
    <row r="15" spans="1:8">
      <c r="A15" s="53" t="s">
        <v>51</v>
      </c>
      <c r="B15" s="71">
        <f>SUM(B6:B14)</f>
        <v>33</v>
      </c>
      <c r="C15" s="71"/>
      <c r="D15" s="9"/>
      <c r="E15" s="51">
        <f>SUM(E6:E14)</f>
        <v>3245616</v>
      </c>
      <c r="F15" s="50">
        <f t="shared" si="1"/>
        <v>0.33064286356220907</v>
      </c>
      <c r="H15" s="73"/>
    </row>
    <row r="16" spans="1:8">
      <c r="A16" s="57" t="s">
        <v>52</v>
      </c>
      <c r="B16" s="72"/>
      <c r="C16" s="72"/>
      <c r="D16" s="55"/>
      <c r="E16" s="54"/>
      <c r="F16" s="7">
        <f t="shared" si="1"/>
        <v>0</v>
      </c>
    </row>
    <row r="17" spans="1:6" ht="41.45">
      <c r="A17" s="6" t="s">
        <v>83</v>
      </c>
      <c r="B17" s="113">
        <v>1200</v>
      </c>
      <c r="C17" s="72" t="s">
        <v>54</v>
      </c>
      <c r="D17" s="55">
        <v>3500</v>
      </c>
      <c r="E17" s="54">
        <f>B17*D17</f>
        <v>4200000</v>
      </c>
      <c r="F17" s="7">
        <f t="shared" si="1"/>
        <v>0.42786947900222272</v>
      </c>
    </row>
    <row r="18" spans="1:6" ht="41.45">
      <c r="A18" s="6" t="s">
        <v>84</v>
      </c>
      <c r="B18" s="113">
        <v>330</v>
      </c>
      <c r="C18" s="72" t="s">
        <v>85</v>
      </c>
      <c r="D18" s="55">
        <f>'cotizaciones '!P12/50</f>
        <v>740.34</v>
      </c>
      <c r="E18" s="54">
        <f>B18*D18</f>
        <v>244312.2</v>
      </c>
      <c r="F18" s="7">
        <f t="shared" si="1"/>
        <v>2.4888984220925437E-2</v>
      </c>
    </row>
    <row r="19" spans="1:6" ht="27.6">
      <c r="A19" s="5" t="s">
        <v>86</v>
      </c>
      <c r="B19" s="113">
        <v>4</v>
      </c>
      <c r="C19" s="72" t="s">
        <v>58</v>
      </c>
      <c r="D19" s="55">
        <f>'cotizaciones '!P13</f>
        <v>74533</v>
      </c>
      <c r="E19" s="54">
        <f>B19*D19</f>
        <v>298132</v>
      </c>
      <c r="F19" s="7">
        <f t="shared" si="1"/>
        <v>3.0371805598545396E-2</v>
      </c>
    </row>
    <row r="20" spans="1:6" ht="36.75" customHeight="1">
      <c r="A20" s="5" t="s">
        <v>87</v>
      </c>
      <c r="B20" s="113">
        <v>2</v>
      </c>
      <c r="C20" s="72" t="s">
        <v>88</v>
      </c>
      <c r="D20" s="55">
        <f>'cotizaciones '!P14</f>
        <v>59275</v>
      </c>
      <c r="E20" s="54">
        <f>B20*D20</f>
        <v>118550</v>
      </c>
      <c r="F20" s="7">
        <f t="shared" si="1"/>
        <v>1.2077125413265119E-2</v>
      </c>
    </row>
    <row r="21" spans="1:6">
      <c r="A21" s="6" t="s">
        <v>89</v>
      </c>
      <c r="B21" s="113">
        <v>360</v>
      </c>
      <c r="C21" s="72" t="s">
        <v>85</v>
      </c>
      <c r="D21" s="55">
        <f>'cotizaciones '!P15/50</f>
        <v>390.34</v>
      </c>
      <c r="E21" s="54">
        <f>B21*D21</f>
        <v>140522.4</v>
      </c>
      <c r="F21" s="7">
        <f t="shared" si="1"/>
        <v>1.4315534780033796E-2</v>
      </c>
    </row>
    <row r="22" spans="1:6">
      <c r="A22" s="53" t="s">
        <v>30</v>
      </c>
      <c r="B22" s="71"/>
      <c r="C22" s="71"/>
      <c r="D22" s="9"/>
      <c r="E22" s="51">
        <f>SUM(E17:E21)</f>
        <v>5001516.6000000006</v>
      </c>
      <c r="F22" s="50">
        <f t="shared" si="1"/>
        <v>0.50952292901499252</v>
      </c>
    </row>
    <row r="23" spans="1:6">
      <c r="A23" s="57" t="s">
        <v>31</v>
      </c>
      <c r="B23" s="72"/>
      <c r="C23" s="72"/>
      <c r="D23" s="55"/>
      <c r="E23" s="56">
        <f>E15+E22</f>
        <v>8247132.6000000006</v>
      </c>
      <c r="F23" s="7">
        <f t="shared" si="1"/>
        <v>0.84016579257720159</v>
      </c>
    </row>
    <row r="24" spans="1:6">
      <c r="A24" s="57" t="s">
        <v>32</v>
      </c>
      <c r="B24" s="72"/>
      <c r="C24" s="72"/>
      <c r="D24" s="55"/>
      <c r="E24" s="54"/>
      <c r="F24" s="7">
        <f t="shared" si="1"/>
        <v>0</v>
      </c>
    </row>
    <row r="25" spans="1:6">
      <c r="A25" s="2" t="s">
        <v>90</v>
      </c>
      <c r="B25" s="72"/>
      <c r="C25" s="72"/>
      <c r="D25" s="55"/>
      <c r="E25" s="54">
        <v>68490</v>
      </c>
      <c r="F25" s="7">
        <f t="shared" si="1"/>
        <v>6.9773287183005316E-3</v>
      </c>
    </row>
    <row r="26" spans="1:6">
      <c r="A26" s="2" t="s">
        <v>91</v>
      </c>
      <c r="B26" s="72"/>
      <c r="C26" s="72"/>
      <c r="D26" s="55"/>
      <c r="E26" s="54">
        <f>E22*30%</f>
        <v>1500454.9800000002</v>
      </c>
      <c r="F26" s="7">
        <f t="shared" si="1"/>
        <v>0.15285687870449777</v>
      </c>
    </row>
    <row r="27" spans="1:6">
      <c r="A27" s="53" t="s">
        <v>36</v>
      </c>
      <c r="B27" s="71"/>
      <c r="C27" s="71"/>
      <c r="D27" s="9"/>
      <c r="E27" s="51">
        <f>SUM(E25:E26)</f>
        <v>1568944.9800000002</v>
      </c>
      <c r="F27" s="50">
        <f t="shared" si="1"/>
        <v>0.1598342074227983</v>
      </c>
    </row>
    <row r="28" spans="1:6">
      <c r="A28" s="48" t="s">
        <v>92</v>
      </c>
      <c r="B28" s="10"/>
      <c r="C28" s="10"/>
      <c r="D28" s="47"/>
      <c r="E28" s="49">
        <f>E22+E27+E15</f>
        <v>9816077.5800000019</v>
      </c>
      <c r="F28" s="45">
        <f t="shared" si="1"/>
        <v>1</v>
      </c>
    </row>
    <row r="29" spans="1:6">
      <c r="A29" s="48"/>
      <c r="B29" s="10"/>
      <c r="C29" s="10"/>
      <c r="D29" s="47"/>
      <c r="E29" s="46"/>
      <c r="F29" s="45"/>
    </row>
    <row r="30" spans="1:6" ht="15" thickBot="1">
      <c r="A30" s="3"/>
      <c r="B30" s="3"/>
      <c r="C30" s="3"/>
      <c r="D30" s="3"/>
      <c r="E30" s="8"/>
      <c r="F30" s="70"/>
    </row>
    <row r="31" spans="1:6" ht="15" thickBot="1">
      <c r="A31" s="38"/>
      <c r="B31" s="62" t="s">
        <v>93</v>
      </c>
      <c r="C31" s="38"/>
      <c r="D31" s="69"/>
      <c r="E31" s="68">
        <f>SUM(E28)</f>
        <v>9816077.5800000019</v>
      </c>
      <c r="F31" s="67"/>
    </row>
    <row r="32" spans="1:6" ht="15" thickBot="1">
      <c r="A32" s="38"/>
      <c r="B32" s="3"/>
      <c r="C32" s="3"/>
      <c r="D32" s="3"/>
      <c r="E32" s="3"/>
      <c r="F32" s="4"/>
    </row>
    <row r="33" spans="1:6">
      <c r="A33" s="38"/>
      <c r="B33" s="62"/>
      <c r="C33" s="150" t="s">
        <v>94</v>
      </c>
      <c r="D33" s="151"/>
      <c r="E33" s="4"/>
      <c r="F33" s="4"/>
    </row>
    <row r="34" spans="1:6" ht="15" thickBot="1">
      <c r="A34" s="38"/>
      <c r="B34" s="62"/>
      <c r="C34" s="152">
        <f>E31/B17</f>
        <v>8180.0646500000012</v>
      </c>
      <c r="D34" s="153"/>
      <c r="E34" s="4"/>
      <c r="F34" s="4"/>
    </row>
    <row r="35" spans="1:6" ht="134.25" customHeight="1">
      <c r="A35" s="154" t="s">
        <v>95</v>
      </c>
      <c r="B35" s="155"/>
      <c r="C35" s="155"/>
      <c r="D35" s="155"/>
      <c r="E35" s="155"/>
      <c r="F35" s="155"/>
    </row>
  </sheetData>
  <mergeCells count="4">
    <mergeCell ref="A1:F1"/>
    <mergeCell ref="C33:D33"/>
    <mergeCell ref="C34:D34"/>
    <mergeCell ref="A35:F35"/>
  </mergeCells>
  <pageMargins left="0.7" right="0.7" top="0.75" bottom="0.75" header="0.3" footer="0.3"/>
  <pageSetup paperSize="122" scale="7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3"/>
  <sheetViews>
    <sheetView zoomScale="70" zoomScaleNormal="70" workbookViewId="0">
      <selection activeCell="J11" sqref="J11"/>
    </sheetView>
  </sheetViews>
  <sheetFormatPr defaultColWidth="11.42578125" defaultRowHeight="14.45"/>
  <cols>
    <col min="1" max="1" width="37" customWidth="1"/>
    <col min="4" max="4" width="12.85546875" bestFit="1" customWidth="1"/>
    <col min="5" max="5" width="20.7109375" customWidth="1"/>
    <col min="7" max="7" width="15.7109375" bestFit="1" customWidth="1"/>
  </cols>
  <sheetData>
    <row r="1" spans="1:8" ht="28.9">
      <c r="A1" s="78" t="s">
        <v>38</v>
      </c>
      <c r="B1" s="78" t="s">
        <v>13</v>
      </c>
      <c r="C1" s="79" t="s">
        <v>39</v>
      </c>
      <c r="D1" s="78" t="s">
        <v>15</v>
      </c>
      <c r="E1" s="78" t="s">
        <v>16</v>
      </c>
      <c r="G1" t="s">
        <v>96</v>
      </c>
      <c r="H1">
        <v>1</v>
      </c>
    </row>
    <row r="2" spans="1:8">
      <c r="A2" s="97" t="s">
        <v>18</v>
      </c>
      <c r="B2" s="98"/>
      <c r="C2" s="98"/>
      <c r="D2" s="98"/>
      <c r="E2" s="99"/>
    </row>
    <row r="3" spans="1:8">
      <c r="A3" s="97" t="s">
        <v>41</v>
      </c>
      <c r="B3" s="98"/>
      <c r="C3" s="98"/>
      <c r="D3" s="98"/>
      <c r="E3" s="99"/>
    </row>
    <row r="4" spans="1:8">
      <c r="A4" s="80" t="s">
        <v>97</v>
      </c>
      <c r="B4" s="80">
        <f>+$H$1*'cerca en guadua '!B5</f>
        <v>6</v>
      </c>
      <c r="C4" s="81" t="s">
        <v>43</v>
      </c>
      <c r="D4" s="82">
        <f>'mano de obra '!$E$32</f>
        <v>98352</v>
      </c>
      <c r="E4" s="83">
        <f t="shared" ref="E4:E9" si="0">B4*D4</f>
        <v>590112</v>
      </c>
    </row>
    <row r="5" spans="1:8">
      <c r="A5" s="80" t="s">
        <v>76</v>
      </c>
      <c r="B5" s="80">
        <f>+$H$1*'cerca en guadua '!B6</f>
        <v>10</v>
      </c>
      <c r="C5" s="81" t="s">
        <v>43</v>
      </c>
      <c r="D5" s="82">
        <f>'mano de obra '!$E$32</f>
        <v>98352</v>
      </c>
      <c r="E5" s="83">
        <f t="shared" si="0"/>
        <v>983520</v>
      </c>
    </row>
    <row r="6" spans="1:8">
      <c r="A6" s="80" t="s">
        <v>98</v>
      </c>
      <c r="B6" s="80">
        <f>+$H$1*'cerca en guadua '!B7</f>
        <v>6</v>
      </c>
      <c r="C6" s="81" t="s">
        <v>43</v>
      </c>
      <c r="D6" s="82">
        <f>'mano de obra '!$E$32</f>
        <v>98352</v>
      </c>
      <c r="E6" s="83">
        <f t="shared" si="0"/>
        <v>590112</v>
      </c>
    </row>
    <row r="7" spans="1:8">
      <c r="A7" s="80" t="s">
        <v>99</v>
      </c>
      <c r="B7" s="80">
        <f>+$H$1*'cerca en guadua '!B8</f>
        <v>7</v>
      </c>
      <c r="C7" s="81" t="s">
        <v>43</v>
      </c>
      <c r="D7" s="82">
        <f>'mano de obra '!$E$32</f>
        <v>98352</v>
      </c>
      <c r="E7" s="83">
        <f t="shared" si="0"/>
        <v>688464</v>
      </c>
    </row>
    <row r="8" spans="1:8">
      <c r="A8" s="80" t="s">
        <v>81</v>
      </c>
      <c r="B8" s="80">
        <f>+$H$1*'cerca en guadua '!B9</f>
        <v>5</v>
      </c>
      <c r="C8" s="81" t="s">
        <v>43</v>
      </c>
      <c r="D8" s="82">
        <f>'mano de obra '!$E$32</f>
        <v>98352</v>
      </c>
      <c r="E8" s="83">
        <f t="shared" si="0"/>
        <v>491760</v>
      </c>
    </row>
    <row r="9" spans="1:8">
      <c r="A9" s="80" t="s">
        <v>100</v>
      </c>
      <c r="B9" s="80">
        <f>+$H$1*'cerca en guadua '!B10</f>
        <v>5</v>
      </c>
      <c r="C9" s="81" t="s">
        <v>43</v>
      </c>
      <c r="D9" s="82">
        <f>'mano de obra '!$E$32</f>
        <v>98352</v>
      </c>
      <c r="E9" s="83">
        <f t="shared" si="0"/>
        <v>491760</v>
      </c>
    </row>
    <row r="10" spans="1:8">
      <c r="A10" s="94" t="s">
        <v>51</v>
      </c>
      <c r="B10" s="95"/>
      <c r="C10" s="95"/>
      <c r="D10" s="96"/>
      <c r="E10" s="84">
        <f>SUM(E4:E9)</f>
        <v>3835728</v>
      </c>
      <c r="G10" s="1"/>
    </row>
    <row r="11" spans="1:8">
      <c r="A11" s="97" t="s">
        <v>52</v>
      </c>
      <c r="B11" s="98"/>
      <c r="C11" s="98"/>
      <c r="D11" s="98"/>
      <c r="E11" s="99"/>
    </row>
    <row r="12" spans="1:8" ht="28.9">
      <c r="A12" s="85" t="s">
        <v>101</v>
      </c>
      <c r="B12" s="80">
        <f>+$H$1*'cerca en guadua '!B13</f>
        <v>433</v>
      </c>
      <c r="C12" s="80" t="s">
        <v>102</v>
      </c>
      <c r="D12" s="82">
        <f>'cotizaciones '!P4</f>
        <v>6022</v>
      </c>
      <c r="E12" s="83">
        <f t="shared" ref="E12:E18" si="1">B12*D12</f>
        <v>2607526</v>
      </c>
    </row>
    <row r="13" spans="1:8">
      <c r="A13" s="80" t="s">
        <v>103</v>
      </c>
      <c r="B13" s="80">
        <f>+$H$1*'cerca en guadua '!B14</f>
        <v>10</v>
      </c>
      <c r="C13" s="80" t="s">
        <v>104</v>
      </c>
      <c r="D13" s="82">
        <f>'cotizaciones '!P6</f>
        <v>255451</v>
      </c>
      <c r="E13" s="83">
        <f t="shared" si="1"/>
        <v>2554510</v>
      </c>
    </row>
    <row r="14" spans="1:8">
      <c r="A14" s="88" t="s">
        <v>105</v>
      </c>
      <c r="B14" s="80">
        <f>+$H$1*'cerca en guadua '!B15</f>
        <v>6</v>
      </c>
      <c r="C14" s="88" t="s">
        <v>106</v>
      </c>
      <c r="D14" s="89">
        <f>'cotizaciones '!P7</f>
        <v>83277</v>
      </c>
      <c r="E14" s="83">
        <f t="shared" si="1"/>
        <v>499662</v>
      </c>
    </row>
    <row r="15" spans="1:8">
      <c r="A15" s="80" t="s">
        <v>107</v>
      </c>
      <c r="B15" s="80">
        <f>+$H$1*'cerca en guadua '!B16</f>
        <v>5</v>
      </c>
      <c r="C15" s="80" t="s">
        <v>106</v>
      </c>
      <c r="D15" s="82">
        <f>'cotizaciones '!P8</f>
        <v>154802</v>
      </c>
      <c r="E15" s="83">
        <f t="shared" si="1"/>
        <v>774010</v>
      </c>
    </row>
    <row r="16" spans="1:8" ht="28.9">
      <c r="A16" s="85" t="s">
        <v>108</v>
      </c>
      <c r="B16" s="80">
        <f>+$H$1*'cerca en guadua '!B17</f>
        <v>3</v>
      </c>
      <c r="C16" s="80" t="s">
        <v>106</v>
      </c>
      <c r="D16" s="82">
        <f>'cotizaciones '!P9</f>
        <v>32000</v>
      </c>
      <c r="E16" s="83">
        <f t="shared" si="1"/>
        <v>96000</v>
      </c>
    </row>
    <row r="17" spans="1:5">
      <c r="A17" s="80" t="s">
        <v>109</v>
      </c>
      <c r="B17" s="80">
        <f>+$H$1*'cerca en guadua '!B18</f>
        <v>7</v>
      </c>
      <c r="C17" s="80" t="s">
        <v>110</v>
      </c>
      <c r="D17" s="82">
        <f>'cotizaciones '!P10</f>
        <v>11090</v>
      </c>
      <c r="E17" s="83">
        <f t="shared" si="1"/>
        <v>77630</v>
      </c>
    </row>
    <row r="18" spans="1:5">
      <c r="A18" s="80" t="s">
        <v>111</v>
      </c>
      <c r="B18" s="80">
        <f>+$H$1*'cerca en guadua '!B19</f>
        <v>4</v>
      </c>
      <c r="C18" s="80" t="s">
        <v>110</v>
      </c>
      <c r="D18" s="82">
        <f>'cotizaciones '!P11</f>
        <v>5465</v>
      </c>
      <c r="E18" s="83">
        <f t="shared" si="1"/>
        <v>21860</v>
      </c>
    </row>
    <row r="19" spans="1:5">
      <c r="A19" s="94" t="s">
        <v>30</v>
      </c>
      <c r="B19" s="95"/>
      <c r="C19" s="95"/>
      <c r="D19" s="96"/>
      <c r="E19" s="84">
        <f>SUM(E12:E18)</f>
        <v>6631198</v>
      </c>
    </row>
    <row r="20" spans="1:5">
      <c r="A20" s="94" t="s">
        <v>31</v>
      </c>
      <c r="B20" s="95"/>
      <c r="C20" s="95"/>
      <c r="D20" s="96"/>
      <c r="E20" s="84">
        <f>E10+E19</f>
        <v>10466926</v>
      </c>
    </row>
    <row r="21" spans="1:5">
      <c r="A21" s="100" t="s">
        <v>112</v>
      </c>
      <c r="B21" s="101"/>
      <c r="C21" s="101"/>
      <c r="D21" s="102"/>
      <c r="E21" s="83">
        <f>E10*5%</f>
        <v>191786.40000000002</v>
      </c>
    </row>
    <row r="22" spans="1:5" ht="15" customHeight="1">
      <c r="A22" s="103" t="s">
        <v>62</v>
      </c>
      <c r="B22" s="104"/>
      <c r="C22" s="104"/>
      <c r="D22" s="105"/>
      <c r="E22" s="83">
        <f>E19*30%</f>
        <v>1989359.4</v>
      </c>
    </row>
    <row r="23" spans="1:5">
      <c r="A23" s="94" t="s">
        <v>36</v>
      </c>
      <c r="B23" s="95"/>
      <c r="C23" s="95"/>
      <c r="D23" s="96"/>
      <c r="E23" s="84">
        <f>SUM(E21:E22)</f>
        <v>2181145.7999999998</v>
      </c>
    </row>
    <row r="24" spans="1:5">
      <c r="A24" s="94" t="s">
        <v>63</v>
      </c>
      <c r="B24" s="95"/>
      <c r="C24" s="95"/>
      <c r="D24" s="96"/>
      <c r="E24" s="84">
        <f>SUM(E19+E23+E10)</f>
        <v>12648071.800000001</v>
      </c>
    </row>
    <row r="29" spans="1:5">
      <c r="E29" s="1"/>
    </row>
    <row r="30" spans="1:5">
      <c r="E30" s="1"/>
    </row>
    <row r="32" spans="1:5">
      <c r="E32" s="1"/>
    </row>
    <row r="33" spans="5:5">
      <c r="E33" s="1"/>
    </row>
  </sheetData>
  <pageMargins left="0.7" right="0.7" top="0.75" bottom="0.75" header="0.3" footer="0.3"/>
  <pageSetup scale="96" orientation="portrait" r:id="rId1"/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50"/>
  <sheetViews>
    <sheetView view="pageBreakPreview" zoomScale="60" zoomScaleNormal="70" workbookViewId="0">
      <selection activeCell="E19" sqref="E19"/>
    </sheetView>
  </sheetViews>
  <sheetFormatPr defaultColWidth="11.42578125" defaultRowHeight="14.45"/>
  <cols>
    <col min="1" max="1" width="37" customWidth="1"/>
    <col min="5" max="5" width="20.7109375" customWidth="1"/>
    <col min="8" max="8" width="15.7109375" bestFit="1" customWidth="1"/>
  </cols>
  <sheetData>
    <row r="1" spans="1:8">
      <c r="A1" s="156" t="s">
        <v>113</v>
      </c>
      <c r="B1" s="156"/>
      <c r="C1" s="156"/>
      <c r="D1" s="156"/>
      <c r="E1" s="156"/>
      <c r="F1" s="156"/>
    </row>
    <row r="2" spans="1:8" ht="27.75" customHeight="1">
      <c r="A2" s="159" t="s">
        <v>114</v>
      </c>
      <c r="B2" s="160"/>
      <c r="C2" s="160"/>
      <c r="D2" s="161"/>
      <c r="E2" s="61">
        <f>+E26</f>
        <v>12648071.800000001</v>
      </c>
      <c r="F2" s="61"/>
    </row>
    <row r="3" spans="1:8">
      <c r="A3" s="57" t="s">
        <v>12</v>
      </c>
      <c r="B3" s="57" t="s">
        <v>70</v>
      </c>
      <c r="C3" s="57" t="s">
        <v>14</v>
      </c>
      <c r="D3" s="57" t="s">
        <v>71</v>
      </c>
      <c r="E3" s="57" t="s">
        <v>115</v>
      </c>
      <c r="F3" s="57" t="s">
        <v>73</v>
      </c>
    </row>
    <row r="4" spans="1:8">
      <c r="A4" s="2" t="s">
        <v>116</v>
      </c>
      <c r="B4" s="2"/>
      <c r="C4" s="2"/>
      <c r="D4" s="2"/>
      <c r="E4" s="2"/>
      <c r="F4" s="2"/>
    </row>
    <row r="5" spans="1:8">
      <c r="A5" s="2" t="s">
        <v>97</v>
      </c>
      <c r="B5" s="2">
        <v>6</v>
      </c>
      <c r="C5" s="2" t="s">
        <v>117</v>
      </c>
      <c r="D5" s="55">
        <f>'mano de obra '!$E$32</f>
        <v>98352</v>
      </c>
      <c r="E5" s="54">
        <f t="shared" ref="E5:E10" si="0">B5*D5</f>
        <v>590112</v>
      </c>
      <c r="F5" s="7">
        <f t="shared" ref="F5:F25" si="1">E5/$E$25</f>
        <v>4.6656281631797816E-2</v>
      </c>
    </row>
    <row r="6" spans="1:8">
      <c r="A6" s="2" t="s">
        <v>76</v>
      </c>
      <c r="B6" s="2">
        <v>10</v>
      </c>
      <c r="C6" s="2" t="s">
        <v>117</v>
      </c>
      <c r="D6" s="55">
        <f>'mano de obra '!$E$32</f>
        <v>98352</v>
      </c>
      <c r="E6" s="54">
        <f t="shared" si="0"/>
        <v>983520</v>
      </c>
      <c r="F6" s="7">
        <f t="shared" si="1"/>
        <v>7.7760469386329703E-2</v>
      </c>
    </row>
    <row r="7" spans="1:8">
      <c r="A7" s="2" t="s">
        <v>98</v>
      </c>
      <c r="B7" s="2">
        <v>6</v>
      </c>
      <c r="C7" s="2" t="s">
        <v>117</v>
      </c>
      <c r="D7" s="55">
        <f>'mano de obra '!$E$32</f>
        <v>98352</v>
      </c>
      <c r="E7" s="54">
        <f t="shared" si="0"/>
        <v>590112</v>
      </c>
      <c r="F7" s="7">
        <f t="shared" si="1"/>
        <v>4.6656281631797816E-2</v>
      </c>
    </row>
    <row r="8" spans="1:8">
      <c r="A8" s="2" t="s">
        <v>99</v>
      </c>
      <c r="B8" s="2">
        <v>7</v>
      </c>
      <c r="C8" s="2" t="s">
        <v>117</v>
      </c>
      <c r="D8" s="55">
        <f>'mano de obra '!$E$32</f>
        <v>98352</v>
      </c>
      <c r="E8" s="54">
        <f t="shared" si="0"/>
        <v>688464</v>
      </c>
      <c r="F8" s="7">
        <f t="shared" si="1"/>
        <v>5.4432328570430788E-2</v>
      </c>
    </row>
    <row r="9" spans="1:8">
      <c r="A9" s="2" t="s">
        <v>81</v>
      </c>
      <c r="B9" s="2">
        <v>5</v>
      </c>
      <c r="C9" s="2" t="s">
        <v>117</v>
      </c>
      <c r="D9" s="55">
        <f>'mano de obra '!$E$32</f>
        <v>98352</v>
      </c>
      <c r="E9" s="54">
        <f t="shared" si="0"/>
        <v>491760</v>
      </c>
      <c r="F9" s="7">
        <f t="shared" si="1"/>
        <v>3.8880234693164852E-2</v>
      </c>
    </row>
    <row r="10" spans="1:8">
      <c r="A10" s="2" t="s">
        <v>100</v>
      </c>
      <c r="B10" s="2">
        <v>5</v>
      </c>
      <c r="C10" s="2" t="s">
        <v>117</v>
      </c>
      <c r="D10" s="55">
        <f>'mano de obra '!$E$32</f>
        <v>98352</v>
      </c>
      <c r="E10" s="54">
        <f t="shared" si="0"/>
        <v>491760</v>
      </c>
      <c r="F10" s="7">
        <f t="shared" si="1"/>
        <v>3.8880234693164852E-2</v>
      </c>
    </row>
    <row r="11" spans="1:8">
      <c r="A11" s="53" t="s">
        <v>118</v>
      </c>
      <c r="B11" s="58">
        <f>SUM(B5:B10)</f>
        <v>39</v>
      </c>
      <c r="C11" s="58"/>
      <c r="D11" s="9"/>
      <c r="E11" s="51">
        <f>SUM(E5:E10)</f>
        <v>3835728</v>
      </c>
      <c r="F11" s="50">
        <f t="shared" si="1"/>
        <v>0.30326583060668583</v>
      </c>
      <c r="H11" s="1"/>
    </row>
    <row r="12" spans="1:8">
      <c r="A12" s="2" t="s">
        <v>119</v>
      </c>
      <c r="B12" s="2"/>
      <c r="C12" s="2"/>
      <c r="D12" s="55"/>
      <c r="E12" s="54">
        <f t="shared" ref="E12:E19" si="2">B12*D12</f>
        <v>0</v>
      </c>
      <c r="F12" s="7">
        <f t="shared" si="1"/>
        <v>0</v>
      </c>
    </row>
    <row r="13" spans="1:8" ht="27.6">
      <c r="A13" s="6" t="s">
        <v>101</v>
      </c>
      <c r="B13" s="2">
        <v>433</v>
      </c>
      <c r="C13" s="2" t="s">
        <v>102</v>
      </c>
      <c r="D13" s="55">
        <f>'cotizaciones '!P4</f>
        <v>6022</v>
      </c>
      <c r="E13" s="54">
        <f t="shared" si="2"/>
        <v>2607526</v>
      </c>
      <c r="F13" s="7">
        <f t="shared" si="1"/>
        <v>0.20615996186865415</v>
      </c>
    </row>
    <row r="14" spans="1:8">
      <c r="A14" s="2" t="s">
        <v>103</v>
      </c>
      <c r="B14" s="2">
        <v>10</v>
      </c>
      <c r="C14" s="2" t="s">
        <v>104</v>
      </c>
      <c r="D14" s="55">
        <f>'cotizaciones '!P6</f>
        <v>255451</v>
      </c>
      <c r="E14" s="54">
        <f t="shared" si="2"/>
        <v>2554510</v>
      </c>
      <c r="F14" s="7">
        <f t="shared" si="1"/>
        <v>0.20196833480973755</v>
      </c>
    </row>
    <row r="15" spans="1:8">
      <c r="A15" s="60" t="s">
        <v>105</v>
      </c>
      <c r="B15" s="60">
        <v>6</v>
      </c>
      <c r="C15" s="60" t="s">
        <v>106</v>
      </c>
      <c r="D15" s="59">
        <f>'cotizaciones '!P7</f>
        <v>83277</v>
      </c>
      <c r="E15" s="54">
        <f t="shared" si="2"/>
        <v>499662</v>
      </c>
      <c r="F15" s="7">
        <f t="shared" si="1"/>
        <v>3.9504993954888837E-2</v>
      </c>
    </row>
    <row r="16" spans="1:8">
      <c r="A16" s="2" t="s">
        <v>107</v>
      </c>
      <c r="B16" s="2">
        <v>5</v>
      </c>
      <c r="C16" s="2" t="s">
        <v>106</v>
      </c>
      <c r="D16" s="55">
        <f>'cotizaciones '!P8</f>
        <v>154802</v>
      </c>
      <c r="E16" s="54">
        <f t="shared" si="2"/>
        <v>774010</v>
      </c>
      <c r="F16" s="7">
        <f t="shared" si="1"/>
        <v>6.1195889163121291E-2</v>
      </c>
    </row>
    <row r="17" spans="1:6" ht="27.6">
      <c r="A17" s="6" t="s">
        <v>108</v>
      </c>
      <c r="B17" s="2">
        <v>3</v>
      </c>
      <c r="C17" s="2" t="s">
        <v>106</v>
      </c>
      <c r="D17" s="55">
        <f>'cotizaciones '!P9</f>
        <v>32000</v>
      </c>
      <c r="E17" s="54">
        <f t="shared" si="2"/>
        <v>96000</v>
      </c>
      <c r="F17" s="7">
        <f t="shared" si="1"/>
        <v>7.5900897400028988E-3</v>
      </c>
    </row>
    <row r="18" spans="1:6">
      <c r="A18" s="2" t="s">
        <v>109</v>
      </c>
      <c r="B18" s="2">
        <v>7</v>
      </c>
      <c r="C18" s="2" t="s">
        <v>110</v>
      </c>
      <c r="D18" s="55">
        <f>'cotizaciones '!P10</f>
        <v>11090</v>
      </c>
      <c r="E18" s="54">
        <f t="shared" si="2"/>
        <v>77630</v>
      </c>
      <c r="F18" s="7">
        <f t="shared" si="1"/>
        <v>6.1376944428794275E-3</v>
      </c>
    </row>
    <row r="19" spans="1:6">
      <c r="A19" s="2" t="s">
        <v>111</v>
      </c>
      <c r="B19" s="2">
        <v>4</v>
      </c>
      <c r="C19" s="2" t="s">
        <v>120</v>
      </c>
      <c r="D19" s="55">
        <f>'cotizaciones '!P11</f>
        <v>5465</v>
      </c>
      <c r="E19" s="54">
        <f t="shared" si="2"/>
        <v>21860</v>
      </c>
      <c r="F19" s="7">
        <f t="shared" si="1"/>
        <v>1.7283266845464934E-3</v>
      </c>
    </row>
    <row r="20" spans="1:6">
      <c r="A20" s="53" t="s">
        <v>121</v>
      </c>
      <c r="B20" s="58"/>
      <c r="C20" s="58"/>
      <c r="D20" s="9"/>
      <c r="E20" s="51">
        <f>SUM(E13:E19)</f>
        <v>6631198</v>
      </c>
      <c r="F20" s="50">
        <f t="shared" si="1"/>
        <v>0.52428529066383067</v>
      </c>
    </row>
    <row r="21" spans="1:6">
      <c r="A21" s="57" t="s">
        <v>122</v>
      </c>
      <c r="B21" s="2"/>
      <c r="C21" s="2"/>
      <c r="D21" s="55"/>
      <c r="E21" s="56">
        <f>E11+E20</f>
        <v>10466926</v>
      </c>
      <c r="F21" s="7">
        <f t="shared" si="1"/>
        <v>0.82755112127051644</v>
      </c>
    </row>
    <row r="22" spans="1:6">
      <c r="A22" s="2" t="s">
        <v>112</v>
      </c>
      <c r="B22" s="2">
        <v>0.3</v>
      </c>
      <c r="C22" s="2"/>
      <c r="D22" s="55"/>
      <c r="E22" s="54">
        <f>E11*5%</f>
        <v>191786.40000000002</v>
      </c>
      <c r="F22" s="7">
        <f t="shared" si="1"/>
        <v>1.5163291530334293E-2</v>
      </c>
    </row>
    <row r="23" spans="1:6" ht="27.6">
      <c r="A23" s="6" t="s">
        <v>62</v>
      </c>
      <c r="B23" s="2">
        <v>0.05</v>
      </c>
      <c r="C23" s="2"/>
      <c r="D23" s="55"/>
      <c r="E23" s="54">
        <f>E20*30%</f>
        <v>1989359.4</v>
      </c>
      <c r="F23" s="7">
        <f t="shared" si="1"/>
        <v>0.15728558719914917</v>
      </c>
    </row>
    <row r="24" spans="1:6">
      <c r="A24" s="53" t="s">
        <v>123</v>
      </c>
      <c r="B24" s="53"/>
      <c r="C24" s="53"/>
      <c r="D24" s="52"/>
      <c r="E24" s="51">
        <f>SUM(E22:E23)</f>
        <v>2181145.7999999998</v>
      </c>
      <c r="F24" s="50">
        <f t="shared" si="1"/>
        <v>0.17244887872948347</v>
      </c>
    </row>
    <row r="25" spans="1:6">
      <c r="A25" s="48" t="s">
        <v>124</v>
      </c>
      <c r="B25" s="48"/>
      <c r="C25" s="48"/>
      <c r="D25" s="47"/>
      <c r="E25" s="49">
        <f>SUM(E20+E24+E11)</f>
        <v>12648071.800000001</v>
      </c>
      <c r="F25" s="45">
        <f t="shared" si="1"/>
        <v>1</v>
      </c>
    </row>
    <row r="26" spans="1:6">
      <c r="A26" s="48"/>
      <c r="B26" s="48"/>
      <c r="C26" s="48"/>
      <c r="D26" s="47"/>
      <c r="E26" s="46">
        <f>E25</f>
        <v>12648071.800000001</v>
      </c>
      <c r="F26" s="45"/>
    </row>
    <row r="27" spans="1:6">
      <c r="A27" s="44"/>
      <c r="B27" s="43"/>
      <c r="C27" s="43"/>
      <c r="D27" s="43"/>
      <c r="E27" s="42"/>
      <c r="F27" s="41"/>
    </row>
    <row r="28" spans="1:6" ht="112.5" customHeight="1">
      <c r="A28" s="157" t="s">
        <v>125</v>
      </c>
      <c r="B28" s="158"/>
      <c r="C28" s="158"/>
      <c r="D28" s="158"/>
      <c r="E28" s="158"/>
      <c r="F28" s="158"/>
    </row>
    <row r="29" spans="1:6">
      <c r="A29" s="40"/>
    </row>
    <row r="30" spans="1:6">
      <c r="A30" s="38"/>
    </row>
    <row r="31" spans="1:6">
      <c r="A31" s="39" t="s">
        <v>126</v>
      </c>
      <c r="B31" s="38"/>
      <c r="C31" s="38"/>
    </row>
    <row r="32" spans="1:6">
      <c r="A32" s="37" t="s">
        <v>127</v>
      </c>
      <c r="B32" s="37" t="s">
        <v>14</v>
      </c>
      <c r="C32" s="37" t="s">
        <v>128</v>
      </c>
    </row>
    <row r="33" spans="1:3">
      <c r="A33" s="34" t="s">
        <v>129</v>
      </c>
      <c r="B33" s="35" t="s">
        <v>130</v>
      </c>
      <c r="C33" s="35">
        <v>400</v>
      </c>
    </row>
    <row r="34" spans="1:3">
      <c r="A34" s="34" t="s">
        <v>131</v>
      </c>
      <c r="B34" s="35" t="s">
        <v>130</v>
      </c>
      <c r="C34" s="35">
        <v>33</v>
      </c>
    </row>
    <row r="35" spans="1:3">
      <c r="A35" s="34" t="s">
        <v>132</v>
      </c>
      <c r="B35" s="35" t="s">
        <v>133</v>
      </c>
      <c r="C35" s="35">
        <v>10</v>
      </c>
    </row>
    <row r="36" spans="1:3" ht="26.45">
      <c r="A36" s="36" t="s">
        <v>134</v>
      </c>
      <c r="B36" s="35" t="s">
        <v>135</v>
      </c>
      <c r="C36" s="35">
        <v>433</v>
      </c>
    </row>
    <row r="37" spans="1:3">
      <c r="A37" s="34" t="s">
        <v>136</v>
      </c>
      <c r="B37" s="34"/>
      <c r="C37" s="34"/>
    </row>
    <row r="50" spans="10:10">
      <c r="J50">
        <v>2</v>
      </c>
    </row>
  </sheetData>
  <mergeCells count="3">
    <mergeCell ref="A1:F1"/>
    <mergeCell ref="A28:F28"/>
    <mergeCell ref="A2:D2"/>
  </mergeCells>
  <pageMargins left="0.7" right="0.7" top="0.75" bottom="0.75" header="0.3" footer="0.3"/>
  <pageSetup paperSize="122" scale="87" orientation="portrait" r:id="rId1"/>
  <rowBreaks count="1" manualBreakCount="1">
    <brk id="28" max="16383" man="1"/>
  </rowBreaks>
  <colBreaks count="1" manualBreakCount="1">
    <brk id="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2"/>
  <sheetViews>
    <sheetView topLeftCell="A16" workbookViewId="0">
      <selection activeCell="B8" sqref="B8"/>
    </sheetView>
  </sheetViews>
  <sheetFormatPr defaultColWidth="11.42578125" defaultRowHeight="14.45"/>
  <cols>
    <col min="1" max="1" width="25.42578125" customWidth="1"/>
    <col min="5" max="5" width="13.7109375" customWidth="1"/>
  </cols>
  <sheetData>
    <row r="1" spans="1:5" ht="15" thickBot="1"/>
    <row r="2" spans="1:5" ht="15" thickBot="1">
      <c r="A2" s="164" t="s">
        <v>137</v>
      </c>
      <c r="B2" s="165"/>
      <c r="C2" s="165"/>
      <c r="D2" s="166"/>
    </row>
    <row r="3" spans="1:5">
      <c r="A3" s="16"/>
      <c r="B3" s="16"/>
      <c r="C3" s="16"/>
      <c r="D3" s="16"/>
      <c r="E3" s="16"/>
    </row>
    <row r="4" spans="1:5">
      <c r="A4" s="167" t="s">
        <v>138</v>
      </c>
      <c r="B4" s="168"/>
      <c r="C4" s="16"/>
      <c r="D4" s="16"/>
      <c r="E4" s="16"/>
    </row>
    <row r="5" spans="1:5">
      <c r="A5" s="16"/>
      <c r="B5" s="16"/>
      <c r="C5" s="169" t="s">
        <v>139</v>
      </c>
      <c r="D5" s="169"/>
      <c r="E5" s="16"/>
    </row>
    <row r="6" spans="1:5">
      <c r="A6" s="31" t="s">
        <v>140</v>
      </c>
      <c r="B6" s="27">
        <v>2025</v>
      </c>
      <c r="C6" s="32" t="s">
        <v>141</v>
      </c>
      <c r="D6" s="22">
        <v>8000</v>
      </c>
      <c r="E6" s="16"/>
    </row>
    <row r="7" spans="1:5">
      <c r="A7" s="33" t="s">
        <v>142</v>
      </c>
      <c r="B7" s="30">
        <v>1800000</v>
      </c>
      <c r="C7" s="32" t="s">
        <v>143</v>
      </c>
      <c r="D7" s="22">
        <v>20000</v>
      </c>
      <c r="E7" s="16"/>
    </row>
    <row r="8" spans="1:5">
      <c r="A8" s="31" t="s">
        <v>144</v>
      </c>
      <c r="B8" s="30">
        <v>200000</v>
      </c>
      <c r="C8" s="26" t="s">
        <v>145</v>
      </c>
      <c r="D8" s="22">
        <v>5000</v>
      </c>
      <c r="E8" s="16"/>
    </row>
    <row r="9" spans="1:5" ht="27.6">
      <c r="A9" s="29" t="s">
        <v>146</v>
      </c>
      <c r="B9" s="27">
        <v>30</v>
      </c>
      <c r="C9" s="26" t="s">
        <v>147</v>
      </c>
      <c r="D9" s="22"/>
      <c r="E9" s="16"/>
    </row>
    <row r="10" spans="1:5" ht="27.6">
      <c r="A10" s="28" t="s">
        <v>148</v>
      </c>
      <c r="B10" s="27">
        <v>8</v>
      </c>
      <c r="C10" s="26" t="s">
        <v>149</v>
      </c>
      <c r="D10" s="22"/>
      <c r="E10" s="16"/>
    </row>
    <row r="11" spans="1:5">
      <c r="A11" s="25"/>
      <c r="B11" s="24"/>
      <c r="C11" s="23" t="s">
        <v>72</v>
      </c>
      <c r="D11" s="22">
        <f>SUM(D6:D10)</f>
        <v>33000</v>
      </c>
      <c r="E11" s="16"/>
    </row>
    <row r="12" spans="1:5">
      <c r="A12" s="16"/>
      <c r="B12" s="16"/>
      <c r="C12" s="16"/>
      <c r="D12" s="16"/>
      <c r="E12" s="16"/>
    </row>
    <row r="13" spans="1:5" ht="15.6">
      <c r="A13" s="170" t="s">
        <v>150</v>
      </c>
      <c r="B13" s="170"/>
      <c r="C13" s="171" t="s">
        <v>151</v>
      </c>
      <c r="D13" s="172"/>
      <c r="E13" s="16"/>
    </row>
    <row r="14" spans="1:5" ht="15.6">
      <c r="A14" s="19" t="s">
        <v>152</v>
      </c>
      <c r="B14" s="17">
        <v>1</v>
      </c>
      <c r="C14" s="162">
        <f>B7</f>
        <v>1800000</v>
      </c>
      <c r="D14" s="163"/>
      <c r="E14" s="16"/>
    </row>
    <row r="15" spans="1:5" ht="15.6">
      <c r="A15" s="19" t="s">
        <v>153</v>
      </c>
      <c r="B15" s="17">
        <v>8.3299999999999999E-2</v>
      </c>
      <c r="C15" s="162">
        <f>$C$14*B15</f>
        <v>149940</v>
      </c>
      <c r="D15" s="163"/>
      <c r="E15" s="16"/>
    </row>
    <row r="16" spans="1:5" ht="15.6">
      <c r="A16" s="19" t="s">
        <v>154</v>
      </c>
      <c r="B16" s="17">
        <v>4.1700000000000001E-2</v>
      </c>
      <c r="C16" s="162">
        <f>$C$14*B16</f>
        <v>75060</v>
      </c>
      <c r="D16" s="163"/>
      <c r="E16" s="16"/>
    </row>
    <row r="17" spans="1:5" ht="15.6">
      <c r="A17" s="19" t="s">
        <v>155</v>
      </c>
      <c r="B17" s="17">
        <v>8.3299999999999999E-2</v>
      </c>
      <c r="C17" s="162">
        <f>$C$14*B17</f>
        <v>149940</v>
      </c>
      <c r="D17" s="163"/>
      <c r="E17" s="16"/>
    </row>
    <row r="18" spans="1:5" ht="15.6">
      <c r="A18" s="19" t="s">
        <v>156</v>
      </c>
      <c r="B18" s="17">
        <v>0.01</v>
      </c>
      <c r="C18" s="162">
        <f>$C$14*B18</f>
        <v>18000</v>
      </c>
      <c r="D18" s="163"/>
      <c r="E18" s="16"/>
    </row>
    <row r="19" spans="1:5" ht="15.6">
      <c r="A19" s="19" t="s">
        <v>157</v>
      </c>
      <c r="B19" s="17">
        <v>0.14050000000000001</v>
      </c>
      <c r="C19" s="162">
        <f>B8</f>
        <v>200000</v>
      </c>
      <c r="D19" s="163"/>
      <c r="E19" s="16"/>
    </row>
    <row r="20" spans="1:5" ht="15.6">
      <c r="A20" s="19" t="s">
        <v>158</v>
      </c>
      <c r="B20" s="17">
        <v>8.5000000000000006E-2</v>
      </c>
      <c r="C20" s="162">
        <f t="shared" ref="C20:C25" si="0">$C$14*B20</f>
        <v>153000</v>
      </c>
      <c r="D20" s="163"/>
      <c r="E20" s="16"/>
    </row>
    <row r="21" spans="1:5" ht="15.6">
      <c r="A21" s="21" t="s">
        <v>159</v>
      </c>
      <c r="B21" s="17">
        <v>6.9599999999999995E-2</v>
      </c>
      <c r="C21" s="162">
        <f t="shared" si="0"/>
        <v>125279.99999999999</v>
      </c>
      <c r="D21" s="163"/>
      <c r="E21" s="16"/>
    </row>
    <row r="22" spans="1:5" ht="15.6">
      <c r="A22" s="19" t="s">
        <v>160</v>
      </c>
      <c r="B22" s="20">
        <v>0.12</v>
      </c>
      <c r="C22" s="162">
        <f t="shared" si="0"/>
        <v>216000</v>
      </c>
      <c r="D22" s="163"/>
      <c r="E22" s="16"/>
    </row>
    <row r="23" spans="1:5" ht="15.6">
      <c r="A23" s="19" t="s">
        <v>161</v>
      </c>
      <c r="B23" s="17"/>
      <c r="C23" s="162">
        <f t="shared" si="0"/>
        <v>0</v>
      </c>
      <c r="D23" s="163"/>
      <c r="E23" s="16"/>
    </row>
    <row r="24" spans="1:5" ht="15.6">
      <c r="A24" s="19" t="s">
        <v>162</v>
      </c>
      <c r="B24" s="17"/>
      <c r="C24" s="162">
        <f t="shared" si="0"/>
        <v>0</v>
      </c>
      <c r="D24" s="163"/>
      <c r="E24" s="16"/>
    </row>
    <row r="25" spans="1:5" ht="15.6">
      <c r="A25" s="19" t="s">
        <v>163</v>
      </c>
      <c r="B25" s="17"/>
      <c r="C25" s="162">
        <f t="shared" si="0"/>
        <v>0</v>
      </c>
      <c r="D25" s="163"/>
      <c r="E25" s="16"/>
    </row>
    <row r="26" spans="1:5" ht="15.6">
      <c r="A26" s="19" t="s">
        <v>164</v>
      </c>
      <c r="B26" s="17">
        <v>5.7999999999999996E-3</v>
      </c>
      <c r="C26" s="162">
        <f>D11/4</f>
        <v>8250</v>
      </c>
      <c r="D26" s="163"/>
      <c r="E26" s="16"/>
    </row>
    <row r="27" spans="1:5" ht="15.6">
      <c r="A27" s="18"/>
      <c r="B27" s="17"/>
      <c r="C27" s="176"/>
      <c r="D27" s="177"/>
      <c r="E27" s="16"/>
    </row>
    <row r="28" spans="1:5">
      <c r="A28" s="14" t="s">
        <v>165</v>
      </c>
      <c r="B28" s="11">
        <f>SUM(B14:B26)</f>
        <v>1.6392</v>
      </c>
      <c r="C28" s="162">
        <f>SUM(C14:D26)</f>
        <v>2895470</v>
      </c>
      <c r="D28" s="163"/>
      <c r="E28" s="16"/>
    </row>
    <row r="29" spans="1:5" ht="15" thickBot="1">
      <c r="A29" s="16"/>
      <c r="B29" s="16"/>
      <c r="C29" s="16"/>
      <c r="D29" s="16"/>
      <c r="E29" s="16"/>
    </row>
    <row r="30" spans="1:5" ht="15" thickBot="1">
      <c r="A30" s="173" t="s">
        <v>166</v>
      </c>
      <c r="B30" s="174"/>
      <c r="C30" s="174"/>
      <c r="D30" s="174"/>
      <c r="E30" s="175"/>
    </row>
    <row r="31" spans="1:5" ht="28.15">
      <c r="A31" s="93"/>
      <c r="B31" s="15" t="s">
        <v>167</v>
      </c>
      <c r="C31" s="15" t="s">
        <v>168</v>
      </c>
      <c r="D31" s="15" t="s">
        <v>169</v>
      </c>
      <c r="E31" s="90" t="s">
        <v>170</v>
      </c>
    </row>
    <row r="32" spans="1:5" ht="28.15">
      <c r="A32" s="91" t="s">
        <v>171</v>
      </c>
      <c r="B32" s="13" t="s">
        <v>43</v>
      </c>
      <c r="C32" s="12">
        <f>(B7/B9)*1</f>
        <v>60000</v>
      </c>
      <c r="D32" s="92">
        <f>$B$28</f>
        <v>1.6392</v>
      </c>
      <c r="E32" s="12">
        <f>ROUND(C32*D32,0)</f>
        <v>98352</v>
      </c>
    </row>
  </sheetData>
  <mergeCells count="21">
    <mergeCell ref="C18:D18"/>
    <mergeCell ref="C19:D19"/>
    <mergeCell ref="C27:D27"/>
    <mergeCell ref="C28:D28"/>
    <mergeCell ref="C20:D20"/>
    <mergeCell ref="A30:E30"/>
    <mergeCell ref="C21:D21"/>
    <mergeCell ref="C22:D22"/>
    <mergeCell ref="C23:D23"/>
    <mergeCell ref="C24:D24"/>
    <mergeCell ref="C25:D25"/>
    <mergeCell ref="C26:D26"/>
    <mergeCell ref="C14:D14"/>
    <mergeCell ref="C15:D15"/>
    <mergeCell ref="C16:D16"/>
    <mergeCell ref="C17:D17"/>
    <mergeCell ref="A2:D2"/>
    <mergeCell ref="A4:B4"/>
    <mergeCell ref="C5:D5"/>
    <mergeCell ref="A13:B13"/>
    <mergeCell ref="C13:D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20"/>
  <sheetViews>
    <sheetView workbookViewId="0">
      <pane xSplit="1" topLeftCell="J1" activePane="topRight" state="frozen"/>
      <selection pane="topRight" activeCell="M10" sqref="M10"/>
    </sheetView>
  </sheetViews>
  <sheetFormatPr defaultColWidth="11.42578125" defaultRowHeight="14.45"/>
  <cols>
    <col min="1" max="15" width="17.7109375" style="63" customWidth="1"/>
    <col min="16" max="16" width="12" style="63" customWidth="1"/>
    <col min="17" max="25" width="8.42578125" style="63" customWidth="1"/>
  </cols>
  <sheetData>
    <row r="1" spans="1:16">
      <c r="P1" s="66"/>
    </row>
    <row r="2" spans="1:16">
      <c r="P2" s="66"/>
    </row>
    <row r="3" spans="1:16" ht="21.6">
      <c r="A3" s="111" t="s">
        <v>172</v>
      </c>
      <c r="B3" s="108" t="s">
        <v>173</v>
      </c>
      <c r="C3" s="108" t="s">
        <v>174</v>
      </c>
      <c r="D3" s="108" t="s">
        <v>175</v>
      </c>
      <c r="E3" s="108" t="s">
        <v>176</v>
      </c>
      <c r="F3" s="108" t="s">
        <v>177</v>
      </c>
      <c r="G3" s="108" t="s">
        <v>178</v>
      </c>
      <c r="H3" s="108" t="s">
        <v>179</v>
      </c>
      <c r="I3" s="108" t="s">
        <v>180</v>
      </c>
      <c r="J3" s="108" t="s">
        <v>181</v>
      </c>
      <c r="K3" s="108" t="s">
        <v>182</v>
      </c>
      <c r="L3" s="108" t="s">
        <v>183</v>
      </c>
      <c r="M3" s="108" t="s">
        <v>184</v>
      </c>
      <c r="N3" s="108" t="s">
        <v>185</v>
      </c>
      <c r="O3" s="108" t="s">
        <v>186</v>
      </c>
      <c r="P3" s="109" t="s">
        <v>187</v>
      </c>
    </row>
    <row r="4" spans="1:16" ht="30.6">
      <c r="A4" s="64" t="s">
        <v>188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>
        <v>5800</v>
      </c>
      <c r="M4" s="65">
        <v>4966.6666666666697</v>
      </c>
      <c r="N4" s="65"/>
      <c r="O4" s="65">
        <v>7300</v>
      </c>
      <c r="P4" s="110">
        <f>ROUND(AVERAGE(B4:O4),0)</f>
        <v>6022</v>
      </c>
    </row>
    <row r="5" spans="1:16" ht="24" customHeight="1">
      <c r="A5" s="64" t="s">
        <v>189</v>
      </c>
      <c r="B5" s="65"/>
      <c r="C5" s="65"/>
      <c r="D5" s="65"/>
      <c r="E5" s="65"/>
      <c r="F5" s="65"/>
      <c r="G5" s="65">
        <v>27300</v>
      </c>
      <c r="H5" s="65">
        <v>37647</v>
      </c>
      <c r="I5" s="65"/>
      <c r="J5" s="65"/>
      <c r="K5" s="65"/>
      <c r="L5" s="65"/>
      <c r="M5" s="65"/>
      <c r="N5" s="65"/>
      <c r="O5" s="65">
        <v>26900</v>
      </c>
      <c r="P5" s="110">
        <f t="shared" ref="P5:P15" si="0">ROUND(AVERAGE(B5:O5),0)</f>
        <v>30616</v>
      </c>
    </row>
    <row r="6" spans="1:16" ht="24.75" customHeight="1">
      <c r="A6" s="64" t="s">
        <v>190</v>
      </c>
      <c r="B6" s="65">
        <v>250000</v>
      </c>
      <c r="C6" s="65">
        <f>203000*1.19</f>
        <v>241570</v>
      </c>
      <c r="D6" s="65"/>
      <c r="E6" s="65">
        <f>182000*1.19</f>
        <v>216580</v>
      </c>
      <c r="F6" s="65">
        <v>346900</v>
      </c>
      <c r="G6" s="65"/>
      <c r="H6" s="65"/>
      <c r="I6" s="65"/>
      <c r="J6" s="65"/>
      <c r="K6" s="65"/>
      <c r="L6" s="65">
        <f>219000*1.19</f>
        <v>260610</v>
      </c>
      <c r="M6" s="65">
        <v>232500</v>
      </c>
      <c r="N6" s="65">
        <v>240000</v>
      </c>
      <c r="O6" s="65"/>
      <c r="P6" s="110">
        <f t="shared" si="0"/>
        <v>255451</v>
      </c>
    </row>
    <row r="7" spans="1:16" ht="23.25" customHeight="1">
      <c r="A7" s="64" t="s">
        <v>105</v>
      </c>
      <c r="B7" s="65"/>
      <c r="C7" s="65">
        <f>79800*1.19</f>
        <v>94962</v>
      </c>
      <c r="D7" s="65"/>
      <c r="E7" s="65">
        <f>40000*1.19</f>
        <v>47600</v>
      </c>
      <c r="F7" s="65">
        <v>109900</v>
      </c>
      <c r="G7" s="65"/>
      <c r="H7" s="65"/>
      <c r="I7" s="65"/>
      <c r="J7" s="65"/>
      <c r="K7" s="65"/>
      <c r="L7" s="65">
        <f>70000*1.19</f>
        <v>83300</v>
      </c>
      <c r="M7" s="65">
        <v>83900</v>
      </c>
      <c r="N7" s="65">
        <v>80000</v>
      </c>
      <c r="O7" s="65"/>
      <c r="P7" s="110">
        <f t="shared" si="0"/>
        <v>83277</v>
      </c>
    </row>
    <row r="8" spans="1:16" ht="27" customHeight="1">
      <c r="A8" s="64" t="s">
        <v>191</v>
      </c>
      <c r="B8" s="65">
        <v>184100</v>
      </c>
      <c r="C8" s="65">
        <f>23800*1.19*5</f>
        <v>141610</v>
      </c>
      <c r="D8" s="65"/>
      <c r="E8" s="65"/>
      <c r="F8" s="65">
        <v>203900</v>
      </c>
      <c r="G8" s="65"/>
      <c r="H8" s="65"/>
      <c r="I8" s="65"/>
      <c r="J8" s="65"/>
      <c r="K8" s="65"/>
      <c r="L8" s="65">
        <f>26000*5*1.19</f>
        <v>154700</v>
      </c>
      <c r="M8" s="65">
        <f>25900*5</f>
        <v>129500</v>
      </c>
      <c r="N8" s="65">
        <f>23000*5</f>
        <v>115000</v>
      </c>
      <c r="O8" s="65"/>
      <c r="P8" s="110">
        <f t="shared" si="0"/>
        <v>154802</v>
      </c>
    </row>
    <row r="9" spans="1:16" ht="32.25" customHeight="1">
      <c r="A9" s="64" t="s">
        <v>108</v>
      </c>
      <c r="B9" s="65"/>
      <c r="C9" s="65"/>
      <c r="D9" s="65"/>
      <c r="E9" s="65"/>
      <c r="F9" s="65"/>
      <c r="G9" s="65"/>
      <c r="H9" s="65"/>
      <c r="I9" s="65">
        <v>44990</v>
      </c>
      <c r="J9" s="65">
        <v>27000</v>
      </c>
      <c r="K9" s="65"/>
      <c r="L9" s="107">
        <f>5800*5*1.19</f>
        <v>34510</v>
      </c>
      <c r="M9" s="65">
        <v>31000</v>
      </c>
      <c r="N9" s="65">
        <f>4500*5</f>
        <v>22500</v>
      </c>
      <c r="O9" s="65"/>
      <c r="P9" s="110">
        <f t="shared" si="0"/>
        <v>32000</v>
      </c>
    </row>
    <row r="10" spans="1:16">
      <c r="A10" s="64" t="s">
        <v>109</v>
      </c>
      <c r="B10" s="65"/>
      <c r="C10" s="65">
        <f>10400*1.19</f>
        <v>12376</v>
      </c>
      <c r="D10" s="65"/>
      <c r="E10" s="65"/>
      <c r="F10" s="65"/>
      <c r="G10" s="65"/>
      <c r="H10" s="65"/>
      <c r="I10" s="65">
        <v>9490</v>
      </c>
      <c r="J10" s="65"/>
      <c r="K10" s="65"/>
      <c r="L10" s="65">
        <f>11500*1.19</f>
        <v>13685</v>
      </c>
      <c r="M10" s="65">
        <v>9900</v>
      </c>
      <c r="N10" s="65">
        <v>10000</v>
      </c>
      <c r="O10" s="65"/>
      <c r="P10" s="110">
        <f t="shared" si="0"/>
        <v>11090</v>
      </c>
    </row>
    <row r="11" spans="1:16" ht="24.75" customHeight="1">
      <c r="A11" s="64" t="s">
        <v>111</v>
      </c>
      <c r="B11" s="65">
        <v>5200</v>
      </c>
      <c r="C11" s="65">
        <f>4950*1.19</f>
        <v>5890.5</v>
      </c>
      <c r="D11" s="65"/>
      <c r="E11" s="65">
        <f>5000*1.19</f>
        <v>5950</v>
      </c>
      <c r="F11" s="65"/>
      <c r="G11" s="65"/>
      <c r="H11" s="65"/>
      <c r="I11" s="65"/>
      <c r="J11" s="65"/>
      <c r="K11" s="65"/>
      <c r="L11" s="65">
        <f>5000*1.19</f>
        <v>5950</v>
      </c>
      <c r="M11" s="65">
        <v>4800</v>
      </c>
      <c r="N11" s="65">
        <v>5000</v>
      </c>
      <c r="O11" s="65"/>
      <c r="P11" s="110">
        <f t="shared" si="0"/>
        <v>5465</v>
      </c>
    </row>
    <row r="12" spans="1:16" ht="40.9">
      <c r="A12" s="64" t="s">
        <v>192</v>
      </c>
      <c r="B12" s="65">
        <v>27050</v>
      </c>
      <c r="C12" s="65"/>
      <c r="D12" s="65"/>
      <c r="E12" s="65">
        <v>24000</v>
      </c>
      <c r="F12" s="65"/>
      <c r="G12" s="65"/>
      <c r="H12" s="65"/>
      <c r="I12" s="65"/>
      <c r="J12" s="65"/>
      <c r="K12" s="65">
        <v>60000</v>
      </c>
      <c r="L12" s="65"/>
      <c r="M12" s="65"/>
      <c r="N12" s="65"/>
      <c r="O12" s="65"/>
      <c r="P12" s="110">
        <f t="shared" si="0"/>
        <v>37017</v>
      </c>
    </row>
    <row r="13" spans="1:16" ht="20.45">
      <c r="A13" s="64" t="s">
        <v>193</v>
      </c>
      <c r="B13" s="65"/>
      <c r="C13" s="65"/>
      <c r="D13" s="65">
        <v>63600</v>
      </c>
      <c r="E13" s="65">
        <v>110000</v>
      </c>
      <c r="F13" s="65"/>
      <c r="G13" s="65"/>
      <c r="H13" s="65"/>
      <c r="I13" s="65"/>
      <c r="J13" s="65"/>
      <c r="K13" s="65">
        <v>50000</v>
      </c>
      <c r="L13" s="65"/>
      <c r="M13" s="65"/>
      <c r="N13" s="65"/>
      <c r="O13" s="65"/>
      <c r="P13" s="110">
        <f t="shared" si="0"/>
        <v>74533</v>
      </c>
    </row>
    <row r="14" spans="1:16" ht="24" customHeight="1">
      <c r="A14" s="64" t="s">
        <v>87</v>
      </c>
      <c r="B14" s="65"/>
      <c r="C14" s="65"/>
      <c r="D14" s="65">
        <v>43000</v>
      </c>
      <c r="E14" s="65">
        <v>24500</v>
      </c>
      <c r="F14" s="65">
        <f>29900*4</f>
        <v>119600</v>
      </c>
      <c r="G14" s="65"/>
      <c r="H14" s="65"/>
      <c r="I14" s="65"/>
      <c r="J14" s="65"/>
      <c r="K14" s="65">
        <v>50000</v>
      </c>
      <c r="L14" s="65"/>
      <c r="M14" s="65"/>
      <c r="N14" s="65"/>
      <c r="O14" s="65"/>
      <c r="P14" s="110">
        <f t="shared" si="0"/>
        <v>59275</v>
      </c>
    </row>
    <row r="15" spans="1:16" ht="32.25" customHeight="1">
      <c r="A15" s="64" t="s">
        <v>194</v>
      </c>
      <c r="B15" s="65">
        <v>17050</v>
      </c>
      <c r="C15" s="65"/>
      <c r="D15" s="65">
        <v>25500</v>
      </c>
      <c r="E15" s="65">
        <v>16000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110">
        <f t="shared" si="0"/>
        <v>19517</v>
      </c>
    </row>
    <row r="16" spans="1:16">
      <c r="C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</row>
    <row r="17" spans="1:12">
      <c r="L17" s="106"/>
    </row>
    <row r="19" spans="1:12">
      <c r="A19"/>
    </row>
    <row r="20" spans="1:12">
      <c r="A2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11.42578125" defaultRowHeight="14.4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568c9b8-9d9f-4d82-bafc-27b51a2c169a" xsi:nil="true"/>
    <lcf76f155ced4ddcb4097134ff3c332f xmlns="7adf9574-4665-4911-94fb-b5383e0c22e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80F744B1D81B47941D579E4515D481" ma:contentTypeVersion="18" ma:contentTypeDescription="Crear nuevo documento." ma:contentTypeScope="" ma:versionID="7a6a9d6c3587a69d663815383701d1cb">
  <xsd:schema xmlns:xsd="http://www.w3.org/2001/XMLSchema" xmlns:xs="http://www.w3.org/2001/XMLSchema" xmlns:p="http://schemas.microsoft.com/office/2006/metadata/properties" xmlns:ns2="7adf9574-4665-4911-94fb-b5383e0c22e8" xmlns:ns3="f568c9b8-9d9f-4d82-bafc-27b51a2c169a" targetNamespace="http://schemas.microsoft.com/office/2006/metadata/properties" ma:root="true" ma:fieldsID="23892f393b3fa835f04bc41e1cc23eb5" ns2:_="" ns3:_="">
    <xsd:import namespace="7adf9574-4665-4911-94fb-b5383e0c22e8"/>
    <xsd:import namespace="f568c9b8-9d9f-4d82-bafc-27b51a2c16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df9574-4665-4911-94fb-b5383e0c2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bfb0067e-4fa4-4e25-8f42-9eb7912323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68c9b8-9d9f-4d82-bafc-27b51a2c169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54f6680-474f-4bcc-9800-d39ecd9c8452}" ma:internalName="TaxCatchAll" ma:showField="CatchAllData" ma:web="f568c9b8-9d9f-4d82-bafc-27b51a2c16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E522BB-7D29-4B73-B983-0159920D0636}"/>
</file>

<file path=customXml/itemProps2.xml><?xml version="1.0" encoding="utf-8"?>
<ds:datastoreItem xmlns:ds="http://schemas.openxmlformats.org/officeDocument/2006/customXml" ds:itemID="{AFD915CC-8E0A-4D6A-A509-65045E3B50E4}"/>
</file>

<file path=customXml/itemProps3.xml><?xml version="1.0" encoding="utf-8"?>
<ds:datastoreItem xmlns:ds="http://schemas.openxmlformats.org/officeDocument/2006/customXml" ds:itemID="{94D231E9-877C-441B-A8AD-22C32F7B7E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Paola Andrea Loaiza Cruz</dc:creator>
  <cp:keywords/>
  <dc:description/>
  <cp:lastModifiedBy>Felix Ricardo Giraldo</cp:lastModifiedBy>
  <cp:revision/>
  <dcterms:created xsi:type="dcterms:W3CDTF">2024-07-26T14:54:28Z</dcterms:created>
  <dcterms:modified xsi:type="dcterms:W3CDTF">2025-09-17T13:37:08Z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0x0101004780F744B1D81B47941D579E4515D481</vt:lpwstr>
  </property>
  <property fmtid="{D5CDD505-2E9C-101B-9397-08002B2CF9AE}" pid="3" name="MediaServiceImageTags">
    <vt:lpwstr/>
  </property>
</Properties>
</file>