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21.Aerocivil 2025\3.CONTRATACION AERO 2025\3.16.Aeropuerto Quibdo\3.16.3.Proyecto Quibdo 2025\"/>
    </mc:Choice>
  </mc:AlternateContent>
  <xr:revisionPtr revIDLastSave="0" documentId="13_ncr:1_{E6FF5029-84A3-42A5-98D5-CACDF824ACD2}" xr6:coauthVersionLast="47" xr6:coauthVersionMax="47" xr10:uidLastSave="{00000000-0000-0000-0000-000000000000}"/>
  <bookViews>
    <workbookView xWindow="-120" yWindow="-120" windowWidth="20730" windowHeight="11160" xr2:uid="{E9790FC3-E85B-461C-BE48-D0FFA702F4BA}"/>
  </bookViews>
  <sheets>
    <sheet name="Hoja1" sheetId="1" r:id="rId1"/>
  </sheets>
  <definedNames>
    <definedName name="_xlnm.Print_Area" localSheetId="0">Hoja1!$A$1:$L$131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3" i="1" l="1"/>
  <c r="K112" i="1"/>
  <c r="K115" i="1" s="1"/>
  <c r="K87" i="1"/>
  <c r="K78" i="1"/>
  <c r="K15" i="1"/>
  <c r="K83" i="1"/>
  <c r="K118" i="1" l="1"/>
  <c r="K120" i="1" s="1"/>
  <c r="K81" i="1"/>
  <c r="I61" i="1"/>
  <c r="I62" i="1"/>
  <c r="I101" i="1"/>
  <c r="K101" i="1" s="1"/>
  <c r="K100" i="1"/>
  <c r="K99" i="1"/>
  <c r="K98" i="1" l="1"/>
  <c r="K97" i="1"/>
  <c r="I93" i="1"/>
  <c r="K93" i="1" l="1"/>
  <c r="I92" i="1"/>
  <c r="K92" i="1"/>
  <c r="I91" i="1"/>
  <c r="K91" i="1" s="1"/>
  <c r="I90" i="1"/>
  <c r="K90" i="1" s="1"/>
  <c r="I87" i="1"/>
  <c r="I89" i="1"/>
  <c r="K89" i="1" s="1"/>
  <c r="I88" i="1"/>
  <c r="K88" i="1" s="1"/>
  <c r="K96" i="1"/>
  <c r="K95" i="1"/>
  <c r="K94" i="1"/>
  <c r="I56" i="1"/>
  <c r="I82" i="1"/>
  <c r="K82" i="1" s="1"/>
  <c r="K80" i="1"/>
  <c r="K79" i="1"/>
  <c r="K74" i="1"/>
  <c r="K73" i="1"/>
  <c r="K72" i="1"/>
  <c r="K71" i="1"/>
  <c r="K103" i="1" l="1"/>
  <c r="K85" i="1"/>
  <c r="I45" i="1"/>
  <c r="I44" i="1"/>
  <c r="K70" i="1"/>
  <c r="K69" i="1"/>
  <c r="I55" i="1"/>
  <c r="K68" i="1"/>
  <c r="K67" i="1"/>
  <c r="K65" i="1"/>
  <c r="K66" i="1" l="1"/>
  <c r="K64" i="1"/>
  <c r="K63" i="1"/>
  <c r="K62" i="1"/>
  <c r="K61" i="1"/>
  <c r="I59" i="1"/>
  <c r="K59" i="1" s="1"/>
  <c r="I58" i="1"/>
  <c r="K58" i="1" s="1"/>
  <c r="K60" i="1"/>
  <c r="K56" i="1" l="1"/>
  <c r="I32" i="1"/>
  <c r="K32" i="1" s="1"/>
  <c r="K54" i="1"/>
  <c r="K43" i="1"/>
  <c r="K42" i="1"/>
  <c r="I57" i="1" l="1"/>
  <c r="K57" i="1" s="1"/>
  <c r="I18" i="1"/>
  <c r="I31" i="1"/>
  <c r="I23" i="1"/>
  <c r="I17" i="1" l="1"/>
  <c r="I21" i="1" s="1"/>
  <c r="I16" i="1"/>
  <c r="K55" i="1"/>
  <c r="K53" i="1" l="1"/>
  <c r="K52" i="1" l="1"/>
  <c r="I51" i="1"/>
  <c r="K51" i="1" s="1"/>
  <c r="K50" i="1" l="1"/>
  <c r="K49" i="1"/>
  <c r="I48" i="1" l="1"/>
  <c r="K48" i="1" s="1"/>
  <c r="K47" i="1"/>
  <c r="K46" i="1" l="1"/>
  <c r="K41" i="1"/>
  <c r="I30" i="1" l="1"/>
  <c r="K31" i="1"/>
  <c r="K45" i="1" l="1"/>
  <c r="K44" i="1"/>
  <c r="K40" i="1"/>
  <c r="K39" i="1"/>
  <c r="K38" i="1"/>
  <c r="K37" i="1"/>
  <c r="K36" i="1"/>
  <c r="K35" i="1"/>
  <c r="K34" i="1"/>
  <c r="K33" i="1"/>
  <c r="K30" i="1"/>
  <c r="K29" i="1"/>
  <c r="I28" i="1" l="1"/>
  <c r="I15" i="1"/>
  <c r="K28" i="1" l="1"/>
  <c r="I27" i="1"/>
  <c r="K27" i="1" s="1"/>
  <c r="I26" i="1" l="1"/>
  <c r="K16" i="1"/>
  <c r="I25" i="1"/>
  <c r="K25" i="1" s="1"/>
  <c r="I22" i="1"/>
  <c r="K22" i="1" s="1"/>
  <c r="I24" i="1"/>
  <c r="K24" i="1" s="1"/>
  <c r="K23" i="1"/>
  <c r="I20" i="1"/>
  <c r="K20" i="1" s="1"/>
  <c r="I19" i="1"/>
  <c r="K19" i="1" s="1"/>
  <c r="K18" i="1"/>
  <c r="K26" i="1" l="1"/>
  <c r="K21" i="1"/>
  <c r="K17" i="1" l="1"/>
  <c r="K76" i="1" s="1"/>
  <c r="K104" i="1" s="1"/>
  <c r="K107" i="1" s="1"/>
  <c r="K109" i="1" s="1"/>
  <c r="K122" i="1" s="1"/>
  <c r="K129" i="1" l="1"/>
  <c r="J126" i="1" l="1"/>
  <c r="J127" i="1" l="1"/>
  <c r="J128" i="1"/>
  <c r="J129" i="1" l="1"/>
</calcChain>
</file>

<file path=xl/sharedStrings.xml><?xml version="1.0" encoding="utf-8"?>
<sst xmlns="http://schemas.openxmlformats.org/spreadsheetml/2006/main" count="453" uniqueCount="264">
  <si>
    <t>Formulario 1 - Propuesta económica  - Documento tipo de selección abreviada de menor cuantía - versión 2</t>
  </si>
  <si>
    <t>Código</t>
  </si>
  <si>
    <t>CCE-EICP-FM-25</t>
  </si>
  <si>
    <t>Versión</t>
  </si>
  <si>
    <t>FORMULARIO 1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</si>
  <si>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</si>
  <si>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ITEM DE PAGO</t>
  </si>
  <si>
    <t>Nro.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</si>
  <si>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</si>
  <si>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</si>
  <si>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</si>
  <si>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</si>
  <si>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</si>
  <si>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</si>
  <si>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</si>
  <si>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</si>
  <si>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1.1</t>
  </si>
  <si>
    <t>1.2.48</t>
  </si>
  <si>
    <t>X</t>
  </si>
  <si>
    <t>m</t>
  </si>
  <si>
    <t>1.2</t>
  </si>
  <si>
    <t>1.3</t>
  </si>
  <si>
    <t>1.2.34</t>
  </si>
  <si>
    <t>DESMONTE Y RETIRO puertas y ventanas, cuidando su estado,  incluye cargue, marco, transporte y disposición según orientacion de la supervisión</t>
  </si>
  <si>
    <t>un</t>
  </si>
  <si>
    <t>1.4</t>
  </si>
  <si>
    <t>3.1.1</t>
  </si>
  <si>
    <t>1.5</t>
  </si>
  <si>
    <t>1.3.4</t>
  </si>
  <si>
    <t>m3</t>
  </si>
  <si>
    <t>1.6</t>
  </si>
  <si>
    <t>1.4.5</t>
  </si>
  <si>
    <t>1.7</t>
  </si>
  <si>
    <t>m2</t>
  </si>
  <si>
    <t>1.8</t>
  </si>
  <si>
    <t>10.1.3</t>
  </si>
  <si>
    <t>PISO DURO. andén en concreto de 17.24 Mpa (e=0.10m) , cepillado y ratoneado. Incluye diseño arqutectonico y estructural</t>
  </si>
  <si>
    <t>1.9</t>
  </si>
  <si>
    <t>3.1.3</t>
  </si>
  <si>
    <t>kg</t>
  </si>
  <si>
    <t>1.10</t>
  </si>
  <si>
    <t>2.1.13</t>
  </si>
  <si>
    <t>1.11</t>
  </si>
  <si>
    <t>1.12</t>
  </si>
  <si>
    <t>1.13</t>
  </si>
  <si>
    <t>2.1</t>
  </si>
  <si>
    <t>2.2</t>
  </si>
  <si>
    <t>2.3</t>
  </si>
  <si>
    <t>2.4</t>
  </si>
  <si>
    <t>2.3.22</t>
  </si>
  <si>
    <t>CONCRETO 3000 PSI o 21 MPA. Viga de cimentación estructura, incluye encofrado y desencofrado, Incluye diseño arqutectonico y estructural</t>
  </si>
  <si>
    <t>2.2.8</t>
  </si>
  <si>
    <t>14.1.18</t>
  </si>
  <si>
    <t>PINTURA GENERAL, interior o exterior con pintura de primera calidad, sobre columnas, muro, cielos, vigas y/o sobre pintura existente, color a definir, en todas las superficies a pintar, se aplicarán cuantas manos de pintura e imprimantes sean necesarios. Incluye todo tipo de resanes y preparación de superficie, puertas, ventanas, arañas pasamanos, es decir sin descontar vanos; Incluye recursos, andamios, acomodación mobiliario y herramienta menor y limpieza</t>
  </si>
  <si>
    <t>7.1.24</t>
  </si>
  <si>
    <t>PUERTA EN ALUMINIO anonizado o crudo y vidrio polarizado y cerradura fina doble macho tipo, Incluye recursos, instalación, pulida en filetes y piso por incrustación al mismo y aseo</t>
  </si>
  <si>
    <t>7.1.32</t>
  </si>
  <si>
    <t>13.9.4</t>
  </si>
  <si>
    <t>9.1.8</t>
  </si>
  <si>
    <t>1.43</t>
  </si>
  <si>
    <t>7.1.4</t>
  </si>
  <si>
    <t>7.1.15</t>
  </si>
  <si>
    <t>11.1.2</t>
  </si>
  <si>
    <t>11.1.12</t>
  </si>
  <si>
    <t>1.48</t>
  </si>
  <si>
    <t>11.2.3</t>
  </si>
  <si>
    <t>PUNTO HIDRAULICO. 1/2", salida galvanizada, 2.0 m de tubo regatas y resanes en acabados muros y pisos existentes o fijación con abrazaderas</t>
  </si>
  <si>
    <t>11.2.5</t>
  </si>
  <si>
    <t>TUBERIA PVC-P Ø 1/2 " RDE 21 ACUED. Suministro, transporte e instalación de tubería pvc-p Ø1/2" RDE 21 - Presión para abastos. Incluye excavación y/o canche o fijació con abrazaderas, accesorios y todo lo necesario para su correcta instalación y buen funcionamiento</t>
  </si>
  <si>
    <t>12.1.17</t>
  </si>
  <si>
    <t>11.1.41</t>
  </si>
  <si>
    <t>DISPENSADOR DE PAPEL HIGIENICO INSTITUCIONAL. En acero inoxidable, diámetro minimo 26 cm, incluye suministro e instalación, de ser neceario, retiro del anterior en mal estado y resanes en muro punto de instalación</t>
  </si>
  <si>
    <t>11.1.42</t>
  </si>
  <si>
    <t>DISPENSADOR INSTITUCIONAL JABON LIQUIDO. En acero inoxidable, capacidad minima 1 litro, incluye suministro e instalación, de ser neceario, retiro del anterior en mal estado y resanes en muro punto de instalación</t>
  </si>
  <si>
    <t>11.1.43</t>
  </si>
  <si>
    <t>DISPENSADOR INSTITUCIONAL DE TOALLAS DE PAPEL. De secado manos, en acero inoxidable, incluye suministro e instalación, de ser neceario, retiro del anterior en mal estado y resanes en muro punto de instalación</t>
  </si>
  <si>
    <t>9.9</t>
  </si>
  <si>
    <t>SALIDA ELECTRICA TOMACORRIENTE. general doble 123V  15A con polo a tierra, incluye hasta 14.00 metros cable y tuberia y accesorios, toma doble, incrustado a muro o MT. Incluye diseño eléctrico</t>
  </si>
  <si>
    <t>9.12</t>
  </si>
  <si>
    <t>9.5</t>
  </si>
  <si>
    <t>DUCTO METALICO. Instalación de ductería metálica MTE de 1" con cajas y accesorios. Incluye diseño eléctrico</t>
  </si>
  <si>
    <t>9.16</t>
  </si>
  <si>
    <t>ALAMBRADO DE DUCTO. con cable 3(12)+1(12) AWG de Cu THHN. Incluye diseño eléctrico</t>
  </si>
  <si>
    <t>9.13</t>
  </si>
  <si>
    <t>ACOMETIDA. Alambrado principal en 4(6)+1(8) de Cu THHN. Incluye diseño eléctrico</t>
  </si>
  <si>
    <t>15.2.9</t>
  </si>
  <si>
    <t>15.3.18</t>
  </si>
  <si>
    <t>CORTINA BLACKOUT. Suministro e instalación cortinas black out, telon blanco mecanismo manual</t>
  </si>
  <si>
    <t>1.2.15</t>
  </si>
  <si>
    <t>2.4.2</t>
  </si>
  <si>
    <t>FILETES Y DILATACIONES, en mortero, estuco y pintura, en sitios donde se desmonte la puerta o ventana</t>
  </si>
  <si>
    <t>ml</t>
  </si>
  <si>
    <t>9.9.1</t>
  </si>
  <si>
    <t>SALIDA ELECTRICA TOMACORRIENTE A 220 C. Con polo a tierra, de 15 a 20 A,incluye hasta 14.00 metros cable y tuberia y accesorios, toma doble, incrustado a muro o MT. Incluye diseño eléctrico, tuberia MT o incrustada</t>
  </si>
  <si>
    <t>9.19</t>
  </si>
  <si>
    <t xml:space="preserve">SUBTOTAL OBRAS </t>
  </si>
  <si>
    <t>IVA EN OBRAS</t>
  </si>
  <si>
    <t>SUBTOTAL OBRAS MAS IVA:</t>
  </si>
  <si>
    <t>DISEÑOS Y SUMINISTROS</t>
  </si>
  <si>
    <t>4.1</t>
  </si>
  <si>
    <t>4.2</t>
  </si>
  <si>
    <t>Subtotal DISEÑOS Y SUMINISTROS</t>
  </si>
  <si>
    <t>IVA EN DISEÑOS Y SUMINISTROS</t>
  </si>
  <si>
    <t>SUBTOTAL DISEÑOS Y SUMINISTRO MAS IVA:</t>
  </si>
  <si>
    <t>VALOR TOTAL:</t>
  </si>
  <si>
    <r>
      <rPr>
        <b/>
        <sz val="9"/>
        <rFont val="Arial"/>
        <family val="2"/>
      </rPr>
      <t xml:space="preserve">NOTA 1: </t>
    </r>
    <r>
      <rPr>
        <sz val="9"/>
        <rFont val="Arial"/>
        <family val="2"/>
      </rPr>
      <t xml:space="preserve"> Se debe tener en cuenta que el PRECIO UNITARIO incluye el valor de A.I.U. </t>
    </r>
  </si>
  <si>
    <t>PORCENTAJE</t>
  </si>
  <si>
    <r>
      <rPr>
        <b/>
        <sz val="9"/>
        <rFont val="Arial"/>
        <family val="2"/>
      </rPr>
      <t>NOTA 2:</t>
    </r>
    <r>
      <rPr>
        <sz val="9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</si>
  <si>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</si>
  <si>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r>
      <rPr>
        <b/>
        <sz val="9"/>
        <rFont val="Arial"/>
        <family val="2"/>
      </rPr>
      <t>NOTA 3:</t>
    </r>
    <r>
      <rPr>
        <sz val="9"/>
        <rFont val="Arial"/>
        <family val="2"/>
      </rPr>
      <t xml:space="preserve"> El A.I.U y su discriminación deben estar en porcentaje (%). </t>
    </r>
  </si>
  <si>
    <t xml:space="preserve">IMPREVISTO
</t>
  </si>
  <si>
    <t xml:space="preserve">UTILIDAD
</t>
  </si>
  <si>
    <t>TOTAL A.I.U</t>
  </si>
  <si>
    <r>
      <t xml:space="preserve">[La entidad puede utilizar este formulario de detalle del </t>
    </r>
    <r>
      <rPr>
        <b/>
        <u/>
        <sz val="9"/>
        <rFont val="Arial"/>
        <family val="2"/>
      </rPr>
      <t>presupuesto oficial</t>
    </r>
    <r>
      <rPr>
        <sz val="9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</si>
  <si>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53200C0552 REALIZAR MANTENIMIENTO DE LA INFRAESTRUCTURA AEROPORTUARIA DE LAS AREAS A CARGO DE LA AEROCIVIL EN EL AEROPUERTO DE QUIBDÓ</t>
  </si>
  <si>
    <t>PRESUPUESTO OFICIAL ######## H4</t>
  </si>
  <si>
    <t>15.2.10</t>
  </si>
  <si>
    <t>1.2.21</t>
  </si>
  <si>
    <t>DEMOLICION DE ENCHAPE PISO (PISO, INC RETIRO  ACARREO LIBRE 10km), Cerámico u otro</t>
  </si>
  <si>
    <t>DEMOLICION Y RETIRO PISOS Y ANDENES. incluye recursos, cargue, transporte y diposición final</t>
  </si>
  <si>
    <t>1.2.19</t>
  </si>
  <si>
    <t>MURO EN CONCRETO 21 Mpa (3000 PSI) E= 15 CM, altura hasta 2,5 m. Incluye encofrado y desencofrado, concreto a la vista, aristas en chaflan, sujeto a diseño arquitectonico y estructural de la entidad</t>
  </si>
  <si>
    <t>7.1.52</t>
  </si>
  <si>
    <t>2.2.20.1</t>
  </si>
  <si>
    <t>1.14</t>
  </si>
  <si>
    <t>15.1.17</t>
  </si>
  <si>
    <t>DESTRONCADO, PULIDO Y BRILLADO, piso en granito de marmol, incluye lechadas correspondientes, insumos, equipo, aseo final y mano de obra</t>
  </si>
  <si>
    <t>1.15</t>
  </si>
  <si>
    <t>12.1.12</t>
  </si>
  <si>
    <t>1.16</t>
  </si>
  <si>
    <t>12.1.15</t>
  </si>
  <si>
    <t>1.17</t>
  </si>
  <si>
    <t>1.18</t>
  </si>
  <si>
    <t>1.19</t>
  </si>
  <si>
    <t>1.20</t>
  </si>
  <si>
    <t>1.21</t>
  </si>
  <si>
    <t>1.22</t>
  </si>
  <si>
    <t>1.23</t>
  </si>
  <si>
    <t>1.24</t>
  </si>
  <si>
    <t>9.12.2</t>
  </si>
  <si>
    <t>1.25</t>
  </si>
  <si>
    <t>1.26</t>
  </si>
  <si>
    <t>1.27</t>
  </si>
  <si>
    <t>1.28</t>
  </si>
  <si>
    <t>1.29</t>
  </si>
  <si>
    <t>1.30</t>
  </si>
  <si>
    <t>15.3</t>
  </si>
  <si>
    <t>2.4.26</t>
  </si>
  <si>
    <t>1.31</t>
  </si>
  <si>
    <t>15.3.18.1</t>
  </si>
  <si>
    <t>FLANCHES EN LAMINA DE ZINC GALV CAL 20 ANCHO = 0,50 MTS. Incluye suministro e instalación, con empotrado a muro existente en mamposteria o superboard y acabado con cobertura mortero impermeable, instalado a manera de alfajia sobre muro concreto a la vista</t>
  </si>
  <si>
    <t>MANTENIMIENTO SALIDAS ELECTRICAS. Incluye incremento de cables eléctricos,  verificar y o corregir empalmes,  cambio aparato de salida control o toma y/o de iluminación maximo panel led 60 x 60 hasta su correcto funcionamiento</t>
  </si>
  <si>
    <t>1.32</t>
  </si>
  <si>
    <t>DESMONTE Y RETIRO DE APARATOS SANITARIOS. Incluye manejos de aguas, puntos hidráulico y sanitario, transporte y disposición final</t>
  </si>
  <si>
    <t>1.33</t>
  </si>
  <si>
    <t>SANITARIO. Blanco tipo avanti plus, incluye abastos en manguera metalica con llave de control, brida y demas accesorios hasta su funcionamiento</t>
  </si>
  <si>
    <t>10.1.23</t>
  </si>
  <si>
    <t>CINTA ANTIDELIZANTE LUMINICA. Para filo de gradas y pisos, con ancho de 5 cm, incluye recursos, e instalación, previo retiro de residuos que eviten la adherencia y preparación de superficie</t>
  </si>
  <si>
    <t>1.34</t>
  </si>
  <si>
    <t>1.35</t>
  </si>
  <si>
    <t>7.1.24.1</t>
  </si>
  <si>
    <t>CERRADURA DE PALANCA PARA PUERTA DE VIDRIO TEMPLADO. Suministro e instalación para puerta de giro manual, previo desmonte de la existente</t>
  </si>
  <si>
    <t>1.3.7</t>
  </si>
  <si>
    <t>1.36</t>
  </si>
  <si>
    <t>TUBERIA PVC-S Ø4". Suministro y colocación de tubería pvc-s Ø4" para aguas residuales o lluvias. Incluye suministro y transporte de los materiales, accesorios, pegante, limpiador y todos los elementos necesarios para su correcta instalación y funcionamiento,anclaje a muros con abrazaderas, en fachada torre y conectarcada desague de aieres acondicionados. La excavación y los llenos se pagaran en su ítem respectivo.</t>
  </si>
  <si>
    <t>LIMPIEZA Y MANTENIMIENTO DE CANALES Y BAJANTES DE AGUAS LLUVIAS. Incluye refuerzo con soportes en hierro 1/2 60000 PSI figurado cada 2,0 m o similar, anticorrosivo y pintura</t>
  </si>
  <si>
    <t>SELLO DE JUNTAS. Suministro e instalacion de sello tipo industrial para terminados, de uso en interiores y exteriores, alta resistencia a los agesntes atmosféricos. Incluye limpieza de lo existente y preparación de la superficie de adherencia</t>
  </si>
  <si>
    <t>1.37</t>
  </si>
  <si>
    <t>1.38</t>
  </si>
  <si>
    <t>15.1.6</t>
  </si>
  <si>
    <t>1.39</t>
  </si>
  <si>
    <t>1.40</t>
  </si>
  <si>
    <t>1.41</t>
  </si>
  <si>
    <t>TUBERIA COBRE DESAGUE AIRES ACONDICIONADOS. Reubicación de las descargas existentes, insertandolas a los puntos sanitarios. Incluye adecuacion tuberia cobre con rubatex de descarga, corte o adición, soldaduras, anclajes de aseguramiento</t>
  </si>
  <si>
    <t>9.19.1</t>
  </si>
  <si>
    <t>1.42</t>
  </si>
  <si>
    <t>PUNTO SANITARIO. 2" a 4", incluye accesorio de conexión salida agua aire acondicionado y conectarlo debidamente anclado, 4,0 m. de tubo regatas y resanes en acabados muros y pisos existentes, emboquillado con material impermeabilizante en azoteas de techo</t>
  </si>
  <si>
    <t>CUBIERTA POLICARBONATO ALVEOLAR 8 mm;  incluye recursos, caballetes, elementos de empalmes entre laminas y terminales, elementos de fijación e instalación según ficha técnica. Presentar diseño previo a supervisión. Diseños sometidos aprobaciónprevio a su ejecución</t>
  </si>
  <si>
    <t>ENCHAPE. cerámica en pared y pisos, acorde al ambiente, incluye filetes y retiro del existente quebrado con retiro y disposición final. Utilizar juntas de expansión y contracción en caucho, por tramos que garanticen los movimientos de áreas de cerámica, recomendable utilizar formatos grandes</t>
  </si>
  <si>
    <t>5.2.24</t>
  </si>
  <si>
    <t>MURO SISTEMA SECO 11 cm EN LAMINA FIBROCEMENTO DE 8MM CON PELÍCULA ACRÍLICA DOBLE CARA (INC ESTRUCTURA, LAMINA EQUITON, ACCESORIOS Y COMPLEMENTOS), estuco y pintura</t>
  </si>
  <si>
    <t>VENTANA ANTIRUIDO en PVC u otro, de dimensiones varias según vanos, incluye suministro e instalación, marco, y vidrio laminado con espesor mínimo de 6 mm color bronce o crudo antireflejo, chapeta de seguridad, diseño en 2 secciones mínimo, marco fijo abajo y luceta de apertura horizontal en parte superior. Presentar previamente el diseño a la supervisión</t>
  </si>
  <si>
    <t>1.44</t>
  </si>
  <si>
    <t>1.45</t>
  </si>
  <si>
    <t>1.46</t>
  </si>
  <si>
    <t>1.47</t>
  </si>
  <si>
    <t>1.49</t>
  </si>
  <si>
    <t>11.1.40</t>
  </si>
  <si>
    <t>CAMPANA EXTRACTORA 60 cm. Incluye suministro e instalación e cocina doméstica</t>
  </si>
  <si>
    <t>1.50</t>
  </si>
  <si>
    <t>1.51</t>
  </si>
  <si>
    <t>1.52</t>
  </si>
  <si>
    <t>1.53</t>
  </si>
  <si>
    <t>7.1.57</t>
  </si>
  <si>
    <t>EXTRACTOR DE AIRE OLORES. 10", 110 V, rejilla. Incluye apertura vano, filetes, instalación mecánica y eléctrica</t>
  </si>
  <si>
    <t>12.1.89</t>
  </si>
  <si>
    <t>1.54</t>
  </si>
  <si>
    <t>1.55</t>
  </si>
  <si>
    <t>1.56</t>
  </si>
  <si>
    <t>MANTENIMIENTO DESAGUES 2" a 6" O APARATOS SANITARIOS., incluye manejo rejilla, sondear red sanitaria, reinstalar o cambiar rejilla o rejilla sifón por abasto metalico cuello de ganzo con llave de control y/o accesorios de sanitario, lo que aplique, hasta dejarlo en correcto funcionamiento sin fugas</t>
  </si>
  <si>
    <t>1.2.30</t>
  </si>
  <si>
    <t>DESMONTE DE CANALES ALL -incluye retiro bajantes, retiro residuos y disposición final, aseo area intervenida</t>
  </si>
  <si>
    <t>1.57</t>
  </si>
  <si>
    <t>1.58</t>
  </si>
  <si>
    <t>7.1.51</t>
  </si>
  <si>
    <t>CANAL EN LAMINA DE 70 CMS DE DESARROLLO EN LAM GALV CAL 20, Incluye soportes cada 2.0 aproximadamente, anticorrosivo pertinente</t>
  </si>
  <si>
    <t>14.1.28</t>
  </si>
  <si>
    <t>ESMALTE PINTULUX PASAMANOS METALICO. Incluye cambio piezas metálicas o perfiles en tramos para aseguramiento y recuperación</t>
  </si>
  <si>
    <t>1.59</t>
  </si>
  <si>
    <t>1.1.6</t>
  </si>
  <si>
    <t>ASEO GENERAL (AREA DE HASTA 500 M2). Torre de control todos los pisos, muros, cielos cubierta, paredes y ventanas, usar detergentes y desinfectantes, retiro y disposición de residuos</t>
  </si>
  <si>
    <t>1.60</t>
  </si>
  <si>
    <t>TORRE DE CONTROL</t>
  </si>
  <si>
    <t>Subtotal TORRE DE CONTROL:</t>
  </si>
  <si>
    <t>PLAN DE VUELO</t>
  </si>
  <si>
    <t>EXCAVACION MANUAL en material común de 0 - 2 m. de profundidad, sección obligada y afines de talud, incluye cargue, transporte y retiro de sobrantes. Incluye diseño arqutectonico y estructural. Generar zapatas 0,8 *0,8 m cada 3,00 y viga cimentación 0,3 x 0,30 sobre zapatas</t>
  </si>
  <si>
    <t>SOLADOS en concreto de limpieza, F'c 2000 PSI, con espesor de 5 cm.</t>
  </si>
  <si>
    <t>CONCRETO 3000 PSI o 21 MPA. Viga de cimentación y bases estructura, incluye encofrado y desencofrado, Incluye diseño arqutectonico y estructural. Generar zapatas 0,8 *0,8 m cada 3,00 y viga cimentación 0,3 x 0,30 sobre zapatas</t>
  </si>
  <si>
    <t>CONCRETO COLUMNAS 3000 PSI o 21 MPA. con altura maxima a 4,00 m., acabado a la vista, aristas en chaflán, 0,25 x 0,25 m,incluye encofrado y desencofrado, diseño arqutectonico y estructural</t>
  </si>
  <si>
    <t>11.1.23</t>
  </si>
  <si>
    <t>TANQUE  PLASTICO 2000 LTS. Incluye instalación, accesorios hidráulicos, valvula de flotador y todo lo necesario para su correcta instalación y buen funcionamiento</t>
  </si>
  <si>
    <t>Subtotal PLAN DE VUELO:</t>
  </si>
  <si>
    <t>ADMINISTRACION, SUBESTACION Y OTROS</t>
  </si>
  <si>
    <t>Subtotal ADMINISTRACION, SUBESTACION Y OTROS:</t>
  </si>
  <si>
    <t>ESTANTERIAS METALICAS. Para Oficina o Semi-Industrial o para Garaje, tipo estante en lámina metálica doblada, con capacidad de soportar hasta 80 kg por repisa y 400 kg en total,   gris con altura de 2,00 m, en módulos de 1,00 m. de ancho y 0,4 m. de profundidad, 5 niveles armada con tornillos apropiados, incluye recursos e instalación sujetas con chazos a pared y de acuerdo a organización de almacén</t>
  </si>
  <si>
    <t>2.5</t>
  </si>
  <si>
    <t>ALACENA. Mueble superior cocina, construído en melamina, incluye recurso e instalación, mueble similar al inferior de meson cocina. Soporte horno micro-ondas</t>
  </si>
  <si>
    <t>CANTONERA ELÉCTRICA. Suministro e instalación inclusive el control y cableado por ducto, corta o larga</t>
  </si>
  <si>
    <t>2.6</t>
  </si>
  <si>
    <t>7.1.24.2</t>
  </si>
  <si>
    <t>ASEGURAMIENTO LAMINA MICROPERFORADA FACHADA. Asegurar láminas microperforada de fachada de torreo edificios de más de 7 pisos, que se han soltado por acción de los vientos. Hacer anclajes con tornillería y tuercas de seguridad para evitar su nueva soltura. Incluye tornillería, arandelas, tuercas, soldadura, corte y demás sistema de sujeción, equipo de trabajos en altura, mano de obra y demás hasta su correcta instalación y funcionamiento. La actividad va desde el nivel de los 2,5 metros hasta el último piso de la torre desde el cual es posible sujetar un andamio colgante para la actividad</t>
  </si>
  <si>
    <t>DEMOLICION MURO en ladrillo o bloque o drywall, incluye recursos, cargue, transporte y disposición final</t>
  </si>
  <si>
    <t>EXCAVACION MANUAL en material común de 0 - 2 m. de profundidad, sección obligada y afines de talud, incluye cargue, transporte y retiro de sobrantes. Incluye diseño arquitectónico y estructural</t>
  </si>
  <si>
    <t>PERFORACION Y ANCLAJE. Varilla en concreto existente con epóxico. Varilla de 60.000 PSI</t>
  </si>
  <si>
    <t>3.1.2</t>
  </si>
  <si>
    <t>3.1.4</t>
  </si>
  <si>
    <t>3.1.5</t>
  </si>
  <si>
    <t>3.1.6</t>
  </si>
  <si>
    <t>3.1.7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</si>
  <si>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</si>
  <si>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</si>
  <si>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</si>
  <si>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</si>
  <si>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</si>
  <si>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</si>
  <si>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</si>
  <si>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</si>
  <si>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HIERRO DE REFUERZO de 60000 PSI, incluye suministro, figurado y colocación. Incluye diseño arquitectónico y estructural</t>
  </si>
  <si>
    <t>LLENOS compactados con material de prestamo común. Incluye diseño arquitectónico y estructural</t>
  </si>
  <si>
    <t>LLENOS compactados con material de préstamo común. Incluye diseño arquitectónico y estructural</t>
  </si>
  <si>
    <t>PISO DURO. andén en concreto de 17.24 Mpa (e=0.10m) , cepillado y ratoneado. Incluye diseño arquitectónico y estructural</t>
  </si>
  <si>
    <t>TUBERIA PVC-S Ø2". Suministro y colocación de tubería pvc-s Ø2" para aguas residuales o lluvias. Incluye suministro y transporte de los materiales, accesorios, pegante, limpiador y todos los elementos necesarios para su correcta instalación y funcionamiento, fijación con abrazaderas (en fachada torre) y conectar cada desagüe de aires acondicionados. La excavación y los llenos se pagarán en su ítem respectivo</t>
  </si>
  <si>
    <t>TUBERIA PVC-S Ø4". Suministro y colocación de tubería pvc-s Ø4" para aguas residuales o lluvias. Incluye suministro y transporte de los materiales, accesorios, pegante, limpiador y todos los elementos necesarios para su correcta instalación y funcionamiento, anclaje a muros con abrazaderas, en fachada torre y conectar cada desagüe de aires acondicionados. La excavación y los llenos se pagaran en su ítem respectivo</t>
  </si>
  <si>
    <t>SALIDA ELECTRICA DE ALUMBRADO. con interrupción simple o conmutable y tubería  metálico  MTE, incluye recursos e instalación, salida para la iluminación con caja octogonal metálica e interruptor de encendido, plafón de losa, Panel Led Sobre Circular 1350 Lúmenes 18w Luz Fría, 14 metros de cableado y tubería, incrustado a muro o MT. Incluye diseño eléctrico. Cambio lampara 60x60</t>
  </si>
  <si>
    <t>AIRE ACONDICIONADO 18000 BTU. tipo Minisplit inverter, a 220 V, enfriamiento rápido, incluye suministro e instalación hasta su puesta en funcionamiento</t>
  </si>
  <si>
    <t>LAMINA ADHESIVO CONTROL SOLAR. Suministro e instalación papel o película adhesiva control solar UV 99, tipo IR 80 %</t>
  </si>
  <si>
    <t>MANTENIMIENTO TOBOGAN TORRE.  Mantenimiento preventivo para el correcto funcionamiento de los tubos de salvamento instalados en la Torre de Control del aeropuerto, así como capacitación teórica y práctica al personal designado en la entidad; De acuerdo con especificaciones de proveedor internacional único del equipo y en las condiciones (especificaciones técnicas del tobogán suministrado por CIGHACOLSA) o tipo de ya existir en el mercado. Ver especificación técnica del mantenimiento en el ítem respectivo. Garantizar continuidad y conservación de la póliza inicial. Incluye también personal de logística y transportes de apoyo</t>
  </si>
  <si>
    <t>PERSIANA DE TORRE DE CONTROL AEROPORTUARIO. Con accionamiento a control remoto, resistente al calor y bloqueador UV, suministro e instalación</t>
  </si>
  <si>
    <t>PERGOLA EN TUBULAR METALICO. Fabricación e instalación  estructura de techo tipo pérgola, en perfiles metálicos estructurales, con altura aproximada desde el piso acabado de 3.00 a 3.50 m., con columnas en Tubo Cuadrado metálico 100 x 100 x 2 mm x 6m, estructural ACERO HR GRADO 50, con peso 6,07 kg/m., aseguradas en base concreto con Angulo en el perímetro de  3/16" x 1-1/2" (peso 2,68 kg/m,) con tornillo roscado de anclaje 1/2"o similar previamente anclados a la columna base; vigas perimetrales y de apoyo en Tubo Cuadrado metálico 100 x 100 x 2 mm x 6m, estructural ACERO HR GRADO 50, con peso 6,07 kg/m.; alfardas de apoyo cada 1.00 m. en Tubo rectangular metálico 100 x 40 x 1,9 mm x 6m, peso de 4,083 kg/m. y correas cada 0,15 m. a eje en tubo Cuadrado metálico 1-1/2 x 1-1/2pg x 1.1mm C18 x 6m con peso 1,27 kg/m, todos los perfiles con cortes perpendiculares y tapón en extremos, soldaduras a cordón  completo entre cruces de sección, acabados en anticorrosivo y pintura. Diseños sometidos aprobación previo a su ejecución</t>
  </si>
  <si>
    <t>MESON MUEBLE INFERIOR COCINA. mesón 0,60m. de ancho, en mármol sintético o similar con lavaplatos y estufa eléctrica 2 puestos empotrada y, mueble inferior en melamina a dos niveles, instalado, incluye accesorios hidrosanitarios, abasto con llave de control en manguera flexible metálica y desagües con sifón</t>
  </si>
  <si>
    <t>ALACENA. Mueble superior cocina, construido en melamina, incluye recurso e instalación, mueble similar al inferior de mesón cocina</t>
  </si>
  <si>
    <t>LAVAMANOS. Tipo pared plus incluye abasto manguera metálica con llave de control, llave terminal y demás accesorios hasta su funcionamiento</t>
  </si>
  <si>
    <t>TUBERIA PVC-P Ø 1/2 " RDE 21 ACUED. Suministro, transporte e instalación de tubería pvc-p Ø1/2" RDE 21 - Presión para abastos. Incluye excavación y/o canche o fijación con abrazaderas, accesorios y todo lo necesario para su correcta instalación y buen funcionamiento</t>
  </si>
  <si>
    <t>Estudios y diseños conexos a estructuras de techo y pantallas laterales (pérgolas), muros nuevos, diseño hidrosanitario control de aguas lluvias y de aires acondicionados torre, incluye arquitectónico, estructural, techos, eléctrico, hidráulicos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</si>
</sst>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 &quot;$&quot;\ * #,##0_ ;_ &quot;$&quot;\ * \-#,##0_ ;_ &quot;$&quot;\ * &quot;-&quot;_ ;_ @_ "/>
    <numFmt numFmtId="165" formatCode="&quot;$&quot;\ #,##0.00;[Red]&quot;$&quot;\ \-#,##0.00"/>
    <numFmt numFmtId="166" formatCode="&quot;$&quot;\ #,##0.00_);\(&quot;$&quot;\ #,##0.00\)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0.0%"/>
    <numFmt numFmtId="172" formatCode="_([$$-240A]\ * #,##0.00_);_([$$-240A]\ * \(#,##0.00\);_([$$-240A]\ * &quot;-&quot;??_);_(@_)"/>
    <numFmt numFmtId="173" formatCode="_([$$-240A]\ * #,##0_);_([$$-240A]\ * \(#,##0\);_([$$-240A]\ * &quot;-&quot;??_);_(@_)"/>
    <numFmt numFmtId="174" formatCode="0#.00\ \L\t"/>
    <numFmt numFmtId="175" formatCode="_ [$$-240A]\ * #,##0.00_ ;_ [$$-240A]\ * \-#,##0.00_ ;_ [$$-240A]\ * &quot;-&quot;??_ ;_ @_ "/>
    <numFmt numFmtId="176" formatCode="_ * #,##0_ ;_ * \-#,##0_ ;_ * &quot;-&quot;??_ ;_ @_ 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rgb="FF595959"/>
      <name val="Arial"/>
      <family val="2"/>
    </font>
    <font>
      <sz val="9"/>
      <color rgb="FF59595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u/>
      <sz val="9"/>
      <name val="Arial"/>
      <family val="2"/>
    </font>
    <font>
      <sz val="9"/>
      <color theme="1"/>
      <name val="Arial"/>
      <family val="2"/>
    </font>
    <font>
      <b/>
      <sz val="8"/>
      <name val="Arial"/>
      <family val="2"/>
    </font>
    <font>
      <sz val="9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6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6" fillId="0" borderId="0"/>
    <xf numFmtId="174" fontId="6" fillId="0" borderId="0" applyFont="0" applyFill="0" applyBorder="0" applyAlignment="0" applyProtection="0"/>
  </cellStyleXfs>
  <cellXfs count="174">
    <xf numFmtId="0" fontId="0" fillId="0" borderId="0" xfId="0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3" applyFont="1"/>
    <xf numFmtId="0" fontId="4" fillId="0" borderId="3" xfId="3" applyFont="1" applyBorder="1"/>
    <xf numFmtId="0" fontId="4" fillId="0" borderId="7" xfId="3" applyFont="1" applyBorder="1"/>
    <xf numFmtId="0" fontId="2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2" borderId="7" xfId="3" applyFont="1" applyFill="1" applyBorder="1"/>
    <xf numFmtId="0" fontId="4" fillId="2" borderId="0" xfId="3" applyFont="1" applyFill="1"/>
    <xf numFmtId="0" fontId="5" fillId="5" borderId="29" xfId="5" applyFont="1" applyFill="1" applyBorder="1" applyAlignment="1">
      <alignment horizontal="center" vertical="center"/>
    </xf>
    <xf numFmtId="0" fontId="5" fillId="5" borderId="30" xfId="5" applyFont="1" applyFill="1" applyBorder="1" applyAlignment="1">
      <alignment horizontal="center" vertical="center"/>
    </xf>
    <xf numFmtId="0" fontId="5" fillId="5" borderId="30" xfId="5" applyFont="1" applyFill="1" applyBorder="1" applyAlignment="1">
      <alignment vertical="center"/>
    </xf>
    <xf numFmtId="0" fontId="5" fillId="5" borderId="31" xfId="5" applyFont="1" applyFill="1" applyBorder="1" applyAlignment="1">
      <alignment vertical="center"/>
    </xf>
    <xf numFmtId="0" fontId="4" fillId="0" borderId="18" xfId="7" applyFont="1" applyBorder="1" applyAlignment="1">
      <alignment horizontal="center" vertical="center"/>
    </xf>
    <xf numFmtId="0" fontId="4" fillId="0" borderId="18" xfId="7" applyFont="1" applyBorder="1" applyAlignment="1">
      <alignment horizontal="left" vertical="center" wrapText="1"/>
    </xf>
    <xf numFmtId="4" fontId="4" fillId="0" borderId="18" xfId="8" applyNumberFormat="1" applyFont="1" applyBorder="1" applyAlignment="1">
      <alignment vertical="center" wrapText="1"/>
    </xf>
    <xf numFmtId="166" fontId="4" fillId="0" borderId="18" xfId="9" applyNumberFormat="1" applyFont="1" applyBorder="1" applyAlignment="1">
      <alignment horizontal="right" vertical="center" wrapText="1"/>
    </xf>
    <xf numFmtId="166" fontId="4" fillId="0" borderId="33" xfId="9" applyNumberFormat="1" applyFont="1" applyBorder="1" applyAlignment="1">
      <alignment horizontal="right" vertical="center" wrapText="1"/>
    </xf>
    <xf numFmtId="0" fontId="4" fillId="0" borderId="18" xfId="3" applyFont="1" applyBorder="1" applyAlignment="1">
      <alignment horizontal="center" vertical="center"/>
    </xf>
    <xf numFmtId="4" fontId="4" fillId="0" borderId="18" xfId="8" applyNumberFormat="1" applyFont="1" applyFill="1" applyBorder="1" applyAlignment="1">
      <alignment vertical="center" wrapText="1"/>
    </xf>
    <xf numFmtId="166" fontId="4" fillId="0" borderId="19" xfId="9" applyNumberFormat="1" applyFont="1" applyBorder="1" applyAlignment="1">
      <alignment horizontal="right" vertical="center" wrapText="1"/>
    </xf>
    <xf numFmtId="0" fontId="4" fillId="0" borderId="32" xfId="5" applyFont="1" applyBorder="1" applyAlignment="1">
      <alignment horizontal="center" vertical="center"/>
    </xf>
    <xf numFmtId="0" fontId="5" fillId="0" borderId="14" xfId="5" applyFont="1" applyBorder="1" applyAlignment="1">
      <alignment horizontal="left" vertical="center"/>
    </xf>
    <xf numFmtId="0" fontId="4" fillId="0" borderId="15" xfId="7" applyFont="1" applyBorder="1" applyAlignment="1">
      <alignment horizontal="center" vertical="center"/>
    </xf>
    <xf numFmtId="0" fontId="4" fillId="0" borderId="15" xfId="7" applyFont="1" applyBorder="1" applyAlignment="1">
      <alignment horizontal="left" vertical="center" wrapText="1"/>
    </xf>
    <xf numFmtId="166" fontId="4" fillId="0" borderId="34" xfId="9" applyNumberFormat="1" applyFont="1" applyBorder="1" applyAlignment="1">
      <alignment horizontal="right" vertical="center" wrapText="1"/>
    </xf>
    <xf numFmtId="167" fontId="5" fillId="0" borderId="35" xfId="8" applyNumberFormat="1" applyFont="1" applyBorder="1" applyAlignment="1">
      <alignment horizontal="right" vertical="center"/>
    </xf>
    <xf numFmtId="4" fontId="4" fillId="0" borderId="24" xfId="8" applyNumberFormat="1" applyFont="1" applyBorder="1" applyAlignment="1">
      <alignment vertical="center" wrapText="1"/>
    </xf>
    <xf numFmtId="166" fontId="4" fillId="0" borderId="24" xfId="9" applyNumberFormat="1" applyFont="1" applyBorder="1" applyAlignment="1">
      <alignment horizontal="right" vertical="center" wrapText="1"/>
    </xf>
    <xf numFmtId="166" fontId="4" fillId="0" borderId="25" xfId="9" applyNumberFormat="1" applyFont="1" applyBorder="1" applyAlignment="1">
      <alignment horizontal="right" vertical="center" wrapText="1"/>
    </xf>
    <xf numFmtId="0" fontId="4" fillId="0" borderId="18" xfId="5" applyFont="1" applyBorder="1" applyAlignment="1">
      <alignment horizontal="left" vertical="center" wrapText="1"/>
    </xf>
    <xf numFmtId="0" fontId="4" fillId="0" borderId="18" xfId="5" applyFont="1" applyBorder="1" applyAlignment="1">
      <alignment horizontal="center" vertical="center"/>
    </xf>
    <xf numFmtId="0" fontId="4" fillId="0" borderId="17" xfId="5" applyFont="1" applyBorder="1" applyAlignment="1">
      <alignment horizontal="center" vertical="center"/>
    </xf>
    <xf numFmtId="0" fontId="4" fillId="0" borderId="17" xfId="7" applyFont="1" applyBorder="1" applyAlignment="1">
      <alignment horizontal="center" vertical="center"/>
    </xf>
    <xf numFmtId="166" fontId="4" fillId="0" borderId="18" xfId="9" quotePrefix="1" applyNumberFormat="1" applyFont="1" applyBorder="1" applyAlignment="1">
      <alignment horizontal="right" vertical="center" wrapText="1"/>
    </xf>
    <xf numFmtId="0" fontId="4" fillId="0" borderId="18" xfId="5" applyFont="1" applyBorder="1" applyAlignment="1">
      <alignment horizontal="center" vertical="center" wrapText="1"/>
    </xf>
    <xf numFmtId="0" fontId="5" fillId="0" borderId="36" xfId="5" applyFont="1" applyBorder="1" applyAlignment="1">
      <alignment horizontal="left" vertical="center"/>
    </xf>
    <xf numFmtId="0" fontId="4" fillId="0" borderId="37" xfId="5" applyFont="1" applyBorder="1" applyAlignment="1">
      <alignment horizontal="center" vertical="center"/>
    </xf>
    <xf numFmtId="0" fontId="4" fillId="0" borderId="37" xfId="5" applyFont="1" applyBorder="1" applyAlignment="1">
      <alignment horizontal="left" vertical="center" wrapText="1"/>
    </xf>
    <xf numFmtId="0" fontId="4" fillId="0" borderId="38" xfId="5" applyFont="1" applyBorder="1" applyAlignment="1">
      <alignment horizontal="center" vertical="center"/>
    </xf>
    <xf numFmtId="4" fontId="4" fillId="0" borderId="39" xfId="8" applyNumberFormat="1" applyFont="1" applyBorder="1" applyAlignment="1">
      <alignment vertical="center" wrapText="1"/>
    </xf>
    <xf numFmtId="166" fontId="4" fillId="0" borderId="38" xfId="9" applyNumberFormat="1" applyFont="1" applyBorder="1" applyAlignment="1">
      <alignment horizontal="right" vertical="center" wrapText="1"/>
    </xf>
    <xf numFmtId="167" fontId="5" fillId="0" borderId="40" xfId="8" applyNumberFormat="1" applyFont="1" applyBorder="1" applyAlignment="1">
      <alignment horizontal="right" vertical="center"/>
    </xf>
    <xf numFmtId="0" fontId="4" fillId="0" borderId="24" xfId="7" applyFont="1" applyBorder="1" applyAlignment="1">
      <alignment horizontal="center" vertical="center"/>
    </xf>
    <xf numFmtId="0" fontId="4" fillId="0" borderId="24" xfId="7" applyFont="1" applyBorder="1" applyAlignment="1">
      <alignment horizontal="left" vertical="center" wrapText="1"/>
    </xf>
    <xf numFmtId="4" fontId="4" fillId="0" borderId="27" xfId="8" applyNumberFormat="1" applyFont="1" applyBorder="1" applyAlignment="1">
      <alignment vertical="center" wrapText="1"/>
    </xf>
    <xf numFmtId="0" fontId="4" fillId="0" borderId="3" xfId="10" applyFont="1" applyBorder="1"/>
    <xf numFmtId="168" fontId="5" fillId="5" borderId="16" xfId="5" applyNumberFormat="1" applyFont="1" applyFill="1" applyBorder="1" applyAlignment="1">
      <alignment vertical="center"/>
    </xf>
    <xf numFmtId="0" fontId="4" fillId="0" borderId="7" xfId="10" applyFont="1" applyBorder="1"/>
    <xf numFmtId="0" fontId="4" fillId="0" borderId="0" xfId="10" applyFont="1"/>
    <xf numFmtId="49" fontId="5" fillId="0" borderId="0" xfId="11" applyNumberFormat="1" applyFont="1" applyAlignment="1">
      <alignment horizontal="right" vertical="center"/>
    </xf>
    <xf numFmtId="169" fontId="5" fillId="0" borderId="0" xfId="11" applyNumberFormat="1" applyFont="1" applyAlignment="1">
      <alignment vertical="center"/>
    </xf>
    <xf numFmtId="0" fontId="4" fillId="0" borderId="0" xfId="12" applyFont="1"/>
    <xf numFmtId="0" fontId="4" fillId="0" borderId="0" xfId="12" applyFont="1" applyAlignment="1">
      <alignment horizontal="center"/>
    </xf>
    <xf numFmtId="0" fontId="4" fillId="0" borderId="41" xfId="12" applyFont="1" applyBorder="1" applyAlignment="1">
      <alignment horizontal="left" vertical="center"/>
    </xf>
    <xf numFmtId="171" fontId="4" fillId="0" borderId="42" xfId="13" applyNumberFormat="1" applyFont="1" applyBorder="1" applyAlignment="1">
      <alignment horizontal="center" vertical="center"/>
    </xf>
    <xf numFmtId="0" fontId="5" fillId="0" borderId="42" xfId="12" applyFont="1" applyBorder="1" applyAlignment="1">
      <alignment vertical="center"/>
    </xf>
    <xf numFmtId="0" fontId="5" fillId="0" borderId="43" xfId="12" applyFont="1" applyBorder="1" applyAlignment="1">
      <alignment horizontal="right" vertical="center"/>
    </xf>
    <xf numFmtId="172" fontId="4" fillId="0" borderId="25" xfId="13" applyNumberFormat="1" applyFont="1" applyBorder="1" applyAlignment="1">
      <alignment vertical="center"/>
    </xf>
    <xf numFmtId="0" fontId="4" fillId="0" borderId="0" xfId="6" applyFont="1" applyAlignment="1">
      <alignment horizontal="center" vertical="center"/>
    </xf>
    <xf numFmtId="0" fontId="5" fillId="0" borderId="20" xfId="12" applyFont="1" applyBorder="1" applyAlignment="1">
      <alignment horizontal="left" vertical="center"/>
    </xf>
    <xf numFmtId="9" fontId="4" fillId="0" borderId="21" xfId="13" applyNumberFormat="1" applyFont="1" applyBorder="1" applyAlignment="1">
      <alignment horizontal="center" vertical="center"/>
    </xf>
    <xf numFmtId="172" fontId="4" fillId="0" borderId="21" xfId="13" applyNumberFormat="1" applyFont="1" applyBorder="1" applyAlignment="1">
      <alignment vertical="center"/>
    </xf>
    <xf numFmtId="0" fontId="4" fillId="0" borderId="44" xfId="12" applyFont="1" applyBorder="1" applyAlignment="1">
      <alignment vertical="center"/>
    </xf>
    <xf numFmtId="168" fontId="5" fillId="5" borderId="16" xfId="7" applyNumberFormat="1" applyFont="1" applyFill="1" applyBorder="1" applyAlignment="1">
      <alignment vertical="center"/>
    </xf>
    <xf numFmtId="0" fontId="4" fillId="0" borderId="0" xfId="12" applyFont="1" applyAlignment="1">
      <alignment horizontal="center" vertical="center" wrapText="1"/>
    </xf>
    <xf numFmtId="0" fontId="4" fillId="0" borderId="20" xfId="12" applyFont="1" applyBorder="1" applyAlignment="1">
      <alignment horizontal="left" vertical="center" wrapText="1"/>
    </xf>
    <xf numFmtId="0" fontId="4" fillId="0" borderId="44" xfId="12" applyFont="1" applyBorder="1" applyAlignment="1">
      <alignment horizontal="right" vertical="center"/>
    </xf>
    <xf numFmtId="172" fontId="5" fillId="0" borderId="19" xfId="13" applyNumberFormat="1" applyFont="1" applyBorder="1" applyAlignment="1">
      <alignment vertical="center"/>
    </xf>
    <xf numFmtId="0" fontId="5" fillId="0" borderId="45" xfId="12" applyFont="1" applyBorder="1" applyAlignment="1">
      <alignment horizontal="left" vertical="center"/>
    </xf>
    <xf numFmtId="9" fontId="4" fillId="0" borderId="46" xfId="13" applyNumberFormat="1" applyFont="1" applyBorder="1" applyAlignment="1">
      <alignment horizontal="center" vertical="center"/>
    </xf>
    <xf numFmtId="172" fontId="5" fillId="0" borderId="46" xfId="13" applyNumberFormat="1" applyFont="1" applyBorder="1" applyAlignment="1">
      <alignment vertical="center"/>
    </xf>
    <xf numFmtId="0" fontId="4" fillId="0" borderId="47" xfId="12" applyFont="1" applyBorder="1" applyAlignment="1">
      <alignment vertical="center"/>
    </xf>
    <xf numFmtId="168" fontId="5" fillId="5" borderId="31" xfId="7" applyNumberFormat="1" applyFont="1" applyFill="1" applyBorder="1" applyAlignment="1">
      <alignment vertical="center"/>
    </xf>
    <xf numFmtId="0" fontId="5" fillId="0" borderId="0" xfId="12" applyFont="1" applyAlignment="1">
      <alignment horizontal="left" vertical="center"/>
    </xf>
    <xf numFmtId="9" fontId="4" fillId="0" borderId="0" xfId="13" applyNumberFormat="1" applyFont="1" applyBorder="1" applyAlignment="1">
      <alignment horizontal="center" vertical="center"/>
    </xf>
    <xf numFmtId="172" fontId="5" fillId="0" borderId="0" xfId="13" applyNumberFormat="1" applyFont="1" applyBorder="1" applyAlignment="1">
      <alignment vertical="center"/>
    </xf>
    <xf numFmtId="0" fontId="4" fillId="0" borderId="0" xfId="12" applyFont="1" applyAlignment="1">
      <alignment vertical="center"/>
    </xf>
    <xf numFmtId="168" fontId="5" fillId="0" borderId="0" xfId="7" applyNumberFormat="1" applyFont="1" applyAlignment="1">
      <alignment vertical="center"/>
    </xf>
    <xf numFmtId="0" fontId="5" fillId="0" borderId="29" xfId="12" applyFont="1" applyBorder="1" applyAlignment="1">
      <alignment horizontal="left" vertical="center"/>
    </xf>
    <xf numFmtId="9" fontId="4" fillId="0" borderId="30" xfId="13" applyNumberFormat="1" applyFont="1" applyBorder="1" applyAlignment="1">
      <alignment horizontal="center" vertical="center"/>
    </xf>
    <xf numFmtId="172" fontId="5" fillId="0" borderId="30" xfId="13" applyNumberFormat="1" applyFont="1" applyBorder="1" applyAlignment="1">
      <alignment vertical="center"/>
    </xf>
    <xf numFmtId="0" fontId="4" fillId="0" borderId="48" xfId="12" applyFont="1" applyBorder="1" applyAlignment="1">
      <alignment vertical="center"/>
    </xf>
    <xf numFmtId="2" fontId="4" fillId="0" borderId="0" xfId="12" applyNumberFormat="1" applyFont="1"/>
    <xf numFmtId="172" fontId="4" fillId="0" borderId="0" xfId="13" applyNumberFormat="1" applyFont="1" applyBorder="1"/>
    <xf numFmtId="39" fontId="5" fillId="0" borderId="0" xfId="13" applyNumberFormat="1" applyFont="1" applyBorder="1" applyAlignment="1">
      <alignment vertical="center"/>
    </xf>
    <xf numFmtId="0" fontId="5" fillId="0" borderId="41" xfId="14" applyFont="1" applyBorder="1" applyAlignment="1">
      <alignment vertical="center"/>
    </xf>
    <xf numFmtId="173" fontId="4" fillId="0" borderId="7" xfId="10" applyNumberFormat="1" applyFont="1" applyBorder="1"/>
    <xf numFmtId="169" fontId="5" fillId="4" borderId="33" xfId="15" applyNumberFormat="1" applyFont="1" applyFill="1" applyBorder="1" applyAlignment="1">
      <alignment horizontal="center" vertical="center"/>
    </xf>
    <xf numFmtId="175" fontId="4" fillId="0" borderId="7" xfId="10" applyNumberFormat="1" applyFont="1" applyBorder="1"/>
    <xf numFmtId="169" fontId="5" fillId="4" borderId="18" xfId="15" applyNumberFormat="1" applyFont="1" applyFill="1" applyBorder="1" applyAlignment="1">
      <alignment horizontal="center" vertical="center"/>
    </xf>
    <xf numFmtId="9" fontId="4" fillId="3" borderId="19" xfId="2" applyFont="1" applyFill="1" applyBorder="1" applyAlignment="1">
      <alignment horizontal="center" vertical="center"/>
    </xf>
    <xf numFmtId="0" fontId="4" fillId="0" borderId="53" xfId="10" applyFont="1" applyBorder="1"/>
    <xf numFmtId="0" fontId="4" fillId="0" borderId="54" xfId="3" applyFont="1" applyBorder="1"/>
    <xf numFmtId="0" fontId="4" fillId="0" borderId="54" xfId="3" applyFont="1" applyBorder="1" applyAlignment="1">
      <alignment horizontal="center"/>
    </xf>
    <xf numFmtId="176" fontId="4" fillId="0" borderId="54" xfId="1" applyNumberFormat="1" applyFont="1" applyBorder="1"/>
    <xf numFmtId="0" fontId="4" fillId="0" borderId="55" xfId="3" applyFont="1" applyBorder="1"/>
    <xf numFmtId="0" fontId="4" fillId="0" borderId="0" xfId="3" applyFont="1" applyAlignment="1">
      <alignment horizontal="center"/>
    </xf>
    <xf numFmtId="0" fontId="8" fillId="0" borderId="0" xfId="0" applyFont="1"/>
    <xf numFmtId="0" fontId="4" fillId="0" borderId="32" xfId="7" applyFont="1" applyFill="1" applyBorder="1" applyAlignment="1">
      <alignment horizontal="center" vertical="center"/>
    </xf>
    <xf numFmtId="0" fontId="4" fillId="0" borderId="17" xfId="7" applyFont="1" applyFill="1" applyBorder="1" applyAlignment="1">
      <alignment horizontal="center" vertical="center"/>
    </xf>
    <xf numFmtId="0" fontId="4" fillId="0" borderId="32" xfId="5" applyFont="1" applyFill="1" applyBorder="1" applyAlignment="1">
      <alignment horizontal="center" vertical="center"/>
    </xf>
    <xf numFmtId="0" fontId="9" fillId="0" borderId="27" xfId="6" applyFont="1" applyBorder="1" applyAlignment="1">
      <alignment horizontal="center" vertical="center" wrapText="1"/>
    </xf>
    <xf numFmtId="0" fontId="4" fillId="2" borderId="3" xfId="3" applyFont="1" applyFill="1" applyBorder="1"/>
    <xf numFmtId="0" fontId="10" fillId="0" borderId="0" xfId="3" applyFont="1"/>
    <xf numFmtId="0" fontId="10" fillId="0" borderId="3" xfId="3" applyFont="1" applyBorder="1"/>
    <xf numFmtId="166" fontId="4" fillId="0" borderId="18" xfId="9" applyNumberFormat="1" applyFont="1" applyFill="1" applyBorder="1" applyAlignment="1">
      <alignment horizontal="right" vertical="center" wrapText="1"/>
    </xf>
    <xf numFmtId="166" fontId="4" fillId="0" borderId="33" xfId="9" applyNumberFormat="1" applyFont="1" applyFill="1" applyBorder="1" applyAlignment="1">
      <alignment horizontal="right" vertical="center" wrapText="1"/>
    </xf>
    <xf numFmtId="0" fontId="10" fillId="0" borderId="7" xfId="3" applyFont="1" applyBorder="1"/>
    <xf numFmtId="0" fontId="4" fillId="0" borderId="39" xfId="7" applyFont="1" applyBorder="1" applyAlignment="1">
      <alignment horizontal="center" vertical="center"/>
    </xf>
    <xf numFmtId="0" fontId="4" fillId="0" borderId="39" xfId="7" applyFont="1" applyBorder="1" applyAlignment="1">
      <alignment horizontal="left" vertical="center" wrapText="1"/>
    </xf>
    <xf numFmtId="166" fontId="4" fillId="0" borderId="39" xfId="9" applyNumberFormat="1" applyFont="1" applyBorder="1" applyAlignment="1">
      <alignment horizontal="right" vertical="center" wrapText="1"/>
    </xf>
    <xf numFmtId="166" fontId="4" fillId="0" borderId="40" xfId="9" applyNumberFormat="1" applyFont="1" applyBorder="1" applyAlignment="1">
      <alignment horizontal="right" vertical="center" wrapText="1"/>
    </xf>
    <xf numFmtId="0" fontId="4" fillId="0" borderId="0" xfId="3" applyFont="1" applyBorder="1"/>
    <xf numFmtId="0" fontId="4" fillId="0" borderId="1" xfId="3" applyFont="1" applyBorder="1" applyAlignment="1">
      <alignment horizontal="center"/>
    </xf>
    <xf numFmtId="0" fontId="4" fillId="0" borderId="2" xfId="3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5" fillId="0" borderId="9" xfId="4" applyFont="1" applyBorder="1" applyAlignment="1">
      <alignment horizontal="center"/>
    </xf>
    <xf numFmtId="0" fontId="5" fillId="0" borderId="10" xfId="4" applyFont="1" applyBorder="1" applyAlignment="1">
      <alignment horizontal="center"/>
    </xf>
    <xf numFmtId="0" fontId="5" fillId="0" borderId="11" xfId="4" applyFont="1" applyBorder="1" applyAlignment="1">
      <alignment horizontal="center"/>
    </xf>
    <xf numFmtId="0" fontId="4" fillId="4" borderId="12" xfId="4" applyFont="1" applyFill="1" applyBorder="1" applyAlignment="1">
      <alignment horizontal="center"/>
    </xf>
    <xf numFmtId="0" fontId="4" fillId="4" borderId="0" xfId="4" applyFont="1" applyFill="1" applyAlignment="1">
      <alignment horizontal="center"/>
    </xf>
    <xf numFmtId="0" fontId="4" fillId="4" borderId="13" xfId="4" applyFont="1" applyFill="1" applyBorder="1" applyAlignment="1">
      <alignment horizontal="center"/>
    </xf>
    <xf numFmtId="0" fontId="5" fillId="0" borderId="14" xfId="4" applyFont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5" borderId="14" xfId="5" applyFont="1" applyFill="1" applyBorder="1" applyAlignment="1">
      <alignment horizontal="right" vertical="center"/>
    </xf>
    <xf numFmtId="0" fontId="5" fillId="5" borderId="15" xfId="5" applyFont="1" applyFill="1" applyBorder="1" applyAlignment="1">
      <alignment horizontal="right" vertical="center"/>
    </xf>
    <xf numFmtId="0" fontId="5" fillId="5" borderId="34" xfId="5" applyFont="1" applyFill="1" applyBorder="1" applyAlignment="1">
      <alignment horizontal="right" vertical="center"/>
    </xf>
    <xf numFmtId="0" fontId="4" fillId="0" borderId="42" xfId="14" applyFont="1" applyBorder="1" applyAlignment="1">
      <alignment horizontal="center" vertical="center"/>
    </xf>
    <xf numFmtId="0" fontId="4" fillId="0" borderId="49" xfId="14" applyFont="1" applyBorder="1" applyAlignment="1">
      <alignment horizontal="center" vertical="center"/>
    </xf>
    <xf numFmtId="0" fontId="4" fillId="4" borderId="17" xfId="4" applyFont="1" applyFill="1" applyBorder="1" applyAlignment="1">
      <alignment vertical="center" wrapText="1"/>
    </xf>
    <xf numFmtId="0" fontId="4" fillId="4" borderId="18" xfId="4" applyFont="1" applyFill="1" applyBorder="1" applyAlignment="1">
      <alignment vertical="center" wrapText="1"/>
    </xf>
    <xf numFmtId="0" fontId="4" fillId="3" borderId="17" xfId="3" applyFont="1" applyFill="1" applyBorder="1" applyAlignment="1">
      <alignment horizontal="left" vertical="center" wrapText="1"/>
    </xf>
    <xf numFmtId="0" fontId="4" fillId="3" borderId="18" xfId="3" applyFont="1" applyFill="1" applyBorder="1" applyAlignment="1">
      <alignment horizontal="left" vertical="center" wrapText="1"/>
    </xf>
    <xf numFmtId="0" fontId="4" fillId="3" borderId="19" xfId="3" applyFont="1" applyFill="1" applyBorder="1" applyAlignment="1">
      <alignment horizontal="left" vertical="center" wrapText="1"/>
    </xf>
    <xf numFmtId="0" fontId="4" fillId="4" borderId="20" xfId="3" applyFont="1" applyFill="1" applyBorder="1" applyAlignment="1">
      <alignment horizontal="left" vertical="center" wrapText="1"/>
    </xf>
    <xf numFmtId="0" fontId="4" fillId="4" borderId="21" xfId="3" applyFont="1" applyFill="1" applyBorder="1" applyAlignment="1">
      <alignment horizontal="left" vertical="center" wrapText="1"/>
    </xf>
    <xf numFmtId="0" fontId="4" fillId="4" borderId="22" xfId="3" applyFont="1" applyFill="1" applyBorder="1" applyAlignment="1">
      <alignment horizontal="left" vertical="center" wrapText="1"/>
    </xf>
    <xf numFmtId="0" fontId="5" fillId="5" borderId="14" xfId="5" applyFont="1" applyFill="1" applyBorder="1" applyAlignment="1">
      <alignment horizontal="left" vertical="center"/>
    </xf>
    <xf numFmtId="0" fontId="5" fillId="5" borderId="15" xfId="5" applyFont="1" applyFill="1" applyBorder="1" applyAlignment="1">
      <alignment horizontal="left" vertical="center"/>
    </xf>
    <xf numFmtId="0" fontId="5" fillId="5" borderId="16" xfId="5" applyFont="1" applyFill="1" applyBorder="1" applyAlignment="1">
      <alignment horizontal="left" vertical="center"/>
    </xf>
    <xf numFmtId="0" fontId="5" fillId="2" borderId="23" xfId="5" applyFont="1" applyFill="1" applyBorder="1" applyAlignment="1">
      <alignment horizontal="center" vertical="center" wrapText="1"/>
    </xf>
    <xf numFmtId="0" fontId="5" fillId="2" borderId="26" xfId="5" applyFont="1" applyFill="1" applyBorder="1" applyAlignment="1">
      <alignment horizontal="center" vertical="center" wrapText="1"/>
    </xf>
    <xf numFmtId="0" fontId="5" fillId="2" borderId="24" xfId="5" applyFont="1" applyFill="1" applyBorder="1" applyAlignment="1">
      <alignment horizontal="center" vertical="center" wrapText="1"/>
    </xf>
    <xf numFmtId="0" fontId="5" fillId="2" borderId="27" xfId="5" applyFont="1" applyFill="1" applyBorder="1" applyAlignment="1">
      <alignment horizontal="center" vertical="center" wrapText="1"/>
    </xf>
    <xf numFmtId="0" fontId="5" fillId="0" borderId="24" xfId="6" applyFont="1" applyBorder="1" applyAlignment="1">
      <alignment horizontal="center" vertical="center" wrapText="1"/>
    </xf>
    <xf numFmtId="4" fontId="5" fillId="2" borderId="24" xfId="5" applyNumberFormat="1" applyFont="1" applyFill="1" applyBorder="1" applyAlignment="1">
      <alignment horizontal="center" vertical="center" wrapText="1"/>
    </xf>
    <xf numFmtId="4" fontId="5" fillId="2" borderId="27" xfId="5" applyNumberFormat="1" applyFont="1" applyFill="1" applyBorder="1" applyAlignment="1">
      <alignment horizontal="center" vertical="center" wrapText="1"/>
    </xf>
    <xf numFmtId="4" fontId="5" fillId="2" borderId="25" xfId="5" applyNumberFormat="1" applyFont="1" applyFill="1" applyBorder="1" applyAlignment="1">
      <alignment horizontal="center" vertical="center" wrapText="1"/>
    </xf>
    <xf numFmtId="4" fontId="5" fillId="2" borderId="28" xfId="5" applyNumberFormat="1" applyFont="1" applyFill="1" applyBorder="1" applyAlignment="1">
      <alignment horizontal="center" vertical="center" wrapText="1"/>
    </xf>
    <xf numFmtId="3" fontId="5" fillId="4" borderId="50" xfId="4" applyNumberFormat="1" applyFont="1" applyFill="1" applyBorder="1" applyAlignment="1">
      <alignment horizontal="center" vertical="center" wrapText="1"/>
    </xf>
    <xf numFmtId="3" fontId="5" fillId="4" borderId="18" xfId="4" applyNumberFormat="1" applyFont="1" applyFill="1" applyBorder="1" applyAlignment="1">
      <alignment horizontal="center" vertical="center"/>
    </xf>
    <xf numFmtId="0" fontId="5" fillId="4" borderId="18" xfId="4" applyFont="1" applyFill="1" applyBorder="1" applyAlignment="1">
      <alignment horizontal="center" vertical="center" wrapText="1"/>
    </xf>
    <xf numFmtId="0" fontId="5" fillId="4" borderId="18" xfId="4" applyFont="1" applyFill="1" applyBorder="1" applyAlignment="1">
      <alignment horizontal="center" vertical="center"/>
    </xf>
    <xf numFmtId="0" fontId="4" fillId="0" borderId="51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3" fontId="5" fillId="4" borderId="18" xfId="4" applyNumberFormat="1" applyFont="1" applyFill="1" applyBorder="1" applyAlignment="1">
      <alignment horizontal="center" vertical="center" wrapText="1"/>
    </xf>
    <xf numFmtId="0" fontId="4" fillId="2" borderId="27" xfId="4" applyFont="1" applyFill="1" applyBorder="1" applyAlignment="1">
      <alignment horizontal="center" vertical="center" wrapText="1"/>
    </xf>
    <xf numFmtId="0" fontId="4" fillId="2" borderId="28" xfId="4" applyFont="1" applyFill="1" applyBorder="1" applyAlignment="1">
      <alignment horizontal="center" vertical="center" wrapText="1"/>
    </xf>
    <xf numFmtId="0" fontId="4" fillId="0" borderId="17" xfId="5" applyFont="1" applyFill="1" applyBorder="1" applyAlignment="1">
      <alignment horizontal="center" vertical="center"/>
    </xf>
    <xf numFmtId="17" fontId="4" fillId="0" borderId="32" xfId="7" applyNumberFormat="1" applyFont="1" applyFill="1" applyBorder="1" applyAlignment="1">
      <alignment horizontal="center" vertical="center"/>
    </xf>
    <xf numFmtId="0" fontId="4" fillId="0" borderId="23" xfId="5" applyFont="1" applyFill="1" applyBorder="1" applyAlignment="1">
      <alignment horizontal="center" vertical="center"/>
    </xf>
    <xf numFmtId="0" fontId="4" fillId="0" borderId="36" xfId="5" applyFont="1" applyFill="1" applyBorder="1" applyAlignment="1">
      <alignment horizontal="center" vertical="center"/>
    </xf>
  </cellXfs>
  <cellStyles count="16">
    <cellStyle name="Millares" xfId="1" builtinId="3"/>
    <cellStyle name="Millares 2" xfId="8" xr:uid="{AF780D46-CBAA-4662-A579-733140FCBF7D}"/>
    <cellStyle name="Millares_FORMULARIO 4 - M-OFERENTE PPTA ECONOMICA" xfId="15" xr:uid="{2AD2CB4E-5F0E-4490-ADE7-7C7447E5D62E}"/>
    <cellStyle name="Moneda 2" xfId="9" xr:uid="{9204F596-4CA8-4A34-AEDD-105BDCE802BF}"/>
    <cellStyle name="Moneda 2 2 2 2 2" xfId="13" xr:uid="{5CEB75DB-3DE4-45F3-967A-58B6B79A7A42}"/>
    <cellStyle name="Normal" xfId="0" builtinId="0"/>
    <cellStyle name="Normal 2" xfId="5" xr:uid="{B3219A8C-2837-4230-A1AC-0788A2FEF29B}"/>
    <cellStyle name="Normal 2 10 2 2" xfId="7" xr:uid="{48E2BEF8-9F92-4FDE-A073-2D27BA7B5F47}"/>
    <cellStyle name="Normal 2 10 3" xfId="6" xr:uid="{C5742AE2-5164-4C71-B58B-8A968C0E2BFC}"/>
    <cellStyle name="Normal 2 2" xfId="14" xr:uid="{85B48F11-1FBD-4D15-AE48-6639FE030F0E}"/>
    <cellStyle name="Normal 3" xfId="3" xr:uid="{12135A3A-075F-42B2-8530-81401D7B5DB4}"/>
    <cellStyle name="Normal 3 11" xfId="4" xr:uid="{6190D569-5A67-4051-AA4B-185F65E3CF26}"/>
    <cellStyle name="Normal 3 2" xfId="10" xr:uid="{9F2A5C9F-D751-41F2-9FE7-52E400CB07A2}"/>
    <cellStyle name="Normal 3 2 2" xfId="12" xr:uid="{1C071BEA-7136-4A0D-8EBB-3D53D2AE6753}"/>
    <cellStyle name="Normal_PTO OFICIAL PREPLIEGO (CORREGIDO) 2" xfId="11" xr:uid="{21F3756D-9069-4FA0-ADF6-085BBD3D40DE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75EB6-179D-4A94-B430-FB1532FF68E1}">
  <dimension ref="A1:M132"/>
  <sheetViews>
    <sheetView tabSelected="1" view="pageBreakPreview" topLeftCell="B12" zoomScale="84" zoomScaleNormal="91" zoomScaleSheetLayoutView="84" workbookViewId="0">
      <pane ySplit="2" topLeftCell="A103" activePane="bottomLeft" state="frozen"/>
      <selection activeCell="A12" sqref="A12"/>
      <selection pane="bottomLeft" activeCell="N112" sqref="N112"/>
    </sheetView>
  </sheetViews>
  <sheetFormatPr baseColWidth="10" defaultColWidth="11.42578125" defaultRowHeight="12" x14ac:dyDescent="0.2"/>
  <cols>
    <col min="1" max="1" width="2.28515625" style="3" customWidth="1"/>
    <col min="2" max="2" width="2.5703125" style="3" customWidth="1"/>
    <col min="3" max="3" width="7.5703125" style="99" customWidth="1"/>
    <col min="4" max="4" width="8.85546875" style="99" customWidth="1"/>
    <col min="5" max="5" width="7.7109375" style="99" customWidth="1"/>
    <col min="6" max="6" width="8.140625" style="99" customWidth="1"/>
    <col min="7" max="7" width="73.28515625" style="99" customWidth="1"/>
    <col min="8" max="8" width="7.140625" style="99" customWidth="1"/>
    <col min="9" max="9" width="11.5703125" style="99" customWidth="1"/>
    <col min="10" max="10" width="18" style="99" customWidth="1"/>
    <col min="11" max="11" width="20.5703125" style="99" customWidth="1"/>
    <col min="12" max="12" width="1.85546875" style="99" customWidth="1"/>
    <col min="13" max="16384" width="11.42578125" style="99"/>
  </cols>
  <sheetData>
    <row r="1" spans="1:13" ht="12.75" thickTop="1" x14ac:dyDescent="0.2">
      <c r="B1" s="1"/>
      <c r="C1" s="115"/>
      <c r="D1" s="115"/>
      <c r="E1" s="115"/>
      <c r="F1" s="115"/>
      <c r="G1" s="115"/>
      <c r="H1" s="115"/>
      <c r="I1" s="115"/>
      <c r="J1" s="115"/>
      <c r="K1" s="115"/>
      <c r="L1" s="116"/>
      <c r="M1" s="3"/>
    </row>
    <row r="2" spans="1:13" x14ac:dyDescent="0.2">
      <c r="B2" s="99"/>
      <c r="C2" s="117" t="s">
        <v>0</v>
      </c>
      <c r="D2" s="118"/>
      <c r="E2" s="118"/>
      <c r="F2" s="119"/>
      <c r="G2" s="3"/>
      <c r="H2" s="3"/>
      <c r="I2" s="3"/>
      <c r="J2" s="3"/>
      <c r="K2" s="3"/>
      <c r="L2" s="5"/>
      <c r="M2" s="3"/>
    </row>
    <row r="3" spans="1:13" x14ac:dyDescent="0.2">
      <c r="B3" s="4"/>
      <c r="C3" s="6" t="s">
        <v>1</v>
      </c>
      <c r="D3" s="7" t="s">
        <v>2</v>
      </c>
      <c r="E3" s="6" t="s">
        <v>3</v>
      </c>
      <c r="F3" s="7">
        <v>2</v>
      </c>
      <c r="G3" s="3"/>
      <c r="H3" s="3"/>
      <c r="I3" s="3"/>
      <c r="J3" s="3"/>
      <c r="K3" s="3"/>
      <c r="L3" s="5"/>
      <c r="M3" s="3"/>
    </row>
    <row r="4" spans="1:13" ht="12.75" thickBot="1" x14ac:dyDescent="0.25">
      <c r="B4" s="4"/>
      <c r="C4" s="1"/>
      <c r="D4" s="2"/>
      <c r="E4" s="1"/>
      <c r="F4" s="2"/>
      <c r="G4" s="3"/>
      <c r="H4" s="3"/>
      <c r="I4" s="3"/>
      <c r="J4" s="3"/>
      <c r="K4" s="3"/>
      <c r="L4" s="5"/>
      <c r="M4" s="3"/>
    </row>
    <row r="5" spans="1:13" x14ac:dyDescent="0.2">
      <c r="B5" s="4"/>
      <c r="C5" s="120" t="s">
        <v>4</v>
      </c>
      <c r="D5" s="121"/>
      <c r="E5" s="121"/>
      <c r="F5" s="121"/>
      <c r="G5" s="121"/>
      <c r="H5" s="121"/>
      <c r="I5" s="121"/>
      <c r="J5" s="121"/>
      <c r="K5" s="122"/>
      <c r="L5" s="5"/>
      <c r="M5" s="3"/>
    </row>
    <row r="6" spans="1:13" x14ac:dyDescent="0.2">
      <c r="B6" s="4"/>
      <c r="C6" s="123" t="s">
        <v>115</v>
      </c>
      <c r="D6" s="124"/>
      <c r="E6" s="124"/>
      <c r="F6" s="124"/>
      <c r="G6" s="124"/>
      <c r="H6" s="124"/>
      <c r="I6" s="124"/>
      <c r="J6" s="124"/>
      <c r="K6" s="125"/>
      <c r="L6" s="5"/>
      <c r="M6" s="3"/>
    </row>
    <row r="7" spans="1:13" ht="19.5" customHeight="1" thickBot="1" x14ac:dyDescent="0.25">
      <c r="B7" s="4"/>
      <c r="C7" s="126" t="s">
        <v>114</v>
      </c>
      <c r="D7" s="127"/>
      <c r="E7" s="127"/>
      <c r="F7" s="127"/>
      <c r="G7" s="127"/>
      <c r="H7" s="127"/>
      <c r="I7" s="127"/>
      <c r="J7" s="127"/>
      <c r="K7" s="128"/>
      <c r="L7" s="5"/>
      <c r="M7" s="3"/>
    </row>
    <row r="8" spans="1:13" x14ac:dyDescent="0.2">
      <c r="A8" s="9"/>
      <c r="B8" s="104"/>
      <c r="C8" s="136" t="s">
        <v>113</v>
      </c>
      <c r="D8" s="137"/>
      <c r="E8" s="137"/>
      <c r="F8" s="137"/>
      <c r="G8" s="137"/>
      <c r="H8" s="137"/>
      <c r="I8" s="137"/>
      <c r="J8" s="137"/>
      <c r="K8" s="138"/>
      <c r="L8" s="8"/>
      <c r="M8" s="9"/>
    </row>
    <row r="9" spans="1:13" x14ac:dyDescent="0.2">
      <c r="B9" s="4"/>
      <c r="C9" s="136"/>
      <c r="D9" s="137"/>
      <c r="E9" s="137"/>
      <c r="F9" s="137"/>
      <c r="G9" s="137"/>
      <c r="H9" s="137"/>
      <c r="I9" s="137"/>
      <c r="J9" s="137"/>
      <c r="K9" s="138"/>
      <c r="L9" s="5"/>
      <c r="M9" s="3"/>
    </row>
    <row r="10" spans="1:13" ht="36" customHeight="1" x14ac:dyDescent="0.2">
      <c r="B10" s="4"/>
      <c r="C10" s="139" t="s">
        <v>5</v>
      </c>
      <c r="D10" s="140"/>
      <c r="E10" s="140"/>
      <c r="F10" s="140"/>
      <c r="G10" s="140"/>
      <c r="H10" s="140"/>
      <c r="I10" s="140"/>
      <c r="J10" s="140"/>
      <c r="K10" s="141"/>
      <c r="L10" s="5"/>
      <c r="M10" s="3"/>
    </row>
    <row r="11" spans="1:13" ht="12.75" thickBot="1" x14ac:dyDescent="0.25">
      <c r="B11" s="4"/>
      <c r="C11" s="142"/>
      <c r="D11" s="143"/>
      <c r="E11" s="143"/>
      <c r="F11" s="143"/>
      <c r="G11" s="143"/>
      <c r="H11" s="143"/>
      <c r="I11" s="143"/>
      <c r="J11" s="143"/>
      <c r="K11" s="144"/>
      <c r="L11" s="5"/>
      <c r="M11" s="3"/>
    </row>
    <row r="12" spans="1:13" ht="27.75" customHeight="1" x14ac:dyDescent="0.2">
      <c r="B12" s="4"/>
      <c r="C12" s="145" t="s">
        <v>6</v>
      </c>
      <c r="D12" s="147" t="s">
        <v>7</v>
      </c>
      <c r="E12" s="149" t="s">
        <v>8</v>
      </c>
      <c r="F12" s="149"/>
      <c r="G12" s="145" t="s">
        <v>9</v>
      </c>
      <c r="H12" s="147" t="s">
        <v>10</v>
      </c>
      <c r="I12" s="147" t="s">
        <v>11</v>
      </c>
      <c r="J12" s="150" t="s">
        <v>12</v>
      </c>
      <c r="K12" s="152" t="s">
        <v>13</v>
      </c>
      <c r="L12" s="5"/>
      <c r="M12" s="3"/>
    </row>
    <row r="13" spans="1:13" ht="32.25" customHeight="1" thickBot="1" x14ac:dyDescent="0.25">
      <c r="B13" s="4"/>
      <c r="C13" s="146"/>
      <c r="D13" s="148"/>
      <c r="E13" s="103" t="s">
        <v>15</v>
      </c>
      <c r="F13" s="103" t="s">
        <v>14</v>
      </c>
      <c r="G13" s="146"/>
      <c r="H13" s="148"/>
      <c r="I13" s="148"/>
      <c r="J13" s="151"/>
      <c r="K13" s="153"/>
      <c r="L13" s="5"/>
      <c r="M13" s="3"/>
    </row>
    <row r="14" spans="1:13" ht="18.75" customHeight="1" thickBot="1" x14ac:dyDescent="0.25">
      <c r="B14" s="4"/>
      <c r="C14" s="10">
        <v>1</v>
      </c>
      <c r="D14" s="11"/>
      <c r="E14" s="12"/>
      <c r="F14" s="12"/>
      <c r="G14" s="12" t="s">
        <v>212</v>
      </c>
      <c r="H14" s="12"/>
      <c r="I14" s="12"/>
      <c r="J14" s="12"/>
      <c r="K14" s="13"/>
      <c r="L14" s="5"/>
      <c r="M14" s="3"/>
    </row>
    <row r="15" spans="1:13" ht="90" customHeight="1" x14ac:dyDescent="0.2">
      <c r="B15" s="4"/>
      <c r="C15" s="170" t="s">
        <v>16</v>
      </c>
      <c r="D15" s="14" t="s">
        <v>116</v>
      </c>
      <c r="E15" s="14"/>
      <c r="F15" s="14" t="s">
        <v>18</v>
      </c>
      <c r="G15" s="15" t="s">
        <v>230</v>
      </c>
      <c r="H15" s="14" t="s">
        <v>33</v>
      </c>
      <c r="I15" s="16">
        <f>+(1.5*6)+(1.5*10)</f>
        <v>24</v>
      </c>
      <c r="J15" s="17">
        <v>284768</v>
      </c>
      <c r="K15" s="21">
        <f>ROUND((I15*J15),0)</f>
        <v>6834432</v>
      </c>
      <c r="L15" s="5"/>
      <c r="M15" s="3"/>
    </row>
    <row r="16" spans="1:13" s="3" customFormat="1" ht="31.5" customHeight="1" x14ac:dyDescent="0.2">
      <c r="B16" s="4"/>
      <c r="C16" s="170" t="s">
        <v>20</v>
      </c>
      <c r="D16" s="14" t="s">
        <v>117</v>
      </c>
      <c r="E16" s="14"/>
      <c r="F16" s="14" t="s">
        <v>18</v>
      </c>
      <c r="G16" s="15" t="s">
        <v>118</v>
      </c>
      <c r="H16" s="14" t="s">
        <v>33</v>
      </c>
      <c r="I16" s="16">
        <f>+(16*1)+(10*1*2)+(7*1*2)</f>
        <v>50</v>
      </c>
      <c r="J16" s="17">
        <v>53363</v>
      </c>
      <c r="K16" s="21">
        <f t="shared" ref="K16:K19" si="0">ROUND((I16*J16),0)</f>
        <v>2668150</v>
      </c>
      <c r="L16" s="5"/>
    </row>
    <row r="17" spans="1:13" s="3" customFormat="1" ht="27.95" customHeight="1" x14ac:dyDescent="0.2">
      <c r="B17" s="4"/>
      <c r="C17" s="100" t="s">
        <v>21</v>
      </c>
      <c r="D17" s="14" t="s">
        <v>120</v>
      </c>
      <c r="E17" s="14"/>
      <c r="F17" s="14" t="s">
        <v>18</v>
      </c>
      <c r="G17" s="15" t="s">
        <v>119</v>
      </c>
      <c r="H17" s="14" t="s">
        <v>33</v>
      </c>
      <c r="I17" s="20">
        <f>+(33*0.4)+(0.5*0.5*6*2)</f>
        <v>16.200000000000003</v>
      </c>
      <c r="J17" s="107">
        <v>64418</v>
      </c>
      <c r="K17" s="108">
        <f t="shared" si="0"/>
        <v>1043572</v>
      </c>
      <c r="L17" s="5"/>
    </row>
    <row r="18" spans="1:13" s="3" customFormat="1" ht="27.95" customHeight="1" x14ac:dyDescent="0.2">
      <c r="B18" s="4"/>
      <c r="C18" s="100" t="s">
        <v>25</v>
      </c>
      <c r="D18" s="14" t="s">
        <v>88</v>
      </c>
      <c r="E18" s="14"/>
      <c r="F18" s="14" t="s">
        <v>18</v>
      </c>
      <c r="G18" s="15" t="s">
        <v>231</v>
      </c>
      <c r="H18" s="14" t="s">
        <v>33</v>
      </c>
      <c r="I18" s="20">
        <f>(10*0.6)+(2.5*6)+(16*2.5)</f>
        <v>61</v>
      </c>
      <c r="J18" s="107">
        <v>64418</v>
      </c>
      <c r="K18" s="108">
        <f t="shared" si="0"/>
        <v>3929498</v>
      </c>
      <c r="L18" s="5"/>
    </row>
    <row r="19" spans="1:13" ht="36" x14ac:dyDescent="0.2">
      <c r="B19" s="4"/>
      <c r="C19" s="100" t="s">
        <v>27</v>
      </c>
      <c r="D19" s="14" t="s">
        <v>28</v>
      </c>
      <c r="E19" s="14"/>
      <c r="F19" s="14" t="s">
        <v>18</v>
      </c>
      <c r="G19" s="15" t="s">
        <v>232</v>
      </c>
      <c r="H19" s="14" t="s">
        <v>29</v>
      </c>
      <c r="I19" s="16">
        <f>+ROUND((((16+10+7))*0.4*0.6),2)</f>
        <v>7.92</v>
      </c>
      <c r="J19" s="17">
        <v>80163</v>
      </c>
      <c r="K19" s="18">
        <f t="shared" si="0"/>
        <v>634891</v>
      </c>
      <c r="L19" s="5"/>
      <c r="M19" s="3"/>
    </row>
    <row r="20" spans="1:13" ht="19.5" customHeight="1" x14ac:dyDescent="0.2">
      <c r="B20" s="4"/>
      <c r="C20" s="100" t="s">
        <v>30</v>
      </c>
      <c r="D20" s="14" t="s">
        <v>26</v>
      </c>
      <c r="E20" s="14"/>
      <c r="F20" s="14" t="s">
        <v>18</v>
      </c>
      <c r="G20" s="15" t="s">
        <v>233</v>
      </c>
      <c r="H20" s="14" t="s">
        <v>24</v>
      </c>
      <c r="I20" s="16">
        <f>((16/0.2)+1)+((10/0.2)+1)+((7/0.2)+1)</f>
        <v>168</v>
      </c>
      <c r="J20" s="17">
        <v>22688</v>
      </c>
      <c r="K20" s="18">
        <f>ROUND((I20*J20),0)</f>
        <v>3811584</v>
      </c>
      <c r="L20" s="5"/>
      <c r="M20" s="3"/>
    </row>
    <row r="21" spans="1:13" ht="18" customHeight="1" x14ac:dyDescent="0.2">
      <c r="B21" s="4"/>
      <c r="C21" s="170" t="s">
        <v>32</v>
      </c>
      <c r="D21" s="32" t="s">
        <v>49</v>
      </c>
      <c r="E21" s="32"/>
      <c r="F21" s="32" t="s">
        <v>18</v>
      </c>
      <c r="G21" s="31" t="s">
        <v>216</v>
      </c>
      <c r="H21" s="32" t="s">
        <v>29</v>
      </c>
      <c r="I21" s="16">
        <f>+I17</f>
        <v>16.200000000000003</v>
      </c>
      <c r="J21" s="35">
        <v>762374</v>
      </c>
      <c r="K21" s="21">
        <f t="shared" ref="K21:K26" si="1">ROUND((I21*J21),0)</f>
        <v>12350459</v>
      </c>
      <c r="L21" s="5"/>
      <c r="M21" s="3"/>
    </row>
    <row r="22" spans="1:13" ht="24" x14ac:dyDescent="0.2">
      <c r="B22" s="4"/>
      <c r="C22" s="101" t="s">
        <v>34</v>
      </c>
      <c r="D22" s="14" t="s">
        <v>38</v>
      </c>
      <c r="E22" s="14"/>
      <c r="F22" s="14" t="s">
        <v>18</v>
      </c>
      <c r="G22" s="15" t="s">
        <v>247</v>
      </c>
      <c r="H22" s="14" t="s">
        <v>39</v>
      </c>
      <c r="I22" s="16">
        <f>(33*6*1*1.1)+(((16/0.2)+1)*0.56*1.2)+(((10/0.2)+1)*0.56*1.2)+(((7/0.2)+1)*0.56*1.2)+(((33/0.3)+3)*2*1*2)+(((1.8/0.3)+1)*0.56*33*2)</f>
        <v>1041.4160000000002</v>
      </c>
      <c r="J22" s="35">
        <v>8940</v>
      </c>
      <c r="K22" s="21">
        <f t="shared" si="1"/>
        <v>9310259</v>
      </c>
      <c r="L22" s="5"/>
      <c r="M22" s="3"/>
    </row>
    <row r="23" spans="1:13" ht="24" x14ac:dyDescent="0.2">
      <c r="B23" s="4"/>
      <c r="C23" s="101" t="s">
        <v>37</v>
      </c>
      <c r="D23" s="14" t="s">
        <v>41</v>
      </c>
      <c r="E23" s="14"/>
      <c r="F23" s="14" t="s">
        <v>18</v>
      </c>
      <c r="G23" s="15" t="s">
        <v>50</v>
      </c>
      <c r="H23" s="14" t="s">
        <v>29</v>
      </c>
      <c r="I23" s="16">
        <f>+((16+10+7)*0.4*0.3)</f>
        <v>3.96</v>
      </c>
      <c r="J23" s="35">
        <v>1023849</v>
      </c>
      <c r="K23" s="21">
        <f t="shared" si="1"/>
        <v>4054442</v>
      </c>
      <c r="L23" s="5"/>
      <c r="M23" s="3"/>
    </row>
    <row r="24" spans="1:13" ht="36" x14ac:dyDescent="0.2">
      <c r="B24" s="4"/>
      <c r="C24" s="101" t="s">
        <v>40</v>
      </c>
      <c r="D24" s="19" t="s">
        <v>123</v>
      </c>
      <c r="E24" s="14"/>
      <c r="F24" s="14" t="s">
        <v>18</v>
      </c>
      <c r="G24" s="15" t="s">
        <v>121</v>
      </c>
      <c r="H24" s="14" t="s">
        <v>33</v>
      </c>
      <c r="I24" s="20">
        <f>33*1.5</f>
        <v>49.5</v>
      </c>
      <c r="J24" s="17">
        <v>283077</v>
      </c>
      <c r="K24" s="21">
        <f t="shared" si="1"/>
        <v>14012312</v>
      </c>
      <c r="L24" s="5"/>
      <c r="M24" s="3"/>
    </row>
    <row r="25" spans="1:13" ht="24" x14ac:dyDescent="0.25">
      <c r="A25" s="105"/>
      <c r="B25" s="106"/>
      <c r="C25" s="100" t="s">
        <v>42</v>
      </c>
      <c r="D25" s="14" t="s">
        <v>31</v>
      </c>
      <c r="E25" s="14"/>
      <c r="F25" s="14" t="s">
        <v>18</v>
      </c>
      <c r="G25" s="15" t="s">
        <v>248</v>
      </c>
      <c r="H25" s="14" t="s">
        <v>29</v>
      </c>
      <c r="I25" s="16">
        <f>33*0.3*0.4</f>
        <v>3.9600000000000004</v>
      </c>
      <c r="J25" s="17">
        <v>220152</v>
      </c>
      <c r="K25" s="18">
        <f t="shared" si="1"/>
        <v>871802</v>
      </c>
      <c r="L25" s="5"/>
      <c r="M25" s="3"/>
    </row>
    <row r="26" spans="1:13" ht="24" x14ac:dyDescent="0.25">
      <c r="A26" s="105"/>
      <c r="B26" s="106"/>
      <c r="C26" s="100" t="s">
        <v>43</v>
      </c>
      <c r="D26" s="14" t="s">
        <v>35</v>
      </c>
      <c r="E26" s="14"/>
      <c r="F26" s="14" t="s">
        <v>18</v>
      </c>
      <c r="G26" s="15" t="s">
        <v>250</v>
      </c>
      <c r="H26" s="14" t="s">
        <v>33</v>
      </c>
      <c r="I26" s="16">
        <f>33*1</f>
        <v>33</v>
      </c>
      <c r="J26" s="17">
        <v>154239</v>
      </c>
      <c r="K26" s="18">
        <f t="shared" si="1"/>
        <v>5089887</v>
      </c>
      <c r="L26" s="5"/>
      <c r="M26" s="3"/>
    </row>
    <row r="27" spans="1:13" ht="38.25" customHeight="1" x14ac:dyDescent="0.25">
      <c r="A27" s="105"/>
      <c r="B27" s="106"/>
      <c r="C27" s="100" t="s">
        <v>44</v>
      </c>
      <c r="D27" s="14" t="s">
        <v>122</v>
      </c>
      <c r="E27" s="14"/>
      <c r="F27" s="14" t="s">
        <v>18</v>
      </c>
      <c r="G27" s="15" t="s">
        <v>150</v>
      </c>
      <c r="H27" s="14" t="s">
        <v>33</v>
      </c>
      <c r="I27" s="16">
        <f>33*0.5</f>
        <v>16.5</v>
      </c>
      <c r="J27" s="17">
        <v>76592</v>
      </c>
      <c r="K27" s="18">
        <f t="shared" ref="K27:K46" si="2">ROUND((I27*J27),0)</f>
        <v>1263768</v>
      </c>
      <c r="L27" s="5"/>
      <c r="M27" s="3"/>
    </row>
    <row r="28" spans="1:13" ht="28.5" customHeight="1" x14ac:dyDescent="0.2">
      <c r="B28" s="4"/>
      <c r="C28" s="101" t="s">
        <v>124</v>
      </c>
      <c r="D28" s="19" t="s">
        <v>125</v>
      </c>
      <c r="E28" s="14"/>
      <c r="F28" s="14" t="s">
        <v>18</v>
      </c>
      <c r="G28" s="15" t="s">
        <v>126</v>
      </c>
      <c r="H28" s="14" t="s">
        <v>33</v>
      </c>
      <c r="I28" s="16">
        <f>(16*8.5*1)+(8.5*5.5*9)</f>
        <v>556.75</v>
      </c>
      <c r="J28" s="17">
        <v>72569</v>
      </c>
      <c r="K28" s="21">
        <f t="shared" si="2"/>
        <v>40402791</v>
      </c>
      <c r="L28" s="5"/>
      <c r="M28" s="3"/>
    </row>
    <row r="29" spans="1:13" ht="36" x14ac:dyDescent="0.2">
      <c r="A29" s="50"/>
      <c r="B29" s="47"/>
      <c r="C29" s="100" t="s">
        <v>127</v>
      </c>
      <c r="D29" s="14" t="s">
        <v>128</v>
      </c>
      <c r="E29" s="14"/>
      <c r="F29" s="14" t="s">
        <v>18</v>
      </c>
      <c r="G29" s="15" t="s">
        <v>176</v>
      </c>
      <c r="H29" s="14" t="s">
        <v>24</v>
      </c>
      <c r="I29" s="16">
        <v>30</v>
      </c>
      <c r="J29" s="17">
        <v>163259</v>
      </c>
      <c r="K29" s="18">
        <f t="shared" si="2"/>
        <v>4897770</v>
      </c>
      <c r="L29" s="5"/>
      <c r="M29" s="3"/>
    </row>
    <row r="30" spans="1:13" ht="61.5" customHeight="1" x14ac:dyDescent="0.2">
      <c r="B30" s="4"/>
      <c r="C30" s="171" t="s">
        <v>129</v>
      </c>
      <c r="D30" s="14" t="s">
        <v>130</v>
      </c>
      <c r="E30" s="14"/>
      <c r="F30" s="14" t="s">
        <v>18</v>
      </c>
      <c r="G30" s="15" t="s">
        <v>251</v>
      </c>
      <c r="H30" s="14" t="s">
        <v>19</v>
      </c>
      <c r="I30" s="16">
        <f>25*4</f>
        <v>100</v>
      </c>
      <c r="J30" s="17">
        <v>39313</v>
      </c>
      <c r="K30" s="18">
        <f t="shared" si="2"/>
        <v>3931300</v>
      </c>
      <c r="L30" s="5"/>
      <c r="M30" s="3"/>
    </row>
    <row r="31" spans="1:13" ht="60" x14ac:dyDescent="0.2">
      <c r="B31" s="4"/>
      <c r="C31" s="171" t="s">
        <v>131</v>
      </c>
      <c r="D31" s="14" t="s">
        <v>69</v>
      </c>
      <c r="E31" s="14"/>
      <c r="F31" s="14" t="s">
        <v>18</v>
      </c>
      <c r="G31" s="15" t="s">
        <v>252</v>
      </c>
      <c r="H31" s="14" t="s">
        <v>19</v>
      </c>
      <c r="I31" s="16">
        <f>40*7</f>
        <v>280</v>
      </c>
      <c r="J31" s="17">
        <v>56263</v>
      </c>
      <c r="K31" s="18">
        <f t="shared" ref="K31" si="3">ROUND((I31*J31),0)</f>
        <v>15753640</v>
      </c>
      <c r="L31" s="5"/>
      <c r="M31" s="3"/>
    </row>
    <row r="32" spans="1:13" ht="36" x14ac:dyDescent="0.2">
      <c r="B32" s="4"/>
      <c r="C32" s="171" t="s">
        <v>132</v>
      </c>
      <c r="D32" s="14" t="s">
        <v>174</v>
      </c>
      <c r="E32" s="14"/>
      <c r="F32" s="14" t="s">
        <v>18</v>
      </c>
      <c r="G32" s="15" t="s">
        <v>173</v>
      </c>
      <c r="H32" s="14" t="s">
        <v>19</v>
      </c>
      <c r="I32" s="16">
        <f>30*5</f>
        <v>150</v>
      </c>
      <c r="J32" s="17">
        <v>198126</v>
      </c>
      <c r="K32" s="18">
        <f t="shared" ref="K32" si="4">ROUND((I32*J32),0)</f>
        <v>29718900</v>
      </c>
      <c r="L32" s="5"/>
      <c r="M32" s="3"/>
    </row>
    <row r="33" spans="1:13" ht="36.75" thickBot="1" x14ac:dyDescent="0.25">
      <c r="B33" s="93"/>
      <c r="C33" s="100" t="s">
        <v>133</v>
      </c>
      <c r="D33" s="14" t="s">
        <v>70</v>
      </c>
      <c r="E33" s="14"/>
      <c r="F33" s="14" t="s">
        <v>18</v>
      </c>
      <c r="G33" s="15" t="s">
        <v>71</v>
      </c>
      <c r="H33" s="14" t="s">
        <v>24</v>
      </c>
      <c r="I33" s="16">
        <v>6</v>
      </c>
      <c r="J33" s="17">
        <v>266736</v>
      </c>
      <c r="K33" s="21">
        <f t="shared" si="2"/>
        <v>1600416</v>
      </c>
      <c r="L33" s="5"/>
      <c r="M33" s="3"/>
    </row>
    <row r="34" spans="1:13" ht="36.75" thickTop="1" x14ac:dyDescent="0.2">
      <c r="C34" s="100" t="s">
        <v>134</v>
      </c>
      <c r="D34" s="14" t="s">
        <v>72</v>
      </c>
      <c r="E34" s="14"/>
      <c r="F34" s="14" t="s">
        <v>18</v>
      </c>
      <c r="G34" s="15" t="s">
        <v>73</v>
      </c>
      <c r="H34" s="14" t="s">
        <v>24</v>
      </c>
      <c r="I34" s="16">
        <v>7</v>
      </c>
      <c r="J34" s="17">
        <v>205626</v>
      </c>
      <c r="K34" s="21">
        <f t="shared" si="2"/>
        <v>1439382</v>
      </c>
      <c r="L34" s="5"/>
      <c r="M34" s="3"/>
    </row>
    <row r="35" spans="1:13" ht="36" x14ac:dyDescent="0.2">
      <c r="C35" s="100" t="s">
        <v>135</v>
      </c>
      <c r="D35" s="14" t="s">
        <v>74</v>
      </c>
      <c r="E35" s="14"/>
      <c r="F35" s="14" t="s">
        <v>18</v>
      </c>
      <c r="G35" s="15" t="s">
        <v>75</v>
      </c>
      <c r="H35" s="14" t="s">
        <v>24</v>
      </c>
      <c r="I35" s="16">
        <v>7</v>
      </c>
      <c r="J35" s="17">
        <v>246496</v>
      </c>
      <c r="K35" s="21">
        <f t="shared" si="2"/>
        <v>1725472</v>
      </c>
      <c r="L35" s="5"/>
    </row>
    <row r="36" spans="1:13" ht="40.5" customHeight="1" x14ac:dyDescent="0.2">
      <c r="C36" s="100" t="s">
        <v>136</v>
      </c>
      <c r="D36" s="14" t="s">
        <v>76</v>
      </c>
      <c r="E36" s="14"/>
      <c r="F36" s="14" t="s">
        <v>18</v>
      </c>
      <c r="G36" s="15" t="s">
        <v>77</v>
      </c>
      <c r="H36" s="14" t="s">
        <v>24</v>
      </c>
      <c r="I36" s="16">
        <v>6</v>
      </c>
      <c r="J36" s="17">
        <v>411472</v>
      </c>
      <c r="K36" s="21">
        <f t="shared" si="2"/>
        <v>2468832</v>
      </c>
      <c r="L36" s="5"/>
      <c r="M36" s="3"/>
    </row>
    <row r="37" spans="1:13" ht="60" x14ac:dyDescent="0.2">
      <c r="C37" s="100" t="s">
        <v>137</v>
      </c>
      <c r="D37" s="14" t="s">
        <v>78</v>
      </c>
      <c r="E37" s="14"/>
      <c r="F37" s="14" t="s">
        <v>18</v>
      </c>
      <c r="G37" s="15" t="s">
        <v>253</v>
      </c>
      <c r="H37" s="14" t="s">
        <v>24</v>
      </c>
      <c r="I37" s="16">
        <v>10</v>
      </c>
      <c r="J37" s="17">
        <v>426375</v>
      </c>
      <c r="K37" s="21">
        <f t="shared" si="2"/>
        <v>4263750</v>
      </c>
      <c r="L37" s="5"/>
      <c r="M37" s="3"/>
    </row>
    <row r="38" spans="1:13" ht="24" x14ac:dyDescent="0.2">
      <c r="C38" s="100" t="s">
        <v>138</v>
      </c>
      <c r="D38" s="14" t="s">
        <v>79</v>
      </c>
      <c r="E38" s="14"/>
      <c r="F38" s="14" t="s">
        <v>18</v>
      </c>
      <c r="G38" s="15" t="s">
        <v>80</v>
      </c>
      <c r="H38" s="14" t="s">
        <v>19</v>
      </c>
      <c r="I38" s="16">
        <v>50</v>
      </c>
      <c r="J38" s="17">
        <v>62192</v>
      </c>
      <c r="K38" s="21">
        <f t="shared" si="2"/>
        <v>3109600</v>
      </c>
      <c r="L38" s="5"/>
      <c r="M38" s="3"/>
    </row>
    <row r="39" spans="1:13" ht="17.25" customHeight="1" x14ac:dyDescent="0.2">
      <c r="C39" s="100" t="s">
        <v>140</v>
      </c>
      <c r="D39" s="14" t="s">
        <v>81</v>
      </c>
      <c r="E39" s="14"/>
      <c r="F39" s="14" t="s">
        <v>18</v>
      </c>
      <c r="G39" s="15" t="s">
        <v>82</v>
      </c>
      <c r="H39" s="14" t="s">
        <v>19</v>
      </c>
      <c r="I39" s="16">
        <v>40</v>
      </c>
      <c r="J39" s="17">
        <v>27690</v>
      </c>
      <c r="K39" s="21">
        <f t="shared" si="2"/>
        <v>1107600</v>
      </c>
      <c r="L39" s="5"/>
      <c r="M39" s="3"/>
    </row>
    <row r="40" spans="1:13" ht="18.75" customHeight="1" x14ac:dyDescent="0.2">
      <c r="C40" s="100" t="s">
        <v>141</v>
      </c>
      <c r="D40" s="14" t="s">
        <v>83</v>
      </c>
      <c r="E40" s="14"/>
      <c r="F40" s="14" t="s">
        <v>18</v>
      </c>
      <c r="G40" s="15" t="s">
        <v>84</v>
      </c>
      <c r="H40" s="14" t="s">
        <v>19</v>
      </c>
      <c r="I40" s="16">
        <v>12</v>
      </c>
      <c r="J40" s="17">
        <v>60373</v>
      </c>
      <c r="K40" s="21">
        <f t="shared" si="2"/>
        <v>724476</v>
      </c>
      <c r="L40" s="5"/>
      <c r="M40" s="3"/>
    </row>
    <row r="41" spans="1:13" s="3" customFormat="1" ht="42.75" customHeight="1" x14ac:dyDescent="0.2">
      <c r="B41" s="4"/>
      <c r="C41" s="101" t="s">
        <v>142</v>
      </c>
      <c r="D41" s="19" t="s">
        <v>139</v>
      </c>
      <c r="E41" s="14" t="s">
        <v>18</v>
      </c>
      <c r="F41" s="14"/>
      <c r="G41" s="15" t="s">
        <v>151</v>
      </c>
      <c r="H41" s="14" t="s">
        <v>24</v>
      </c>
      <c r="I41" s="16">
        <v>30</v>
      </c>
      <c r="J41" s="17">
        <v>183898</v>
      </c>
      <c r="K41" s="21">
        <f t="shared" si="2"/>
        <v>5516940</v>
      </c>
      <c r="L41" s="5"/>
    </row>
    <row r="42" spans="1:13" ht="36" x14ac:dyDescent="0.2">
      <c r="A42" s="99"/>
      <c r="B42" s="4"/>
      <c r="C42" s="100" t="s">
        <v>143</v>
      </c>
      <c r="D42" s="14" t="s">
        <v>92</v>
      </c>
      <c r="E42" s="14"/>
      <c r="F42" s="14" t="s">
        <v>18</v>
      </c>
      <c r="G42" s="15" t="s">
        <v>93</v>
      </c>
      <c r="H42" s="14" t="s">
        <v>24</v>
      </c>
      <c r="I42" s="16">
        <v>1</v>
      </c>
      <c r="J42" s="17">
        <v>477481</v>
      </c>
      <c r="K42" s="18">
        <f t="shared" si="2"/>
        <v>477481</v>
      </c>
      <c r="L42" s="5"/>
      <c r="M42" s="3"/>
    </row>
    <row r="43" spans="1:13" ht="24" x14ac:dyDescent="0.2">
      <c r="A43" s="99"/>
      <c r="B43" s="4"/>
      <c r="C43" s="100" t="s">
        <v>144</v>
      </c>
      <c r="D43" s="14" t="s">
        <v>94</v>
      </c>
      <c r="E43" s="14"/>
      <c r="F43" s="14" t="s">
        <v>18</v>
      </c>
      <c r="G43" s="15" t="s">
        <v>254</v>
      </c>
      <c r="H43" s="14" t="s">
        <v>24</v>
      </c>
      <c r="I43" s="16">
        <v>1</v>
      </c>
      <c r="J43" s="17">
        <v>3936773</v>
      </c>
      <c r="K43" s="18">
        <f t="shared" si="2"/>
        <v>3936773</v>
      </c>
      <c r="L43" s="5"/>
      <c r="M43" s="3"/>
    </row>
    <row r="44" spans="1:13" ht="24" x14ac:dyDescent="0.2">
      <c r="C44" s="101" t="s">
        <v>145</v>
      </c>
      <c r="D44" s="19" t="s">
        <v>85</v>
      </c>
      <c r="E44" s="14"/>
      <c r="F44" s="14" t="s">
        <v>18</v>
      </c>
      <c r="G44" s="15" t="s">
        <v>255</v>
      </c>
      <c r="H44" s="14" t="s">
        <v>33</v>
      </c>
      <c r="I44" s="16">
        <f>(2.7*2*2)+(1.3*3*2)+(1.3*4*2)</f>
        <v>29</v>
      </c>
      <c r="J44" s="17">
        <v>146225</v>
      </c>
      <c r="K44" s="21">
        <f t="shared" si="2"/>
        <v>4240525</v>
      </c>
      <c r="L44" s="5"/>
      <c r="M44" s="3"/>
    </row>
    <row r="45" spans="1:13" ht="27" customHeight="1" x14ac:dyDescent="0.2">
      <c r="C45" s="102" t="s">
        <v>148</v>
      </c>
      <c r="D45" s="14" t="s">
        <v>86</v>
      </c>
      <c r="E45" s="14"/>
      <c r="F45" s="14" t="s">
        <v>18</v>
      </c>
      <c r="G45" s="15" t="s">
        <v>87</v>
      </c>
      <c r="H45" s="14" t="s">
        <v>33</v>
      </c>
      <c r="I45" s="16">
        <f>(2.9*2)+(1.8*3)+(1.5*4)+(2.8*2*3)</f>
        <v>34</v>
      </c>
      <c r="J45" s="17">
        <v>162996</v>
      </c>
      <c r="K45" s="21">
        <f t="shared" si="2"/>
        <v>5541864</v>
      </c>
      <c r="L45" s="5"/>
      <c r="M45" s="3"/>
    </row>
    <row r="46" spans="1:13" ht="99" customHeight="1" x14ac:dyDescent="0.2">
      <c r="C46" s="102" t="s">
        <v>152</v>
      </c>
      <c r="D46" s="14" t="s">
        <v>146</v>
      </c>
      <c r="E46" s="14" t="s">
        <v>18</v>
      </c>
      <c r="F46" s="14"/>
      <c r="G46" s="15" t="s">
        <v>256</v>
      </c>
      <c r="H46" s="14" t="s">
        <v>24</v>
      </c>
      <c r="I46" s="16">
        <v>1</v>
      </c>
      <c r="J46" s="17">
        <v>14556738</v>
      </c>
      <c r="K46" s="21">
        <f t="shared" si="2"/>
        <v>14556738</v>
      </c>
      <c r="L46" s="5"/>
      <c r="M46" s="3"/>
    </row>
    <row r="47" spans="1:13" ht="36" customHeight="1" x14ac:dyDescent="0.2">
      <c r="C47" s="102" t="s">
        <v>154</v>
      </c>
      <c r="D47" s="14" t="s">
        <v>147</v>
      </c>
      <c r="E47" s="14"/>
      <c r="F47" s="14" t="s">
        <v>18</v>
      </c>
      <c r="G47" s="15" t="s">
        <v>166</v>
      </c>
      <c r="H47" s="14" t="s">
        <v>19</v>
      </c>
      <c r="I47" s="16">
        <v>256</v>
      </c>
      <c r="J47" s="17">
        <v>38445</v>
      </c>
      <c r="K47" s="21">
        <f t="shared" ref="K47:K50" si="5">ROUND((I47*J47),0)</f>
        <v>9841920</v>
      </c>
      <c r="L47" s="5"/>
      <c r="M47" s="3"/>
    </row>
    <row r="48" spans="1:13" ht="27" customHeight="1" x14ac:dyDescent="0.2">
      <c r="C48" s="102" t="s">
        <v>158</v>
      </c>
      <c r="D48" s="14" t="s">
        <v>149</v>
      </c>
      <c r="E48" s="14"/>
      <c r="F48" s="14" t="s">
        <v>18</v>
      </c>
      <c r="G48" s="15" t="s">
        <v>257</v>
      </c>
      <c r="H48" s="14" t="s">
        <v>33</v>
      </c>
      <c r="I48" s="16">
        <f>2.4*2.7</f>
        <v>6.48</v>
      </c>
      <c r="J48" s="17">
        <v>316572</v>
      </c>
      <c r="K48" s="21">
        <f t="shared" si="5"/>
        <v>2051387</v>
      </c>
      <c r="L48" s="5"/>
      <c r="M48" s="3"/>
    </row>
    <row r="49" spans="1:13" ht="24" x14ac:dyDescent="0.2">
      <c r="B49" s="4"/>
      <c r="C49" s="100" t="s">
        <v>159</v>
      </c>
      <c r="D49" s="14" t="s">
        <v>17</v>
      </c>
      <c r="E49" s="14"/>
      <c r="F49" s="14" t="s">
        <v>18</v>
      </c>
      <c r="G49" s="15" t="s">
        <v>153</v>
      </c>
      <c r="H49" s="14" t="s">
        <v>24</v>
      </c>
      <c r="I49" s="16">
        <v>1</v>
      </c>
      <c r="J49" s="17">
        <v>50780</v>
      </c>
      <c r="K49" s="18">
        <f t="shared" si="5"/>
        <v>50780</v>
      </c>
      <c r="L49" s="5"/>
      <c r="M49" s="3"/>
    </row>
    <row r="50" spans="1:13" ht="24.75" thickBot="1" x14ac:dyDescent="0.25">
      <c r="A50" s="50"/>
      <c r="B50" s="47"/>
      <c r="C50" s="100" t="s">
        <v>163</v>
      </c>
      <c r="D50" s="14" t="s">
        <v>62</v>
      </c>
      <c r="E50" s="14"/>
      <c r="F50" s="14" t="s">
        <v>18</v>
      </c>
      <c r="G50" s="15" t="s">
        <v>155</v>
      </c>
      <c r="H50" s="14" t="s">
        <v>24</v>
      </c>
      <c r="I50" s="16">
        <v>2</v>
      </c>
      <c r="J50" s="17">
        <v>636582</v>
      </c>
      <c r="K50" s="18">
        <f t="shared" si="5"/>
        <v>1273164</v>
      </c>
      <c r="L50" s="5"/>
      <c r="M50" s="3"/>
    </row>
    <row r="51" spans="1:13" s="3" customFormat="1" ht="42.95" customHeight="1" x14ac:dyDescent="0.2">
      <c r="B51" s="4"/>
      <c r="C51" s="172" t="s">
        <v>167</v>
      </c>
      <c r="D51" s="44" t="s">
        <v>156</v>
      </c>
      <c r="E51" s="44"/>
      <c r="F51" s="44" t="s">
        <v>18</v>
      </c>
      <c r="G51" s="45" t="s">
        <v>157</v>
      </c>
      <c r="H51" s="44" t="s">
        <v>19</v>
      </c>
      <c r="I51" s="28">
        <f>1.1*2*9</f>
        <v>19.8</v>
      </c>
      <c r="J51" s="29">
        <v>40781</v>
      </c>
      <c r="K51" s="30">
        <f>ROUND((I51*J51),0)</f>
        <v>807464</v>
      </c>
      <c r="L51" s="5"/>
    </row>
    <row r="52" spans="1:13" ht="24" x14ac:dyDescent="0.2">
      <c r="B52" s="4"/>
      <c r="C52" s="100" t="s">
        <v>168</v>
      </c>
      <c r="D52" s="14" t="s">
        <v>160</v>
      </c>
      <c r="E52" s="14"/>
      <c r="F52" s="14" t="s">
        <v>18</v>
      </c>
      <c r="G52" s="15" t="s">
        <v>161</v>
      </c>
      <c r="H52" s="14" t="s">
        <v>24</v>
      </c>
      <c r="I52" s="16">
        <v>3</v>
      </c>
      <c r="J52" s="17">
        <v>317696</v>
      </c>
      <c r="K52" s="18">
        <f t="shared" ref="K52" si="6">ROUND((I52*J52),0)</f>
        <v>953088</v>
      </c>
      <c r="L52" s="5"/>
      <c r="M52" s="3"/>
    </row>
    <row r="53" spans="1:13" s="3" customFormat="1" ht="35.25" customHeight="1" x14ac:dyDescent="0.2">
      <c r="B53" s="4"/>
      <c r="C53" s="102" t="s">
        <v>170</v>
      </c>
      <c r="D53" s="14" t="s">
        <v>162</v>
      </c>
      <c r="E53" s="14"/>
      <c r="F53" s="14"/>
      <c r="G53" s="15" t="s">
        <v>165</v>
      </c>
      <c r="H53" s="14" t="s">
        <v>19</v>
      </c>
      <c r="I53" s="16">
        <v>50</v>
      </c>
      <c r="J53" s="17">
        <v>22652</v>
      </c>
      <c r="K53" s="21">
        <f>ROUND((I53*J53),0)</f>
        <v>1132600</v>
      </c>
      <c r="L53" s="5"/>
    </row>
    <row r="54" spans="1:13" ht="72.75" customHeight="1" x14ac:dyDescent="0.2">
      <c r="B54" s="4"/>
      <c r="C54" s="101" t="s">
        <v>171</v>
      </c>
      <c r="D54" s="14" t="s">
        <v>52</v>
      </c>
      <c r="E54" s="14"/>
      <c r="F54" s="14" t="s">
        <v>18</v>
      </c>
      <c r="G54" s="15" t="s">
        <v>53</v>
      </c>
      <c r="H54" s="14" t="s">
        <v>33</v>
      </c>
      <c r="I54" s="16">
        <v>360</v>
      </c>
      <c r="J54" s="35">
        <v>18469</v>
      </c>
      <c r="K54" s="21">
        <f>ROUND((I54*J54),0)</f>
        <v>6648840</v>
      </c>
      <c r="L54" s="5"/>
      <c r="M54" s="3"/>
    </row>
    <row r="55" spans="1:13" ht="54.75" customHeight="1" x14ac:dyDescent="0.2">
      <c r="A55" s="50"/>
      <c r="B55" s="47"/>
      <c r="C55" s="101" t="s">
        <v>172</v>
      </c>
      <c r="D55" s="14" t="s">
        <v>169</v>
      </c>
      <c r="E55" s="14"/>
      <c r="F55" s="14" t="s">
        <v>18</v>
      </c>
      <c r="G55" s="15" t="s">
        <v>178</v>
      </c>
      <c r="H55" s="14" t="s">
        <v>33</v>
      </c>
      <c r="I55" s="16">
        <f>(5.3*2.4)+(3.2*0.6)+(3.5*2*1.8)</f>
        <v>27.24</v>
      </c>
      <c r="J55" s="35">
        <v>124218</v>
      </c>
      <c r="K55" s="21">
        <f>ROUND((I55*J55),0)</f>
        <v>3383698</v>
      </c>
      <c r="L55" s="5"/>
      <c r="M55" s="3"/>
    </row>
    <row r="56" spans="1:13" ht="144.75" customHeight="1" x14ac:dyDescent="0.2">
      <c r="A56" s="50"/>
      <c r="B56" s="47"/>
      <c r="C56" s="101" t="s">
        <v>175</v>
      </c>
      <c r="D56" s="14" t="s">
        <v>57</v>
      </c>
      <c r="E56" s="14"/>
      <c r="F56" s="14" t="s">
        <v>18</v>
      </c>
      <c r="G56" s="15" t="s">
        <v>258</v>
      </c>
      <c r="H56" s="14" t="s">
        <v>33</v>
      </c>
      <c r="I56" s="16">
        <f>+(4.3*4.3)+(5.2*4.3*2)+(16*5.2)+(6*5)</f>
        <v>176.41</v>
      </c>
      <c r="J56" s="17">
        <v>262759</v>
      </c>
      <c r="K56" s="21">
        <f t="shared" ref="K56:K57" si="7">ROUND((I56*J56),0)</f>
        <v>46353315</v>
      </c>
      <c r="L56" s="5"/>
      <c r="M56" s="3"/>
    </row>
    <row r="57" spans="1:13" ht="50.25" customHeight="1" x14ac:dyDescent="0.2">
      <c r="A57" s="50"/>
      <c r="B57" s="47"/>
      <c r="C57" s="101" t="s">
        <v>59</v>
      </c>
      <c r="D57" s="14" t="s">
        <v>58</v>
      </c>
      <c r="E57" s="14"/>
      <c r="F57" s="14" t="s">
        <v>18</v>
      </c>
      <c r="G57" s="15" t="s">
        <v>177</v>
      </c>
      <c r="H57" s="14" t="s">
        <v>33</v>
      </c>
      <c r="I57" s="16">
        <f>+I56</f>
        <v>176.41</v>
      </c>
      <c r="J57" s="35">
        <v>136684</v>
      </c>
      <c r="K57" s="21">
        <f t="shared" si="7"/>
        <v>24112424</v>
      </c>
      <c r="L57" s="5"/>
      <c r="M57" s="3"/>
    </row>
    <row r="58" spans="1:13" s="3" customFormat="1" ht="37.5" customHeight="1" x14ac:dyDescent="0.2">
      <c r="B58" s="4"/>
      <c r="C58" s="100" t="s">
        <v>182</v>
      </c>
      <c r="D58" s="14" t="s">
        <v>179</v>
      </c>
      <c r="E58" s="14"/>
      <c r="F58" s="14" t="s">
        <v>18</v>
      </c>
      <c r="G58" s="15" t="s">
        <v>180</v>
      </c>
      <c r="H58" s="14" t="s">
        <v>33</v>
      </c>
      <c r="I58" s="16">
        <f>(2.3*3)+(1*3)</f>
        <v>9.8999999999999986</v>
      </c>
      <c r="J58" s="17">
        <v>303090</v>
      </c>
      <c r="K58" s="21">
        <f>ROUND((I58*J58),0)</f>
        <v>3000591</v>
      </c>
      <c r="L58" s="5"/>
    </row>
    <row r="59" spans="1:13" s="3" customFormat="1" ht="30.95" customHeight="1" x14ac:dyDescent="0.2">
      <c r="B59" s="4"/>
      <c r="C59" s="170" t="s">
        <v>183</v>
      </c>
      <c r="D59" s="14" t="s">
        <v>54</v>
      </c>
      <c r="E59" s="14"/>
      <c r="F59" s="14" t="s">
        <v>18</v>
      </c>
      <c r="G59" s="15" t="s">
        <v>55</v>
      </c>
      <c r="H59" s="14" t="s">
        <v>33</v>
      </c>
      <c r="I59" s="16">
        <f>(0.8*2.05*1)</f>
        <v>1.64</v>
      </c>
      <c r="J59" s="17">
        <v>1275095</v>
      </c>
      <c r="K59" s="21">
        <f>ROUND((I59*J59),0)</f>
        <v>2091156</v>
      </c>
      <c r="L59" s="5"/>
    </row>
    <row r="60" spans="1:13" s="3" customFormat="1" ht="30" customHeight="1" x14ac:dyDescent="0.2">
      <c r="B60" s="4"/>
      <c r="C60" s="100" t="s">
        <v>184</v>
      </c>
      <c r="D60" s="14" t="s">
        <v>22</v>
      </c>
      <c r="E60" s="14"/>
      <c r="F60" s="14" t="s">
        <v>18</v>
      </c>
      <c r="G60" s="15" t="s">
        <v>23</v>
      </c>
      <c r="H60" s="14" t="s">
        <v>24</v>
      </c>
      <c r="I60" s="16">
        <v>3</v>
      </c>
      <c r="J60" s="17">
        <v>39880</v>
      </c>
      <c r="K60" s="21">
        <f>ROUND((I60*J60),0)</f>
        <v>119640</v>
      </c>
      <c r="L60" s="5"/>
    </row>
    <row r="61" spans="1:13" s="3" customFormat="1" ht="28.5" customHeight="1" x14ac:dyDescent="0.2">
      <c r="B61" s="4"/>
      <c r="C61" s="100" t="s">
        <v>185</v>
      </c>
      <c r="D61" s="14" t="s">
        <v>89</v>
      </c>
      <c r="E61" s="14"/>
      <c r="F61" s="14" t="s">
        <v>18</v>
      </c>
      <c r="G61" s="15" t="s">
        <v>90</v>
      </c>
      <c r="H61" s="14" t="s">
        <v>91</v>
      </c>
      <c r="I61" s="16">
        <f>+(((1+(2.05*2))*2)+((0.6*4)*4)+(((0.8+(2.05*2))*2)))</f>
        <v>29.599999999999994</v>
      </c>
      <c r="J61" s="17">
        <v>17784</v>
      </c>
      <c r="K61" s="21">
        <f t="shared" ref="K61:K64" si="8">ROUND((I61*J61),0)</f>
        <v>526406</v>
      </c>
      <c r="L61" s="5"/>
    </row>
    <row r="62" spans="1:13" s="3" customFormat="1" ht="48.95" customHeight="1" x14ac:dyDescent="0.2">
      <c r="B62" s="4"/>
      <c r="C62" s="100" t="s">
        <v>64</v>
      </c>
      <c r="D62" s="14" t="s">
        <v>56</v>
      </c>
      <c r="E62" s="14"/>
      <c r="F62" s="14" t="s">
        <v>18</v>
      </c>
      <c r="G62" s="15" t="s">
        <v>181</v>
      </c>
      <c r="H62" s="14" t="s">
        <v>33</v>
      </c>
      <c r="I62" s="16">
        <f>0.6*0.5*2</f>
        <v>0.6</v>
      </c>
      <c r="J62" s="17">
        <v>817193</v>
      </c>
      <c r="K62" s="21">
        <f t="shared" si="8"/>
        <v>490316</v>
      </c>
      <c r="L62" s="5"/>
    </row>
    <row r="63" spans="1:13" ht="57" customHeight="1" x14ac:dyDescent="0.2">
      <c r="A63" s="50"/>
      <c r="B63" s="47"/>
      <c r="C63" s="100" t="s">
        <v>186</v>
      </c>
      <c r="D63" s="14" t="s">
        <v>60</v>
      </c>
      <c r="E63" s="14"/>
      <c r="F63" s="14" t="s">
        <v>18</v>
      </c>
      <c r="G63" s="15" t="s">
        <v>259</v>
      </c>
      <c r="H63" s="14" t="s">
        <v>19</v>
      </c>
      <c r="I63" s="16">
        <v>1.95</v>
      </c>
      <c r="J63" s="17">
        <v>1813920</v>
      </c>
      <c r="K63" s="18">
        <f t="shared" si="8"/>
        <v>3537144</v>
      </c>
      <c r="L63" s="5"/>
      <c r="M63" s="3"/>
    </row>
    <row r="64" spans="1:13" ht="33" customHeight="1" x14ac:dyDescent="0.2">
      <c r="A64" s="50"/>
      <c r="B64" s="47"/>
      <c r="C64" s="100" t="s">
        <v>189</v>
      </c>
      <c r="D64" s="14" t="s">
        <v>61</v>
      </c>
      <c r="E64" s="14"/>
      <c r="F64" s="14" t="s">
        <v>18</v>
      </c>
      <c r="G64" s="15" t="s">
        <v>260</v>
      </c>
      <c r="H64" s="14" t="s">
        <v>19</v>
      </c>
      <c r="I64" s="16">
        <v>1.95</v>
      </c>
      <c r="J64" s="17">
        <v>713398</v>
      </c>
      <c r="K64" s="18">
        <f t="shared" si="8"/>
        <v>1391126</v>
      </c>
      <c r="L64" s="5"/>
      <c r="M64" s="3"/>
    </row>
    <row r="65" spans="1:13" s="3" customFormat="1" ht="22.5" customHeight="1" x14ac:dyDescent="0.2">
      <c r="B65" s="4"/>
      <c r="C65" s="170" t="s">
        <v>190</v>
      </c>
      <c r="D65" s="14" t="s">
        <v>187</v>
      </c>
      <c r="E65" s="14"/>
      <c r="F65" s="14"/>
      <c r="G65" s="15" t="s">
        <v>188</v>
      </c>
      <c r="H65" s="14" t="s">
        <v>24</v>
      </c>
      <c r="I65" s="16">
        <v>1</v>
      </c>
      <c r="J65" s="17">
        <v>957843</v>
      </c>
      <c r="K65" s="21">
        <f>ROUND((I65*J65),0)</f>
        <v>957843</v>
      </c>
      <c r="L65" s="5"/>
    </row>
    <row r="66" spans="1:13" ht="33" customHeight="1" x14ac:dyDescent="0.2">
      <c r="A66" s="50"/>
      <c r="B66" s="47"/>
      <c r="C66" s="100" t="s">
        <v>191</v>
      </c>
      <c r="D66" s="14" t="s">
        <v>63</v>
      </c>
      <c r="E66" s="14"/>
      <c r="F66" s="14" t="s">
        <v>18</v>
      </c>
      <c r="G66" s="15" t="s">
        <v>261</v>
      </c>
      <c r="H66" s="14" t="s">
        <v>24</v>
      </c>
      <c r="I66" s="16">
        <v>1</v>
      </c>
      <c r="J66" s="17">
        <v>474586</v>
      </c>
      <c r="K66" s="18">
        <f t="shared" ref="K66" si="9">ROUND((I66*J66),0)</f>
        <v>474586</v>
      </c>
      <c r="L66" s="5"/>
      <c r="M66" s="3"/>
    </row>
    <row r="67" spans="1:13" s="3" customFormat="1" ht="33" customHeight="1" x14ac:dyDescent="0.2">
      <c r="B67" s="4"/>
      <c r="C67" s="170" t="s">
        <v>192</v>
      </c>
      <c r="D67" s="14" t="s">
        <v>193</v>
      </c>
      <c r="E67" s="14"/>
      <c r="F67" s="14" t="s">
        <v>18</v>
      </c>
      <c r="G67" s="15" t="s">
        <v>194</v>
      </c>
      <c r="H67" s="14" t="s">
        <v>24</v>
      </c>
      <c r="I67" s="16">
        <v>4</v>
      </c>
      <c r="J67" s="17">
        <v>745151</v>
      </c>
      <c r="K67" s="21">
        <f>ROUND((I67*J67),0)</f>
        <v>2980604</v>
      </c>
      <c r="L67" s="5"/>
    </row>
    <row r="68" spans="1:13" s="3" customFormat="1" ht="57" customHeight="1" x14ac:dyDescent="0.2">
      <c r="B68" s="4"/>
      <c r="C68" s="100" t="s">
        <v>196</v>
      </c>
      <c r="D68" s="14" t="s">
        <v>195</v>
      </c>
      <c r="E68" s="14"/>
      <c r="F68" s="14" t="s">
        <v>18</v>
      </c>
      <c r="G68" s="15" t="s">
        <v>199</v>
      </c>
      <c r="H68" s="14" t="s">
        <v>24</v>
      </c>
      <c r="I68" s="16">
        <v>8</v>
      </c>
      <c r="J68" s="17">
        <v>157540</v>
      </c>
      <c r="K68" s="21">
        <f t="shared" ref="K68:K70" si="10">ROUND((I68*J68),0)</f>
        <v>1260320</v>
      </c>
      <c r="L68" s="5"/>
    </row>
    <row r="69" spans="1:13" ht="30.75" customHeight="1" x14ac:dyDescent="0.2">
      <c r="A69" s="50"/>
      <c r="B69" s="47"/>
      <c r="C69" s="100" t="s">
        <v>197</v>
      </c>
      <c r="D69" s="14" t="s">
        <v>65</v>
      </c>
      <c r="E69" s="14"/>
      <c r="F69" s="14" t="s">
        <v>18</v>
      </c>
      <c r="G69" s="15" t="s">
        <v>66</v>
      </c>
      <c r="H69" s="14" t="s">
        <v>24</v>
      </c>
      <c r="I69" s="16">
        <v>4</v>
      </c>
      <c r="J69" s="17">
        <v>87010</v>
      </c>
      <c r="K69" s="21">
        <f t="shared" si="10"/>
        <v>348040</v>
      </c>
      <c r="L69" s="5"/>
      <c r="M69" s="3"/>
    </row>
    <row r="70" spans="1:13" ht="50.25" customHeight="1" thickBot="1" x14ac:dyDescent="0.25">
      <c r="B70" s="4"/>
      <c r="C70" s="100" t="s">
        <v>198</v>
      </c>
      <c r="D70" s="14" t="s">
        <v>67</v>
      </c>
      <c r="E70" s="14"/>
      <c r="F70" s="14" t="s">
        <v>18</v>
      </c>
      <c r="G70" s="15" t="s">
        <v>262</v>
      </c>
      <c r="H70" s="14" t="s">
        <v>19</v>
      </c>
      <c r="I70" s="16">
        <v>24</v>
      </c>
      <c r="J70" s="17">
        <v>16188</v>
      </c>
      <c r="K70" s="21">
        <f t="shared" si="10"/>
        <v>388512</v>
      </c>
      <c r="L70" s="5"/>
      <c r="M70" s="3"/>
    </row>
    <row r="71" spans="1:13" s="3" customFormat="1" ht="35.25" customHeight="1" x14ac:dyDescent="0.2">
      <c r="B71" s="4"/>
      <c r="C71" s="172" t="s">
        <v>202</v>
      </c>
      <c r="D71" s="44" t="s">
        <v>200</v>
      </c>
      <c r="E71" s="44"/>
      <c r="F71" s="44" t="s">
        <v>18</v>
      </c>
      <c r="G71" s="45" t="s">
        <v>201</v>
      </c>
      <c r="H71" s="44" t="s">
        <v>19</v>
      </c>
      <c r="I71" s="28">
        <v>16</v>
      </c>
      <c r="J71" s="29">
        <v>9994</v>
      </c>
      <c r="K71" s="30">
        <f>ROUND((I71*J71),0)</f>
        <v>159904</v>
      </c>
      <c r="L71" s="5"/>
    </row>
    <row r="72" spans="1:13" s="105" customFormat="1" ht="31.5" customHeight="1" x14ac:dyDescent="0.25">
      <c r="B72" s="106"/>
      <c r="C72" s="102" t="s">
        <v>203</v>
      </c>
      <c r="D72" s="14" t="s">
        <v>204</v>
      </c>
      <c r="E72" s="14"/>
      <c r="F72" s="14" t="s">
        <v>18</v>
      </c>
      <c r="G72" s="15" t="s">
        <v>205</v>
      </c>
      <c r="H72" s="14" t="s">
        <v>19</v>
      </c>
      <c r="I72" s="16">
        <v>42</v>
      </c>
      <c r="J72" s="17">
        <v>192452</v>
      </c>
      <c r="K72" s="18">
        <f>ROUND((I72*J72),0)</f>
        <v>8082984</v>
      </c>
      <c r="L72" s="109"/>
    </row>
    <row r="73" spans="1:13" s="105" customFormat="1" ht="32.25" customHeight="1" x14ac:dyDescent="0.25">
      <c r="B73" s="106"/>
      <c r="C73" s="102" t="s">
        <v>208</v>
      </c>
      <c r="D73" s="14" t="s">
        <v>206</v>
      </c>
      <c r="E73" s="14"/>
      <c r="F73" s="14" t="s">
        <v>18</v>
      </c>
      <c r="G73" s="15" t="s">
        <v>207</v>
      </c>
      <c r="H73" s="14" t="s">
        <v>19</v>
      </c>
      <c r="I73" s="16">
        <v>26</v>
      </c>
      <c r="J73" s="17">
        <v>63659</v>
      </c>
      <c r="K73" s="18">
        <f>ROUND((I73*J73),0)</f>
        <v>1655134</v>
      </c>
      <c r="L73" s="109"/>
    </row>
    <row r="74" spans="1:13" s="3" customFormat="1" ht="40.5" customHeight="1" x14ac:dyDescent="0.2">
      <c r="B74" s="4"/>
      <c r="C74" s="101" t="s">
        <v>211</v>
      </c>
      <c r="D74" s="19" t="s">
        <v>209</v>
      </c>
      <c r="E74" s="14"/>
      <c r="F74" s="14" t="s">
        <v>18</v>
      </c>
      <c r="G74" s="15" t="s">
        <v>210</v>
      </c>
      <c r="H74" s="14" t="s">
        <v>24</v>
      </c>
      <c r="I74" s="16">
        <v>1</v>
      </c>
      <c r="J74" s="17">
        <v>503819</v>
      </c>
      <c r="K74" s="21">
        <f t="shared" ref="K74" si="11">ROUND((I74*J74),0)</f>
        <v>503819</v>
      </c>
      <c r="L74" s="5"/>
    </row>
    <row r="75" spans="1:13" ht="15" customHeight="1" x14ac:dyDescent="0.2">
      <c r="B75" s="4"/>
      <c r="C75" s="22"/>
      <c r="D75" s="14"/>
      <c r="E75" s="14"/>
      <c r="F75" s="14"/>
      <c r="G75" s="15"/>
      <c r="H75" s="14"/>
      <c r="I75" s="16"/>
      <c r="J75" s="17"/>
      <c r="K75" s="18"/>
      <c r="L75" s="5"/>
      <c r="M75" s="3"/>
    </row>
    <row r="76" spans="1:13" ht="16.5" customHeight="1" thickBot="1" x14ac:dyDescent="0.3">
      <c r="A76" s="105"/>
      <c r="B76" s="106"/>
      <c r="C76" s="23" t="s">
        <v>213</v>
      </c>
      <c r="D76" s="24"/>
      <c r="E76" s="24"/>
      <c r="F76" s="24"/>
      <c r="G76" s="25"/>
      <c r="H76" s="24"/>
      <c r="I76" s="16"/>
      <c r="J76" s="26"/>
      <c r="K76" s="27">
        <f>+SUM(K15:L75)</f>
        <v>335866111</v>
      </c>
      <c r="L76" s="5"/>
      <c r="M76" s="3"/>
    </row>
    <row r="77" spans="1:13" ht="16.5" customHeight="1" thickBot="1" x14ac:dyDescent="0.25">
      <c r="B77" s="4"/>
      <c r="C77" s="10">
        <v>2</v>
      </c>
      <c r="D77" s="11"/>
      <c r="E77" s="12"/>
      <c r="F77" s="12"/>
      <c r="G77" s="12" t="s">
        <v>214</v>
      </c>
      <c r="H77" s="12"/>
      <c r="I77" s="12"/>
      <c r="J77" s="12"/>
      <c r="K77" s="13"/>
      <c r="L77" s="5"/>
      <c r="M77" s="3"/>
    </row>
    <row r="78" spans="1:13" ht="24" x14ac:dyDescent="0.2">
      <c r="B78" s="4"/>
      <c r="C78" s="173" t="s">
        <v>45</v>
      </c>
      <c r="D78" s="110" t="s">
        <v>160</v>
      </c>
      <c r="E78" s="110"/>
      <c r="F78" s="110" t="s">
        <v>18</v>
      </c>
      <c r="G78" s="111" t="s">
        <v>161</v>
      </c>
      <c r="H78" s="110" t="s">
        <v>24</v>
      </c>
      <c r="I78" s="41">
        <v>2</v>
      </c>
      <c r="J78" s="112">
        <v>317696</v>
      </c>
      <c r="K78" s="113">
        <f>ROUND((I78*J78),0)</f>
        <v>635392</v>
      </c>
      <c r="L78" s="5"/>
      <c r="M78" s="3"/>
    </row>
    <row r="79" spans="1:13" s="3" customFormat="1" ht="54" customHeight="1" x14ac:dyDescent="0.2">
      <c r="B79" s="4"/>
      <c r="C79" s="100" t="s">
        <v>46</v>
      </c>
      <c r="D79" s="14" t="s">
        <v>195</v>
      </c>
      <c r="E79" s="14"/>
      <c r="F79" s="14" t="s">
        <v>18</v>
      </c>
      <c r="G79" s="15" t="s">
        <v>199</v>
      </c>
      <c r="H79" s="14" t="s">
        <v>24</v>
      </c>
      <c r="I79" s="16">
        <v>4</v>
      </c>
      <c r="J79" s="17">
        <v>157540</v>
      </c>
      <c r="K79" s="21">
        <f t="shared" ref="K79:K81" si="12">ROUND((I79*J79),0)</f>
        <v>630160</v>
      </c>
      <c r="L79" s="5"/>
    </row>
    <row r="80" spans="1:13" ht="36" customHeight="1" x14ac:dyDescent="0.2">
      <c r="C80" s="102" t="s">
        <v>47</v>
      </c>
      <c r="D80" s="14" t="s">
        <v>147</v>
      </c>
      <c r="E80" s="14"/>
      <c r="F80" s="14" t="s">
        <v>18</v>
      </c>
      <c r="G80" s="15" t="s">
        <v>166</v>
      </c>
      <c r="H80" s="14" t="s">
        <v>19</v>
      </c>
      <c r="I80" s="16">
        <v>16</v>
      </c>
      <c r="J80" s="17">
        <v>38445</v>
      </c>
      <c r="K80" s="21">
        <f t="shared" si="12"/>
        <v>615120</v>
      </c>
      <c r="L80" s="5"/>
      <c r="M80" s="3"/>
    </row>
    <row r="81" spans="1:13" ht="24" x14ac:dyDescent="0.2">
      <c r="A81" s="50"/>
      <c r="B81" s="47"/>
      <c r="C81" s="100" t="s">
        <v>48</v>
      </c>
      <c r="D81" s="14" t="s">
        <v>61</v>
      </c>
      <c r="E81" s="14"/>
      <c r="F81" s="14" t="s">
        <v>18</v>
      </c>
      <c r="G81" s="15" t="s">
        <v>226</v>
      </c>
      <c r="H81" s="14" t="s">
        <v>19</v>
      </c>
      <c r="I81" s="16">
        <v>1</v>
      </c>
      <c r="J81" s="17">
        <v>713398</v>
      </c>
      <c r="K81" s="18">
        <f t="shared" si="12"/>
        <v>713398</v>
      </c>
      <c r="L81" s="5"/>
      <c r="M81" s="3"/>
    </row>
    <row r="82" spans="1:13" ht="72.75" customHeight="1" x14ac:dyDescent="0.2">
      <c r="B82" s="4"/>
      <c r="C82" s="101" t="s">
        <v>225</v>
      </c>
      <c r="D82" s="14" t="s">
        <v>52</v>
      </c>
      <c r="E82" s="14"/>
      <c r="F82" s="14" t="s">
        <v>18</v>
      </c>
      <c r="G82" s="15" t="s">
        <v>53</v>
      </c>
      <c r="H82" s="14" t="s">
        <v>33</v>
      </c>
      <c r="I82" s="16">
        <f>(32*2.8)+(16*3.2*2)</f>
        <v>192</v>
      </c>
      <c r="J82" s="35">
        <v>18469</v>
      </c>
      <c r="K82" s="21">
        <f>ROUND((I82*J82),0)</f>
        <v>3546048</v>
      </c>
      <c r="L82" s="5"/>
      <c r="M82" s="3"/>
    </row>
    <row r="83" spans="1:13" ht="35.25" customHeight="1" x14ac:dyDescent="0.2">
      <c r="B83" s="114"/>
      <c r="C83" s="101" t="s">
        <v>228</v>
      </c>
      <c r="D83" s="14" t="s">
        <v>229</v>
      </c>
      <c r="E83" s="14"/>
      <c r="F83" s="14" t="s">
        <v>18</v>
      </c>
      <c r="G83" s="15" t="s">
        <v>227</v>
      </c>
      <c r="H83" s="14" t="s">
        <v>24</v>
      </c>
      <c r="I83" s="16">
        <v>1</v>
      </c>
      <c r="J83" s="35">
        <v>654519</v>
      </c>
      <c r="K83" s="21">
        <f>ROUND((I83*J83),0)</f>
        <v>654519</v>
      </c>
      <c r="L83" s="5"/>
      <c r="M83" s="3"/>
    </row>
    <row r="84" spans="1:13" x14ac:dyDescent="0.2">
      <c r="C84" s="33"/>
      <c r="D84" s="32"/>
      <c r="E84" s="32"/>
      <c r="F84" s="32"/>
      <c r="G84" s="31"/>
      <c r="H84" s="36"/>
      <c r="I84" s="16"/>
      <c r="J84" s="17"/>
      <c r="K84" s="21"/>
      <c r="L84" s="5"/>
      <c r="M84" s="3"/>
    </row>
    <row r="85" spans="1:13" ht="15.75" customHeight="1" thickBot="1" x14ac:dyDescent="0.25">
      <c r="C85" s="37" t="s">
        <v>221</v>
      </c>
      <c r="D85" s="38"/>
      <c r="E85" s="38"/>
      <c r="F85" s="38"/>
      <c r="G85" s="39"/>
      <c r="H85" s="40"/>
      <c r="I85" s="41"/>
      <c r="J85" s="42"/>
      <c r="K85" s="43">
        <f>SUM(K78:K84)</f>
        <v>6794637</v>
      </c>
      <c r="L85" s="5"/>
      <c r="M85" s="3"/>
    </row>
    <row r="86" spans="1:13" ht="16.5" customHeight="1" thickBot="1" x14ac:dyDescent="0.25">
      <c r="C86" s="10">
        <v>3</v>
      </c>
      <c r="D86" s="11"/>
      <c r="E86" s="12"/>
      <c r="F86" s="12"/>
      <c r="G86" s="12" t="s">
        <v>222</v>
      </c>
      <c r="H86" s="12"/>
      <c r="I86" s="12"/>
      <c r="J86" s="12"/>
      <c r="K86" s="13"/>
      <c r="L86" s="5"/>
      <c r="M86" s="3"/>
    </row>
    <row r="87" spans="1:13" s="3" customFormat="1" ht="50.25" customHeight="1" x14ac:dyDescent="0.2">
      <c r="B87" s="4"/>
      <c r="C87" s="101" t="s">
        <v>26</v>
      </c>
      <c r="D87" s="19" t="s">
        <v>28</v>
      </c>
      <c r="E87" s="14"/>
      <c r="F87" s="14" t="s">
        <v>18</v>
      </c>
      <c r="G87" s="15" t="s">
        <v>215</v>
      </c>
      <c r="H87" s="14" t="s">
        <v>29</v>
      </c>
      <c r="I87" s="16">
        <f>+((2*4)*0.3*0.4*4)</f>
        <v>3.84</v>
      </c>
      <c r="J87" s="17">
        <v>80163</v>
      </c>
      <c r="K87" s="21">
        <f>ROUND((I87*J87),0)</f>
        <v>307826</v>
      </c>
      <c r="L87" s="5"/>
    </row>
    <row r="88" spans="1:13" s="3" customFormat="1" ht="17.25" customHeight="1" x14ac:dyDescent="0.2">
      <c r="B88" s="4"/>
      <c r="C88" s="101" t="s">
        <v>234</v>
      </c>
      <c r="D88" s="19" t="s">
        <v>49</v>
      </c>
      <c r="E88" s="14"/>
      <c r="F88" s="14" t="s">
        <v>18</v>
      </c>
      <c r="G88" s="15" t="s">
        <v>216</v>
      </c>
      <c r="H88" s="14" t="s">
        <v>29</v>
      </c>
      <c r="I88" s="16">
        <f>+((2*4)*0.3*0.05*4)</f>
        <v>0.48</v>
      </c>
      <c r="J88" s="17">
        <v>762374</v>
      </c>
      <c r="K88" s="21">
        <f t="shared" ref="K88:K97" si="13">ROUND((I88*J88),0)</f>
        <v>365940</v>
      </c>
      <c r="L88" s="5"/>
    </row>
    <row r="89" spans="1:13" s="3" customFormat="1" ht="27.95" customHeight="1" x14ac:dyDescent="0.2">
      <c r="B89" s="4"/>
      <c r="C89" s="101" t="s">
        <v>38</v>
      </c>
      <c r="D89" s="19" t="s">
        <v>38</v>
      </c>
      <c r="E89" s="14"/>
      <c r="F89" s="14" t="s">
        <v>18</v>
      </c>
      <c r="G89" s="15" t="s">
        <v>247</v>
      </c>
      <c r="H89" s="14" t="s">
        <v>39</v>
      </c>
      <c r="I89" s="20">
        <f>+(4*4*2*1)+(8*4*4*1)+(((2/0.16)+1)*0.95*0.56*4)+(1*4*4*1*4)+(((1/0.16)+1)*0.95*0.56*4*4)+20</f>
        <v>334.44</v>
      </c>
      <c r="J89" s="17">
        <v>8940</v>
      </c>
      <c r="K89" s="21">
        <f t="shared" si="13"/>
        <v>2989894</v>
      </c>
      <c r="L89" s="5"/>
    </row>
    <row r="90" spans="1:13" s="3" customFormat="1" ht="36.950000000000003" customHeight="1" x14ac:dyDescent="0.2">
      <c r="B90" s="4"/>
      <c r="C90" s="101" t="s">
        <v>235</v>
      </c>
      <c r="D90" s="19" t="s">
        <v>41</v>
      </c>
      <c r="E90" s="14"/>
      <c r="F90" s="14" t="s">
        <v>18</v>
      </c>
      <c r="G90" s="15" t="s">
        <v>217</v>
      </c>
      <c r="H90" s="14" t="s">
        <v>29</v>
      </c>
      <c r="I90" s="16">
        <f>+((2*4)*0.3*0.3*4)</f>
        <v>2.88</v>
      </c>
      <c r="J90" s="17">
        <v>1023849</v>
      </c>
      <c r="K90" s="21">
        <f t="shared" si="13"/>
        <v>2948685</v>
      </c>
      <c r="L90" s="5"/>
    </row>
    <row r="91" spans="1:13" s="3" customFormat="1" ht="37.5" customHeight="1" x14ac:dyDescent="0.2">
      <c r="B91" s="4"/>
      <c r="C91" s="101" t="s">
        <v>236</v>
      </c>
      <c r="D91" s="19" t="s">
        <v>51</v>
      </c>
      <c r="E91" s="14"/>
      <c r="F91" s="14" t="s">
        <v>18</v>
      </c>
      <c r="G91" s="15" t="s">
        <v>218</v>
      </c>
      <c r="H91" s="14" t="s">
        <v>29</v>
      </c>
      <c r="I91" s="16">
        <f>+(1*0.25*0.25*4*4)</f>
        <v>1</v>
      </c>
      <c r="J91" s="17">
        <v>1588356</v>
      </c>
      <c r="K91" s="21">
        <f t="shared" si="13"/>
        <v>1588356</v>
      </c>
      <c r="L91" s="5"/>
    </row>
    <row r="92" spans="1:13" ht="24" x14ac:dyDescent="0.25">
      <c r="A92" s="105"/>
      <c r="B92" s="106"/>
      <c r="C92" s="100" t="s">
        <v>237</v>
      </c>
      <c r="D92" s="14" t="s">
        <v>31</v>
      </c>
      <c r="E92" s="14"/>
      <c r="F92" s="14" t="s">
        <v>18</v>
      </c>
      <c r="G92" s="15" t="s">
        <v>249</v>
      </c>
      <c r="H92" s="14" t="s">
        <v>29</v>
      </c>
      <c r="I92" s="16">
        <f>2*2*0.8*4</f>
        <v>12.8</v>
      </c>
      <c r="J92" s="17">
        <v>220152</v>
      </c>
      <c r="K92" s="18">
        <f t="shared" si="13"/>
        <v>2817946</v>
      </c>
      <c r="L92" s="5"/>
      <c r="M92" s="3"/>
    </row>
    <row r="93" spans="1:13" ht="24" x14ac:dyDescent="0.25">
      <c r="A93" s="105"/>
      <c r="B93" s="106"/>
      <c r="C93" s="100" t="s">
        <v>238</v>
      </c>
      <c r="D93" s="14" t="s">
        <v>35</v>
      </c>
      <c r="E93" s="14"/>
      <c r="F93" s="14" t="s">
        <v>18</v>
      </c>
      <c r="G93" s="15" t="s">
        <v>36</v>
      </c>
      <c r="H93" s="14" t="s">
        <v>33</v>
      </c>
      <c r="I93" s="16">
        <f>2*2*4</f>
        <v>16</v>
      </c>
      <c r="J93" s="17">
        <v>154239</v>
      </c>
      <c r="K93" s="18">
        <f t="shared" si="13"/>
        <v>2467824</v>
      </c>
      <c r="L93" s="5"/>
      <c r="M93" s="3"/>
    </row>
    <row r="94" spans="1:13" s="3" customFormat="1" ht="27.6" customHeight="1" x14ac:dyDescent="0.2">
      <c r="B94" s="4"/>
      <c r="C94" s="100" t="s">
        <v>239</v>
      </c>
      <c r="D94" s="14" t="s">
        <v>65</v>
      </c>
      <c r="E94" s="14"/>
      <c r="F94" s="14" t="s">
        <v>18</v>
      </c>
      <c r="G94" s="15" t="s">
        <v>66</v>
      </c>
      <c r="H94" s="14" t="s">
        <v>24</v>
      </c>
      <c r="I94" s="16">
        <v>4</v>
      </c>
      <c r="J94" s="17">
        <v>87010</v>
      </c>
      <c r="K94" s="21">
        <f t="shared" si="13"/>
        <v>348040</v>
      </c>
      <c r="L94" s="5"/>
    </row>
    <row r="95" spans="1:13" s="3" customFormat="1" ht="47.25" customHeight="1" x14ac:dyDescent="0.2">
      <c r="B95" s="4"/>
      <c r="C95" s="100" t="s">
        <v>240</v>
      </c>
      <c r="D95" s="14" t="s">
        <v>67</v>
      </c>
      <c r="E95" s="14"/>
      <c r="F95" s="14" t="s">
        <v>18</v>
      </c>
      <c r="G95" s="15" t="s">
        <v>68</v>
      </c>
      <c r="H95" s="14" t="s">
        <v>19</v>
      </c>
      <c r="I95" s="16">
        <v>8</v>
      </c>
      <c r="J95" s="17">
        <v>16188</v>
      </c>
      <c r="K95" s="21">
        <f t="shared" si="13"/>
        <v>129504</v>
      </c>
      <c r="L95" s="5"/>
    </row>
    <row r="96" spans="1:13" s="3" customFormat="1" ht="26.1" customHeight="1" x14ac:dyDescent="0.2">
      <c r="B96" s="4"/>
      <c r="C96" s="100" t="s">
        <v>241</v>
      </c>
      <c r="D96" s="14" t="s">
        <v>219</v>
      </c>
      <c r="E96" s="14"/>
      <c r="F96" s="14" t="s">
        <v>18</v>
      </c>
      <c r="G96" s="15" t="s">
        <v>220</v>
      </c>
      <c r="H96" s="14" t="s">
        <v>24</v>
      </c>
      <c r="I96" s="16">
        <v>4</v>
      </c>
      <c r="J96" s="17">
        <v>2494102</v>
      </c>
      <c r="K96" s="21">
        <f t="shared" si="13"/>
        <v>9976408</v>
      </c>
      <c r="L96" s="5"/>
    </row>
    <row r="97" spans="2:13" ht="60" x14ac:dyDescent="0.2">
      <c r="B97" s="4"/>
      <c r="C97" s="171" t="s">
        <v>242</v>
      </c>
      <c r="D97" s="14" t="s">
        <v>69</v>
      </c>
      <c r="E97" s="14"/>
      <c r="F97" s="14" t="s">
        <v>18</v>
      </c>
      <c r="G97" s="15" t="s">
        <v>164</v>
      </c>
      <c r="H97" s="14" t="s">
        <v>19</v>
      </c>
      <c r="I97" s="16">
        <v>24</v>
      </c>
      <c r="J97" s="17">
        <v>56263</v>
      </c>
      <c r="K97" s="18">
        <f t="shared" si="13"/>
        <v>1350312</v>
      </c>
      <c r="L97" s="5"/>
      <c r="M97" s="3"/>
    </row>
    <row r="98" spans="2:13" s="105" customFormat="1" ht="31.5" customHeight="1" x14ac:dyDescent="0.25">
      <c r="B98" s="106"/>
      <c r="C98" s="102" t="s">
        <v>243</v>
      </c>
      <c r="D98" s="14" t="s">
        <v>204</v>
      </c>
      <c r="E98" s="14"/>
      <c r="F98" s="14" t="s">
        <v>18</v>
      </c>
      <c r="G98" s="15" t="s">
        <v>205</v>
      </c>
      <c r="H98" s="14" t="s">
        <v>19</v>
      </c>
      <c r="I98" s="16">
        <v>24</v>
      </c>
      <c r="J98" s="17">
        <v>192452</v>
      </c>
      <c r="K98" s="18">
        <f>ROUND((I98*J98),0)</f>
        <v>4618848</v>
      </c>
      <c r="L98" s="109"/>
    </row>
    <row r="99" spans="2:13" ht="24" x14ac:dyDescent="0.2">
      <c r="B99" s="4"/>
      <c r="C99" s="170" t="s">
        <v>244</v>
      </c>
      <c r="D99" s="110" t="s">
        <v>160</v>
      </c>
      <c r="E99" s="110"/>
      <c r="F99" s="110" t="s">
        <v>18</v>
      </c>
      <c r="G99" s="111" t="s">
        <v>161</v>
      </c>
      <c r="H99" s="110" t="s">
        <v>24</v>
      </c>
      <c r="I99" s="41">
        <v>2</v>
      </c>
      <c r="J99" s="112">
        <v>317696</v>
      </c>
      <c r="K99" s="113">
        <f t="shared" ref="K99:K100" si="14">ROUND((I99*J99),0)</f>
        <v>635392</v>
      </c>
      <c r="L99" s="5"/>
      <c r="M99" s="3"/>
    </row>
    <row r="100" spans="2:13" ht="36" customHeight="1" x14ac:dyDescent="0.2">
      <c r="C100" s="102" t="s">
        <v>245</v>
      </c>
      <c r="D100" s="14" t="s">
        <v>147</v>
      </c>
      <c r="E100" s="14"/>
      <c r="F100" s="14" t="s">
        <v>18</v>
      </c>
      <c r="G100" s="15" t="s">
        <v>166</v>
      </c>
      <c r="H100" s="14" t="s">
        <v>19</v>
      </c>
      <c r="I100" s="16">
        <v>24</v>
      </c>
      <c r="J100" s="17">
        <v>38445</v>
      </c>
      <c r="K100" s="21">
        <f t="shared" si="14"/>
        <v>922680</v>
      </c>
      <c r="L100" s="5"/>
      <c r="M100" s="3"/>
    </row>
    <row r="101" spans="2:13" ht="72.75" customHeight="1" x14ac:dyDescent="0.2">
      <c r="B101" s="4"/>
      <c r="C101" s="101" t="s">
        <v>246</v>
      </c>
      <c r="D101" s="14" t="s">
        <v>52</v>
      </c>
      <c r="E101" s="14"/>
      <c r="F101" s="14" t="s">
        <v>18</v>
      </c>
      <c r="G101" s="15" t="s">
        <v>53</v>
      </c>
      <c r="H101" s="14" t="s">
        <v>33</v>
      </c>
      <c r="I101" s="16">
        <f>(32*2.8*3)</f>
        <v>268.79999999999995</v>
      </c>
      <c r="J101" s="35">
        <v>18469</v>
      </c>
      <c r="K101" s="21">
        <f>ROUND((I101*J101),0)</f>
        <v>4964467</v>
      </c>
      <c r="L101" s="5"/>
      <c r="M101" s="3"/>
    </row>
    <row r="102" spans="2:13" ht="14.1" customHeight="1" x14ac:dyDescent="0.2">
      <c r="C102" s="22"/>
      <c r="D102" s="14"/>
      <c r="E102" s="14"/>
      <c r="F102" s="14"/>
      <c r="G102" s="15"/>
      <c r="H102" s="14"/>
      <c r="I102" s="16"/>
      <c r="J102" s="17"/>
      <c r="K102" s="18"/>
      <c r="L102" s="5"/>
      <c r="M102" s="3"/>
    </row>
    <row r="103" spans="2:13" ht="16.5" customHeight="1" thickBot="1" x14ac:dyDescent="0.25">
      <c r="C103" s="23" t="s">
        <v>223</v>
      </c>
      <c r="D103" s="24"/>
      <c r="E103" s="24"/>
      <c r="F103" s="24"/>
      <c r="G103" s="25"/>
      <c r="H103" s="24"/>
      <c r="I103" s="46"/>
      <c r="J103" s="26"/>
      <c r="K103" s="27">
        <f>+SUM(K87:K102)</f>
        <v>36432122</v>
      </c>
      <c r="L103" s="5"/>
      <c r="M103" s="3"/>
    </row>
    <row r="104" spans="2:13" ht="23.25" customHeight="1" thickBot="1" x14ac:dyDescent="0.25">
      <c r="C104" s="129" t="s">
        <v>95</v>
      </c>
      <c r="D104" s="130"/>
      <c r="E104" s="130"/>
      <c r="F104" s="130"/>
      <c r="G104" s="130"/>
      <c r="H104" s="130"/>
      <c r="I104" s="130"/>
      <c r="J104" s="131"/>
      <c r="K104" s="48">
        <f>+K76+K85+K103</f>
        <v>379092870</v>
      </c>
      <c r="L104" s="49"/>
      <c r="M104" s="50"/>
    </row>
    <row r="105" spans="2:13" ht="12.75" thickBot="1" x14ac:dyDescent="0.25">
      <c r="C105" s="51"/>
      <c r="D105" s="51"/>
      <c r="E105" s="51"/>
      <c r="F105" s="51"/>
      <c r="G105" s="51"/>
      <c r="H105" s="51"/>
      <c r="I105" s="51"/>
      <c r="J105" s="51"/>
      <c r="K105" s="52"/>
      <c r="L105" s="49"/>
      <c r="M105" s="50"/>
    </row>
    <row r="106" spans="2:13" x14ac:dyDescent="0.2">
      <c r="C106" s="53"/>
      <c r="D106" s="54"/>
      <c r="E106" s="53"/>
      <c r="F106" s="53"/>
      <c r="G106" s="55"/>
      <c r="H106" s="56"/>
      <c r="I106" s="57"/>
      <c r="J106" s="58"/>
      <c r="K106" s="59"/>
      <c r="L106" s="49"/>
      <c r="M106" s="50"/>
    </row>
    <row r="107" spans="2:13" ht="16.5" customHeight="1" thickBot="1" x14ac:dyDescent="0.25">
      <c r="C107" s="53"/>
      <c r="D107" s="60"/>
      <c r="E107" s="60"/>
      <c r="F107" s="60"/>
      <c r="G107" s="61" t="s">
        <v>96</v>
      </c>
      <c r="H107" s="62"/>
      <c r="I107" s="63"/>
      <c r="J107" s="64"/>
      <c r="K107" s="65">
        <f>ROUND(+((K104/(K129+1))*K128)*0.19,0)</f>
        <v>2858240</v>
      </c>
      <c r="L107" s="49"/>
      <c r="M107" s="50"/>
    </row>
    <row r="108" spans="2:13" ht="12.75" thickBot="1" x14ac:dyDescent="0.25">
      <c r="C108" s="53"/>
      <c r="D108" s="54"/>
      <c r="E108" s="53"/>
      <c r="F108" s="66"/>
      <c r="G108" s="67"/>
      <c r="H108" s="62"/>
      <c r="I108" s="63"/>
      <c r="J108" s="68"/>
      <c r="K108" s="69"/>
      <c r="L108" s="49"/>
      <c r="M108" s="50"/>
    </row>
    <row r="109" spans="2:13" ht="18.75" customHeight="1" thickBot="1" x14ac:dyDescent="0.25">
      <c r="C109" s="53"/>
      <c r="D109" s="54"/>
      <c r="E109" s="53"/>
      <c r="F109" s="53"/>
      <c r="G109" s="70" t="s">
        <v>97</v>
      </c>
      <c r="H109" s="71"/>
      <c r="I109" s="72"/>
      <c r="J109" s="73"/>
      <c r="K109" s="74">
        <f>SUM(K104:K108)</f>
        <v>381951110</v>
      </c>
      <c r="L109" s="49"/>
      <c r="M109" s="50"/>
    </row>
    <row r="110" spans="2:13" ht="12.75" thickBot="1" x14ac:dyDescent="0.25">
      <c r="C110" s="53"/>
      <c r="D110" s="54"/>
      <c r="E110" s="53"/>
      <c r="F110" s="53"/>
      <c r="G110" s="75"/>
      <c r="H110" s="76"/>
      <c r="I110" s="77"/>
      <c r="J110" s="78"/>
      <c r="K110" s="79"/>
      <c r="L110" s="49"/>
      <c r="M110" s="50"/>
    </row>
    <row r="111" spans="2:13" ht="17.25" customHeight="1" thickBot="1" x14ac:dyDescent="0.25">
      <c r="C111" s="10">
        <v>4</v>
      </c>
      <c r="D111" s="11"/>
      <c r="E111" s="12"/>
      <c r="F111" s="12"/>
      <c r="G111" s="12" t="s">
        <v>98</v>
      </c>
      <c r="H111" s="12"/>
      <c r="I111" s="12"/>
      <c r="J111" s="12"/>
      <c r="K111" s="13"/>
      <c r="L111" s="5"/>
      <c r="M111" s="3"/>
    </row>
    <row r="112" spans="2:13" ht="39" customHeight="1" x14ac:dyDescent="0.2">
      <c r="C112" s="34" t="s">
        <v>99</v>
      </c>
      <c r="D112" s="19"/>
      <c r="E112" s="14"/>
      <c r="F112" s="14" t="s">
        <v>18</v>
      </c>
      <c r="G112" s="15" t="s">
        <v>263</v>
      </c>
      <c r="H112" s="14" t="s">
        <v>24</v>
      </c>
      <c r="I112" s="20">
        <v>1</v>
      </c>
      <c r="J112" s="17">
        <v>14000000</v>
      </c>
      <c r="K112" s="21">
        <f>ROUND((I112*J112),0)</f>
        <v>14000000</v>
      </c>
      <c r="L112" s="5"/>
      <c r="M112" s="3"/>
    </row>
    <row r="113" spans="3:13" ht="60" customHeight="1" x14ac:dyDescent="0.2">
      <c r="C113" s="34" t="s">
        <v>100</v>
      </c>
      <c r="D113" s="19"/>
      <c r="E113" s="14"/>
      <c r="F113" s="14" t="s">
        <v>18</v>
      </c>
      <c r="G113" s="15" t="s">
        <v>224</v>
      </c>
      <c r="H113" s="14" t="s">
        <v>24</v>
      </c>
      <c r="I113" s="20">
        <v>8</v>
      </c>
      <c r="J113" s="17">
        <v>351000</v>
      </c>
      <c r="K113" s="21">
        <f>ROUND((I113*J113),0)</f>
        <v>2808000</v>
      </c>
      <c r="L113" s="5"/>
      <c r="M113" s="3"/>
    </row>
    <row r="114" spans="3:13" x14ac:dyDescent="0.2">
      <c r="C114" s="34"/>
      <c r="D114" s="19"/>
      <c r="E114" s="14"/>
      <c r="F114" s="14"/>
      <c r="G114" s="15"/>
      <c r="H114" s="14"/>
      <c r="I114" s="20"/>
      <c r="J114" s="17"/>
      <c r="K114" s="21"/>
      <c r="L114" s="5"/>
      <c r="M114" s="3"/>
    </row>
    <row r="115" spans="3:13" ht="20.25" customHeight="1" thickBot="1" x14ac:dyDescent="0.25">
      <c r="C115" s="129" t="s">
        <v>101</v>
      </c>
      <c r="D115" s="130"/>
      <c r="E115" s="130"/>
      <c r="F115" s="130"/>
      <c r="G115" s="130"/>
      <c r="H115" s="130"/>
      <c r="I115" s="130"/>
      <c r="J115" s="131"/>
      <c r="K115" s="48">
        <f>+SUM(K112:K114)</f>
        <v>16808000</v>
      </c>
      <c r="L115" s="49"/>
      <c r="M115" s="50"/>
    </row>
    <row r="116" spans="3:13" ht="9.75" customHeight="1" thickBot="1" x14ac:dyDescent="0.25">
      <c r="C116" s="51"/>
      <c r="D116" s="51"/>
      <c r="E116" s="51"/>
      <c r="F116" s="51"/>
      <c r="G116" s="51"/>
      <c r="H116" s="51"/>
      <c r="I116" s="51"/>
      <c r="J116" s="51"/>
      <c r="K116" s="52"/>
      <c r="L116" s="49"/>
      <c r="M116" s="50"/>
    </row>
    <row r="117" spans="3:13" x14ac:dyDescent="0.2">
      <c r="C117" s="53"/>
      <c r="D117" s="54"/>
      <c r="E117" s="53"/>
      <c r="F117" s="53"/>
      <c r="G117" s="55"/>
      <c r="H117" s="56"/>
      <c r="I117" s="57"/>
      <c r="J117" s="58"/>
      <c r="K117" s="59"/>
      <c r="L117" s="49"/>
      <c r="M117" s="50"/>
    </row>
    <row r="118" spans="3:13" ht="15.75" customHeight="1" thickBot="1" x14ac:dyDescent="0.25">
      <c r="C118" s="53"/>
      <c r="D118" s="60"/>
      <c r="E118" s="60"/>
      <c r="F118" s="60"/>
      <c r="G118" s="61" t="s">
        <v>102</v>
      </c>
      <c r="H118" s="62"/>
      <c r="I118" s="63"/>
      <c r="J118" s="64"/>
      <c r="K118" s="65">
        <f>+K115*0.19</f>
        <v>3193520</v>
      </c>
      <c r="L118" s="49"/>
      <c r="M118" s="50"/>
    </row>
    <row r="119" spans="3:13" ht="12.75" thickBot="1" x14ac:dyDescent="0.25">
      <c r="C119" s="53"/>
      <c r="D119" s="54"/>
      <c r="E119" s="53"/>
      <c r="F119" s="66"/>
      <c r="G119" s="67"/>
      <c r="H119" s="62"/>
      <c r="I119" s="63"/>
      <c r="J119" s="68"/>
      <c r="K119" s="69"/>
      <c r="L119" s="49"/>
      <c r="M119" s="50"/>
    </row>
    <row r="120" spans="3:13" ht="17.25" customHeight="1" thickBot="1" x14ac:dyDescent="0.25">
      <c r="C120" s="53"/>
      <c r="D120" s="54"/>
      <c r="E120" s="53"/>
      <c r="F120" s="53"/>
      <c r="G120" s="70" t="s">
        <v>103</v>
      </c>
      <c r="H120" s="71"/>
      <c r="I120" s="72"/>
      <c r="J120" s="73"/>
      <c r="K120" s="74">
        <f>SUM(K115:K119)</f>
        <v>20001520</v>
      </c>
      <c r="L120" s="49"/>
      <c r="M120" s="50"/>
    </row>
    <row r="121" spans="3:13" ht="12.75" thickBot="1" x14ac:dyDescent="0.25">
      <c r="C121" s="53"/>
      <c r="D121" s="54"/>
      <c r="E121" s="53"/>
      <c r="F121" s="53"/>
      <c r="G121" s="75"/>
      <c r="H121" s="76"/>
      <c r="I121" s="77"/>
      <c r="J121" s="78"/>
      <c r="K121" s="79"/>
      <c r="L121" s="49"/>
      <c r="M121" s="50"/>
    </row>
    <row r="122" spans="3:13" ht="27.75" customHeight="1" thickBot="1" x14ac:dyDescent="0.25">
      <c r="C122" s="53"/>
      <c r="D122" s="54"/>
      <c r="E122" s="53"/>
      <c r="F122" s="53"/>
      <c r="G122" s="80" t="s">
        <v>104</v>
      </c>
      <c r="H122" s="81"/>
      <c r="I122" s="82"/>
      <c r="J122" s="83"/>
      <c r="K122" s="74">
        <f>+K109+K120</f>
        <v>401952630</v>
      </c>
      <c r="L122" s="49"/>
      <c r="M122" s="50"/>
    </row>
    <row r="123" spans="3:13" ht="12" customHeight="1" thickBot="1" x14ac:dyDescent="0.25">
      <c r="C123" s="53"/>
      <c r="D123" s="54"/>
      <c r="E123" s="54"/>
      <c r="F123" s="54"/>
      <c r="G123" s="53"/>
      <c r="H123" s="53"/>
      <c r="I123" s="84"/>
      <c r="J123" s="85"/>
      <c r="K123" s="86"/>
      <c r="L123" s="49"/>
      <c r="M123" s="50"/>
    </row>
    <row r="124" spans="3:13" ht="9.75" customHeight="1" x14ac:dyDescent="0.2">
      <c r="C124" s="87"/>
      <c r="D124" s="132"/>
      <c r="E124" s="132"/>
      <c r="F124" s="132"/>
      <c r="G124" s="132"/>
      <c r="H124" s="132"/>
      <c r="I124" s="132"/>
      <c r="J124" s="132"/>
      <c r="K124" s="133"/>
      <c r="L124" s="88"/>
      <c r="M124" s="50"/>
    </row>
    <row r="125" spans="3:13" ht="24.75" customHeight="1" x14ac:dyDescent="0.2">
      <c r="C125" s="134" t="s">
        <v>105</v>
      </c>
      <c r="D125" s="135"/>
      <c r="E125" s="135"/>
      <c r="F125" s="135"/>
      <c r="G125" s="135"/>
      <c r="H125" s="154" t="s">
        <v>9</v>
      </c>
      <c r="I125" s="154"/>
      <c r="J125" s="154"/>
      <c r="K125" s="89" t="s">
        <v>106</v>
      </c>
      <c r="L125" s="90"/>
      <c r="M125" s="50"/>
    </row>
    <row r="126" spans="3:13" ht="28.5" customHeight="1" x14ac:dyDescent="0.2">
      <c r="C126" s="134" t="s">
        <v>107</v>
      </c>
      <c r="D126" s="135"/>
      <c r="E126" s="135"/>
      <c r="F126" s="135"/>
      <c r="G126" s="135"/>
      <c r="H126" s="155" t="s">
        <v>108</v>
      </c>
      <c r="I126" s="155"/>
      <c r="J126" s="91">
        <f>+ROUND((K$104*K126),0)</f>
        <v>75818574</v>
      </c>
      <c r="K126" s="92">
        <v>0.2</v>
      </c>
      <c r="L126" s="90"/>
      <c r="M126" s="50"/>
    </row>
    <row r="127" spans="3:13" ht="28.5" customHeight="1" x14ac:dyDescent="0.2">
      <c r="C127" s="134" t="s">
        <v>109</v>
      </c>
      <c r="D127" s="135"/>
      <c r="E127" s="135"/>
      <c r="F127" s="135"/>
      <c r="G127" s="135"/>
      <c r="H127" s="156" t="s">
        <v>110</v>
      </c>
      <c r="I127" s="157"/>
      <c r="J127" s="91">
        <f t="shared" ref="J127" si="15">+ROUND((K$104*K127),0)</f>
        <v>3790929</v>
      </c>
      <c r="K127" s="92">
        <v>0.01</v>
      </c>
      <c r="L127" s="90"/>
      <c r="M127" s="50"/>
    </row>
    <row r="128" spans="3:13" ht="23.25" customHeight="1" x14ac:dyDescent="0.2">
      <c r="C128" s="158"/>
      <c r="D128" s="159"/>
      <c r="E128" s="159"/>
      <c r="F128" s="159"/>
      <c r="G128" s="160"/>
      <c r="H128" s="167" t="s">
        <v>111</v>
      </c>
      <c r="I128" s="155"/>
      <c r="J128" s="91">
        <f>+ROUND((K$104*K128),0)</f>
        <v>18954644</v>
      </c>
      <c r="K128" s="92">
        <v>0.05</v>
      </c>
      <c r="L128" s="49"/>
      <c r="M128" s="50"/>
    </row>
    <row r="129" spans="3:13" ht="23.25" customHeight="1" x14ac:dyDescent="0.2">
      <c r="C129" s="161"/>
      <c r="D129" s="162"/>
      <c r="E129" s="162"/>
      <c r="F129" s="162"/>
      <c r="G129" s="163"/>
      <c r="H129" s="155" t="s">
        <v>112</v>
      </c>
      <c r="I129" s="155"/>
      <c r="J129" s="91">
        <f>SUM(J126:J128)</f>
        <v>98564147</v>
      </c>
      <c r="K129" s="92">
        <f>+K126+K127+K128</f>
        <v>0.26</v>
      </c>
      <c r="L129" s="5"/>
      <c r="M129" s="3"/>
    </row>
    <row r="130" spans="3:13" ht="10.5" customHeight="1" thickBot="1" x14ac:dyDescent="0.25">
      <c r="C130" s="164"/>
      <c r="D130" s="165"/>
      <c r="E130" s="165"/>
      <c r="F130" s="165"/>
      <c r="G130" s="166"/>
      <c r="H130" s="168"/>
      <c r="I130" s="168"/>
      <c r="J130" s="168"/>
      <c r="K130" s="169"/>
      <c r="L130" s="5"/>
      <c r="M130" s="3"/>
    </row>
    <row r="131" spans="3:13" ht="10.5" customHeight="1" thickBot="1" x14ac:dyDescent="0.25">
      <c r="C131" s="94"/>
      <c r="D131" s="94"/>
      <c r="E131" s="95"/>
      <c r="F131" s="94"/>
      <c r="G131" s="96"/>
      <c r="H131" s="94"/>
      <c r="I131" s="94"/>
      <c r="J131" s="94"/>
      <c r="K131" s="94"/>
      <c r="L131" s="97"/>
      <c r="M131" s="3"/>
    </row>
    <row r="132" spans="3:13" ht="12.75" thickTop="1" x14ac:dyDescent="0.2">
      <c r="C132" s="3"/>
      <c r="D132" s="3"/>
      <c r="E132" s="98"/>
      <c r="F132" s="3"/>
      <c r="G132" s="3"/>
      <c r="H132" s="3"/>
      <c r="I132" s="3"/>
      <c r="J132" s="3"/>
      <c r="K132" s="3"/>
      <c r="L132" s="3"/>
      <c r="M132" s="3"/>
    </row>
  </sheetData>
  <mergeCells count="29">
    <mergeCell ref="C126:G126"/>
    <mergeCell ref="H126:I126"/>
    <mergeCell ref="C127:G127"/>
    <mergeCell ref="H127:I127"/>
    <mergeCell ref="C128:G130"/>
    <mergeCell ref="H128:I128"/>
    <mergeCell ref="H129:I129"/>
    <mergeCell ref="H130:K130"/>
    <mergeCell ref="C104:J104"/>
    <mergeCell ref="C115:J115"/>
    <mergeCell ref="D124:K124"/>
    <mergeCell ref="C125:G125"/>
    <mergeCell ref="C8:K9"/>
    <mergeCell ref="C10:K10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H125:J125"/>
    <mergeCell ref="C1:L1"/>
    <mergeCell ref="C2:F2"/>
    <mergeCell ref="C5:K5"/>
    <mergeCell ref="C6:K6"/>
    <mergeCell ref="C7:K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LOPEZ</dc:creator>
  <cp:lastModifiedBy>R LOPEZ</cp:lastModifiedBy>
  <cp:lastPrinted>2025-05-27T14:54:02Z</cp:lastPrinted>
  <dcterms:created xsi:type="dcterms:W3CDTF">2025-05-27T14:33:35Z</dcterms:created>
  <dcterms:modified xsi:type="dcterms:W3CDTF">2025-09-09T21:50:28Z</dcterms:modified>
</cp:coreProperties>
</file>