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inici\OneDrive\Documentos\ANM\ADQUISICION DE ELEMENTOS DE PROTECCION PERSONAL final\ADENDA\"/>
    </mc:Choice>
  </mc:AlternateContent>
  <xr:revisionPtr revIDLastSave="0" documentId="13_ncr:1_{3937B280-94F3-4FDF-943E-6DF7C2CED26D}" xr6:coauthVersionLast="47" xr6:coauthVersionMax="47" xr10:uidLastSave="{00000000-0000-0000-0000-000000000000}"/>
  <bookViews>
    <workbookView xWindow="-120" yWindow="-120" windowWidth="20730" windowHeight="11040" tabRatio="599" activeTab="1" xr2:uid="{00000000-000D-0000-FFFF-FFFF00000000}"/>
  </bookViews>
  <sheets>
    <sheet name="Grupo 1-Epp y AEM" sheetId="26" r:id="rId1"/>
    <sheet name="Grupo 2-Epp y AEM" sheetId="34" r:id="rId2"/>
  </sheets>
  <definedNames>
    <definedName name="_xlnm._FilterDatabase" localSheetId="0" hidden="1">'Grupo 1-Epp y AEM'!$A$4:$AQ$36</definedName>
    <definedName name="_xlnm._FilterDatabase" localSheetId="1" hidden="1">'Grupo 2-Epp y AEM'!$C$4:$AI$38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8" i="26" l="1"/>
  <c r="U36" i="34" l="1"/>
  <c r="V36" i="34" s="1"/>
  <c r="U30" i="34"/>
  <c r="V30" i="34" s="1"/>
  <c r="U28" i="34"/>
  <c r="V28" i="34" s="1"/>
  <c r="U22" i="34"/>
  <c r="V22" i="34" s="1"/>
  <c r="U16" i="34"/>
  <c r="U15" i="34"/>
  <c r="V15" i="34" s="1"/>
  <c r="U11" i="34"/>
  <c r="V11" i="34" s="1"/>
  <c r="U10" i="34"/>
  <c r="V10" i="34" s="1"/>
  <c r="AB35" i="26"/>
  <c r="AC35" i="26" s="1"/>
  <c r="AB34" i="26"/>
  <c r="AC34" i="26" s="1"/>
  <c r="AB33" i="26"/>
  <c r="AC33" i="26" s="1"/>
  <c r="AB23" i="26"/>
  <c r="AC23" i="26" s="1"/>
  <c r="AB22" i="26"/>
  <c r="AC22" i="26" s="1"/>
  <c r="AB21" i="26"/>
  <c r="AC21" i="26" s="1"/>
  <c r="AB20" i="26"/>
  <c r="AC20" i="26" s="1"/>
  <c r="V16" i="34" l="1"/>
  <c r="AB37" i="34"/>
  <c r="Z37" i="34"/>
  <c r="AB12" i="34"/>
  <c r="Z12" i="34"/>
  <c r="AB35" i="34"/>
  <c r="Z35" i="34"/>
  <c r="AB34" i="34"/>
  <c r="AE34" i="34" s="1"/>
  <c r="Z34" i="34"/>
  <c r="AB33" i="34"/>
  <c r="AE33" i="34" s="1"/>
  <c r="Z33" i="34"/>
  <c r="AB32" i="34"/>
  <c r="AE32" i="34" s="1"/>
  <c r="Z32" i="34"/>
  <c r="AB10" i="34"/>
  <c r="AB36" i="34" l="1"/>
  <c r="Z36" i="34"/>
  <c r="Z10" i="34"/>
  <c r="AB24" i="26"/>
  <c r="AB25" i="26"/>
  <c r="AB26" i="26"/>
  <c r="AB27" i="26"/>
  <c r="AB28" i="26"/>
  <c r="AB29" i="26"/>
  <c r="AB30" i="26"/>
  <c r="AB31" i="26"/>
  <c r="AB32" i="26"/>
  <c r="L14" i="34"/>
  <c r="W8" i="26"/>
  <c r="V29" i="26"/>
  <c r="Z28" i="34" l="1"/>
  <c r="AB28" i="34"/>
  <c r="Q27" i="34" l="1"/>
  <c r="R27" i="34" s="1"/>
  <c r="T27" i="34" s="1"/>
  <c r="Q26" i="34"/>
  <c r="R26" i="34" s="1"/>
  <c r="T26" i="34" s="1"/>
  <c r="Q23" i="34"/>
  <c r="R23" i="34" s="1"/>
  <c r="T23" i="34" s="1"/>
  <c r="Z23" i="34" s="1"/>
  <c r="Q21" i="34"/>
  <c r="R21" i="34" s="1"/>
  <c r="T21" i="34" s="1"/>
  <c r="Q20" i="34"/>
  <c r="R20" i="34" s="1"/>
  <c r="T20" i="34" s="1"/>
  <c r="Q19" i="34"/>
  <c r="R19" i="34" s="1"/>
  <c r="T19" i="34" s="1"/>
  <c r="Q18" i="34"/>
  <c r="R18" i="34" s="1"/>
  <c r="T18" i="34" s="1"/>
  <c r="Q17" i="34"/>
  <c r="R17" i="34" s="1"/>
  <c r="T17" i="34" s="1"/>
  <c r="AB17" i="34" s="1"/>
  <c r="Q14" i="34"/>
  <c r="R14" i="34" s="1"/>
  <c r="T14" i="34" s="1"/>
  <c r="Z14" i="34" s="1"/>
  <c r="P7" i="34"/>
  <c r="Q7" i="34" s="1"/>
  <c r="R7" i="34" s="1"/>
  <c r="T7" i="34" s="1"/>
  <c r="P25" i="34"/>
  <c r="Q25" i="34" s="1"/>
  <c r="R25" i="34" s="1"/>
  <c r="T25" i="34" s="1"/>
  <c r="P24" i="34"/>
  <c r="Q24" i="34" s="1"/>
  <c r="R24" i="34" s="1"/>
  <c r="T24" i="34" s="1"/>
  <c r="P22" i="34"/>
  <c r="Q22" i="34" s="1"/>
  <c r="R22" i="34" s="1"/>
  <c r="T22" i="34" s="1"/>
  <c r="Z22" i="34" s="1"/>
  <c r="P16" i="34"/>
  <c r="Q16" i="34" s="1"/>
  <c r="R16" i="34" s="1"/>
  <c r="T16" i="34" s="1"/>
  <c r="P15" i="34"/>
  <c r="Q15" i="34" s="1"/>
  <c r="R15" i="34" s="1"/>
  <c r="T15" i="34" s="1"/>
  <c r="P13" i="34"/>
  <c r="Q13" i="34" s="1"/>
  <c r="R13" i="34" s="1"/>
  <c r="T13" i="34" s="1"/>
  <c r="Z13" i="34" s="1"/>
  <c r="P11" i="34"/>
  <c r="Q11" i="34" s="1"/>
  <c r="R11" i="34" s="1"/>
  <c r="T11" i="34" s="1"/>
  <c r="AB11" i="34" s="1"/>
  <c r="P9" i="34"/>
  <c r="Q9" i="34" s="1"/>
  <c r="R9" i="34" s="1"/>
  <c r="T9" i="34" s="1"/>
  <c r="P8" i="34"/>
  <c r="Q8" i="34" s="1"/>
  <c r="R8" i="34" s="1"/>
  <c r="T8" i="34" s="1"/>
  <c r="Z8" i="34" s="1"/>
  <c r="P6" i="34"/>
  <c r="Q6" i="34" s="1"/>
  <c r="R6" i="34" s="1"/>
  <c r="T6" i="34" s="1"/>
  <c r="P5" i="34"/>
  <c r="Q5" i="34" s="1"/>
  <c r="R5" i="34" s="1"/>
  <c r="T5" i="34" s="1"/>
  <c r="W32" i="26"/>
  <c r="X32" i="26" s="1"/>
  <c r="Y32" i="26" s="1"/>
  <c r="W31" i="26"/>
  <c r="X31" i="26" s="1"/>
  <c r="Y31" i="26" s="1"/>
  <c r="W30" i="26"/>
  <c r="W29" i="26"/>
  <c r="X29" i="26" s="1"/>
  <c r="Y29" i="26" s="1"/>
  <c r="W28" i="26"/>
  <c r="X28" i="26" s="1"/>
  <c r="Y28" i="26" s="1"/>
  <c r="W27" i="26"/>
  <c r="X27" i="26" s="1"/>
  <c r="Y27" i="26" s="1"/>
  <c r="W26" i="26"/>
  <c r="X26" i="26" s="1"/>
  <c r="Y26" i="26" s="1"/>
  <c r="W25" i="26"/>
  <c r="X25" i="26" s="1"/>
  <c r="W24" i="26"/>
  <c r="X24" i="26" s="1"/>
  <c r="Y24" i="26" s="1"/>
  <c r="W23" i="26"/>
  <c r="X23" i="26" s="1"/>
  <c r="W22" i="26"/>
  <c r="X22" i="26" s="1"/>
  <c r="Y22" i="26" s="1"/>
  <c r="W21" i="26"/>
  <c r="X21" i="26" s="1"/>
  <c r="Y21" i="26" s="1"/>
  <c r="W20" i="26"/>
  <c r="X20" i="26" s="1"/>
  <c r="Y20" i="26" s="1"/>
  <c r="W19" i="26"/>
  <c r="X19" i="26" s="1"/>
  <c r="W18" i="26"/>
  <c r="W17" i="26"/>
  <c r="X17" i="26" s="1"/>
  <c r="W16" i="26"/>
  <c r="X16" i="26" s="1"/>
  <c r="W15" i="26"/>
  <c r="X15" i="26" s="1"/>
  <c r="Y15" i="26" s="1"/>
  <c r="AA15" i="26" s="1"/>
  <c r="W14" i="26"/>
  <c r="X14" i="26" s="1"/>
  <c r="Y14" i="26" s="1"/>
  <c r="W13" i="26"/>
  <c r="X13" i="26" s="1"/>
  <c r="W12" i="26"/>
  <c r="X12" i="26" s="1"/>
  <c r="Y12" i="26" s="1"/>
  <c r="W11" i="26"/>
  <c r="X11" i="26" s="1"/>
  <c r="Y11" i="26" s="1"/>
  <c r="W10" i="26"/>
  <c r="X10" i="26" s="1"/>
  <c r="Y10" i="26" s="1"/>
  <c r="W9" i="26"/>
  <c r="X9" i="26" s="1"/>
  <c r="Y9" i="26" s="1"/>
  <c r="X8" i="26"/>
  <c r="Y8" i="26" s="1"/>
  <c r="W7" i="26"/>
  <c r="X7" i="26" s="1"/>
  <c r="W6" i="26"/>
  <c r="X6" i="26" s="1"/>
  <c r="Y6" i="26" s="1"/>
  <c r="W5" i="26"/>
  <c r="X5" i="26" s="1"/>
  <c r="Y5" i="26" s="1"/>
  <c r="AA5" i="26" s="1"/>
  <c r="I5" i="34"/>
  <c r="K5" i="34" s="1"/>
  <c r="M5" i="34"/>
  <c r="O5" i="34" s="1"/>
  <c r="I6" i="34"/>
  <c r="K6" i="34" s="1"/>
  <c r="M6" i="34"/>
  <c r="O6" i="34" s="1"/>
  <c r="I7" i="34"/>
  <c r="K7" i="34" s="1"/>
  <c r="M7" i="34"/>
  <c r="O7" i="34" s="1"/>
  <c r="I8" i="34"/>
  <c r="K8" i="34" s="1"/>
  <c r="M8" i="34"/>
  <c r="O8" i="34" s="1"/>
  <c r="I9" i="34"/>
  <c r="K9" i="34" s="1"/>
  <c r="M9" i="34"/>
  <c r="O9" i="34" s="1"/>
  <c r="I10" i="34"/>
  <c r="K10" i="34" s="1"/>
  <c r="M10" i="34"/>
  <c r="O10" i="34" s="1"/>
  <c r="L11" i="34"/>
  <c r="M11" i="34" s="1"/>
  <c r="I12" i="34"/>
  <c r="K12" i="34" s="1"/>
  <c r="M12" i="34"/>
  <c r="O12" i="34" s="1"/>
  <c r="I13" i="34"/>
  <c r="L13" i="34"/>
  <c r="O13" i="34" s="1"/>
  <c r="I14" i="34"/>
  <c r="O14" i="34"/>
  <c r="M15" i="34"/>
  <c r="O15" i="34" s="1"/>
  <c r="M16" i="34"/>
  <c r="O16" i="34" s="1"/>
  <c r="O17" i="34"/>
  <c r="M18" i="34"/>
  <c r="O18" i="34" s="1"/>
  <c r="O19" i="34"/>
  <c r="I20" i="34"/>
  <c r="O20" i="34"/>
  <c r="I21" i="34"/>
  <c r="O21" i="34"/>
  <c r="M22" i="34"/>
  <c r="O22" i="34" s="1"/>
  <c r="I23" i="34"/>
  <c r="O23" i="34"/>
  <c r="M24" i="34"/>
  <c r="O24" i="34" s="1"/>
  <c r="M25" i="34"/>
  <c r="O25" i="34" s="1"/>
  <c r="I26" i="34"/>
  <c r="L26" i="34"/>
  <c r="O26" i="34" s="1"/>
  <c r="I27" i="34"/>
  <c r="L27" i="34"/>
  <c r="O27" i="34" s="1"/>
  <c r="M28" i="34"/>
  <c r="O28" i="34" s="1"/>
  <c r="M29" i="34"/>
  <c r="O29" i="34" s="1"/>
  <c r="W29" i="34"/>
  <c r="U29" i="34" s="1"/>
  <c r="V29" i="34" s="1"/>
  <c r="L30" i="34"/>
  <c r="I31" i="34"/>
  <c r="K31" i="34" s="1"/>
  <c r="L31" i="34"/>
  <c r="I32" i="34"/>
  <c r="O32" i="34"/>
  <c r="I33" i="34"/>
  <c r="O33" i="34"/>
  <c r="I34" i="34"/>
  <c r="O34" i="34"/>
  <c r="AA34" i="34" s="1"/>
  <c r="I35" i="34"/>
  <c r="K35" i="34" s="1"/>
  <c r="M35" i="34"/>
  <c r="O35" i="34" s="1"/>
  <c r="M36" i="34"/>
  <c r="O36" i="34" s="1"/>
  <c r="I37" i="34"/>
  <c r="M37" i="34"/>
  <c r="O37" i="34" s="1"/>
  <c r="Z16" i="34" l="1"/>
  <c r="AA16" i="34" s="1"/>
  <c r="AB16" i="34"/>
  <c r="AB8" i="34"/>
  <c r="AB23" i="34"/>
  <c r="AE23" i="34" s="1"/>
  <c r="AB7" i="34"/>
  <c r="Z7" i="34"/>
  <c r="AB14" i="34"/>
  <c r="AE14" i="34" s="1"/>
  <c r="M31" i="34"/>
  <c r="O31" i="34" s="1"/>
  <c r="AB31" i="34"/>
  <c r="Z31" i="34"/>
  <c r="M30" i="34"/>
  <c r="O30" i="34" s="1"/>
  <c r="AB30" i="34"/>
  <c r="Z30" i="34"/>
  <c r="AB29" i="34"/>
  <c r="Z29" i="34"/>
  <c r="AA29" i="34" s="1"/>
  <c r="AB13" i="34"/>
  <c r="AE13" i="34" s="1"/>
  <c r="AA13" i="34"/>
  <c r="AB20" i="34"/>
  <c r="Z20" i="34"/>
  <c r="AA20" i="34" s="1"/>
  <c r="AC17" i="34"/>
  <c r="AF17" i="34" s="1"/>
  <c r="Z17" i="34"/>
  <c r="AA17" i="34" s="1"/>
  <c r="AB18" i="34"/>
  <c r="AC18" i="34" s="1"/>
  <c r="AF18" i="34" s="1"/>
  <c r="Z18" i="34"/>
  <c r="AA18" i="34" s="1"/>
  <c r="AB5" i="34"/>
  <c r="AC5" i="34" s="1"/>
  <c r="AF5" i="34" s="1"/>
  <c r="Z5" i="34"/>
  <c r="AA5" i="34" s="1"/>
  <c r="Z24" i="34"/>
  <c r="AA24" i="34" s="1"/>
  <c r="AB24" i="34"/>
  <c r="AB25" i="34"/>
  <c r="AC25" i="34" s="1"/>
  <c r="AF25" i="34" s="1"/>
  <c r="Z25" i="34"/>
  <c r="AA25" i="34" s="1"/>
  <c r="AB9" i="34"/>
  <c r="Z9" i="34"/>
  <c r="AA9" i="34" s="1"/>
  <c r="AA7" i="34"/>
  <c r="Z26" i="34"/>
  <c r="AA26" i="34" s="1"/>
  <c r="AB26" i="34"/>
  <c r="AE26" i="34" s="1"/>
  <c r="Z15" i="34"/>
  <c r="AA15" i="34" s="1"/>
  <c r="AB15" i="34"/>
  <c r="Z19" i="34"/>
  <c r="AA19" i="34" s="1"/>
  <c r="AB19" i="34"/>
  <c r="AE19" i="34" s="1"/>
  <c r="AB22" i="34"/>
  <c r="AC22" i="34" s="1"/>
  <c r="AF22" i="34" s="1"/>
  <c r="AA22" i="34"/>
  <c r="AB6" i="34"/>
  <c r="Z6" i="34"/>
  <c r="AA6" i="34" s="1"/>
  <c r="Z21" i="34"/>
  <c r="AA21" i="34" s="1"/>
  <c r="AB21" i="34"/>
  <c r="AE21" i="34" s="1"/>
  <c r="AA8" i="34"/>
  <c r="AA23" i="34"/>
  <c r="Z11" i="34"/>
  <c r="AA11" i="34" s="1"/>
  <c r="AA14" i="34"/>
  <c r="AB27" i="34"/>
  <c r="AE27" i="34" s="1"/>
  <c r="Z27" i="34"/>
  <c r="AA27" i="34" s="1"/>
  <c r="AC35" i="34"/>
  <c r="AF35" i="34" s="1"/>
  <c r="AA28" i="34"/>
  <c r="AA32" i="34"/>
  <c r="AA35" i="34"/>
  <c r="AA10" i="34"/>
  <c r="AA36" i="34"/>
  <c r="AE35" i="34"/>
  <c r="AE10" i="34"/>
  <c r="AC10" i="34"/>
  <c r="AF10" i="34" s="1"/>
  <c r="AC32" i="34"/>
  <c r="AF32" i="34" s="1"/>
  <c r="AC34" i="34"/>
  <c r="AF34" i="34" s="1"/>
  <c r="AA33" i="34"/>
  <c r="AC28" i="34"/>
  <c r="AF28" i="34" s="1"/>
  <c r="AE28" i="34"/>
  <c r="AA37" i="34"/>
  <c r="AC36" i="34"/>
  <c r="AF36" i="34" s="1"/>
  <c r="AE36" i="34"/>
  <c r="AA12" i="34"/>
  <c r="Y17" i="26"/>
  <c r="Y25" i="26"/>
  <c r="X18" i="26"/>
  <c r="Y18" i="26" s="1"/>
  <c r="X30" i="26"/>
  <c r="Y30" i="26" s="1"/>
  <c r="Y23" i="26"/>
  <c r="Y19" i="26"/>
  <c r="Y16" i="26"/>
  <c r="Y13" i="26"/>
  <c r="Y7" i="26"/>
  <c r="O11" i="34"/>
  <c r="AG36" i="34" l="1"/>
  <c r="AG34" i="34"/>
  <c r="AG25" i="34"/>
  <c r="AG18" i="34"/>
  <c r="AG32" i="34"/>
  <c r="AG22" i="34"/>
  <c r="AG28" i="34"/>
  <c r="AG10" i="34"/>
  <c r="AG35" i="34"/>
  <c r="AG17" i="34"/>
  <c r="AA31" i="34"/>
  <c r="AE22" i="34"/>
  <c r="AE17" i="34"/>
  <c r="AC20" i="34"/>
  <c r="AF20" i="34" s="1"/>
  <c r="AE20" i="34"/>
  <c r="AC19" i="34"/>
  <c r="AE18" i="34"/>
  <c r="AE5" i="34"/>
  <c r="AE25" i="34"/>
  <c r="AC14" i="34"/>
  <c r="AG5" i="34"/>
  <c r="AC33" i="34"/>
  <c r="AF33" i="34" s="1"/>
  <c r="AC8" i="34"/>
  <c r="AF8" i="34" s="1"/>
  <c r="AE8" i="34"/>
  <c r="AA30" i="34"/>
  <c r="AC9" i="34"/>
  <c r="AF9" i="34" s="1"/>
  <c r="AE9" i="34"/>
  <c r="AC26" i="34"/>
  <c r="AF26" i="34" s="1"/>
  <c r="AC24" i="34"/>
  <c r="AF24" i="34" s="1"/>
  <c r="AE24" i="34"/>
  <c r="AC12" i="34"/>
  <c r="AF12" i="34" s="1"/>
  <c r="AE12" i="34"/>
  <c r="AE6" i="34"/>
  <c r="AC6" i="34"/>
  <c r="AF6" i="34" s="1"/>
  <c r="AC37" i="34"/>
  <c r="AF37" i="34" s="1"/>
  <c r="AE37" i="34"/>
  <c r="AC13" i="34"/>
  <c r="AF13" i="34" s="1"/>
  <c r="AC21" i="34"/>
  <c r="AF21" i="34" s="1"/>
  <c r="AE11" i="34"/>
  <c r="AC11" i="34"/>
  <c r="AF11" i="34" s="1"/>
  <c r="AC23" i="34"/>
  <c r="AF23" i="34" s="1"/>
  <c r="AC16" i="34"/>
  <c r="AF16" i="34" s="1"/>
  <c r="AE16" i="34"/>
  <c r="AE7" i="34"/>
  <c r="AC7" i="34"/>
  <c r="AF7" i="34" s="1"/>
  <c r="AC27" i="34"/>
  <c r="AF27" i="34" s="1"/>
  <c r="AC29" i="34"/>
  <c r="AF29" i="34" s="1"/>
  <c r="AE29" i="34"/>
  <c r="AE15" i="34"/>
  <c r="AC15" i="34"/>
  <c r="AF15" i="34" s="1"/>
  <c r="AG9" i="34" l="1"/>
  <c r="AG33" i="34"/>
  <c r="AG13" i="34"/>
  <c r="AG24" i="34"/>
  <c r="AG26" i="34"/>
  <c r="AG29" i="34"/>
  <c r="AG37" i="34"/>
  <c r="AG12" i="34"/>
  <c r="AF19" i="34"/>
  <c r="AF14" i="34"/>
  <c r="AG6" i="34"/>
  <c r="AG7" i="34"/>
  <c r="AG20" i="34"/>
  <c r="AG15" i="34"/>
  <c r="AG23" i="34"/>
  <c r="AE31" i="34"/>
  <c r="AC31" i="34"/>
  <c r="AF31" i="34" s="1"/>
  <c r="AG8" i="34"/>
  <c r="AG16" i="34"/>
  <c r="AG21" i="34"/>
  <c r="AE30" i="34"/>
  <c r="AC30" i="34"/>
  <c r="AF30" i="34" s="1"/>
  <c r="AG27" i="34"/>
  <c r="AG11" i="34"/>
  <c r="AG30" i="34" l="1"/>
  <c r="AG19" i="34"/>
  <c r="AG14" i="34"/>
  <c r="AG31" i="34"/>
  <c r="AA13" i="26"/>
  <c r="AA6" i="26"/>
  <c r="AG38" i="34" l="1"/>
  <c r="AA8" i="26"/>
  <c r="AA9" i="26"/>
  <c r="AA14" i="26"/>
  <c r="AA16" i="26"/>
  <c r="AA17" i="26"/>
  <c r="AA24" i="26"/>
  <c r="AA25" i="26"/>
  <c r="AI25" i="26" s="1"/>
  <c r="AA32" i="26"/>
  <c r="AA31" i="26"/>
  <c r="AA30" i="26"/>
  <c r="AA29" i="26"/>
  <c r="AA28" i="26"/>
  <c r="AA26" i="26"/>
  <c r="AA23" i="26"/>
  <c r="AA22" i="26"/>
  <c r="AA20" i="26"/>
  <c r="AA18" i="26"/>
  <c r="AG18" i="26" s="1"/>
  <c r="AA12" i="26"/>
  <c r="AA11" i="26"/>
  <c r="AA10" i="26"/>
  <c r="AA7" i="26"/>
  <c r="O35" i="26"/>
  <c r="O34" i="26"/>
  <c r="AG34" i="26" s="1"/>
  <c r="O33" i="26"/>
  <c r="O32" i="26"/>
  <c r="O31" i="26"/>
  <c r="O30" i="26"/>
  <c r="O29" i="26"/>
  <c r="O28" i="26"/>
  <c r="O27" i="26"/>
  <c r="O26" i="26"/>
  <c r="O25" i="26"/>
  <c r="O24" i="26"/>
  <c r="O23" i="26"/>
  <c r="P23" i="26" s="1"/>
  <c r="O22" i="26"/>
  <c r="O21" i="26"/>
  <c r="O20" i="26"/>
  <c r="P20" i="26" s="1"/>
  <c r="R20" i="26" s="1"/>
  <c r="O19" i="26"/>
  <c r="O18" i="26"/>
  <c r="O17" i="26"/>
  <c r="O16" i="26"/>
  <c r="O15" i="26"/>
  <c r="AI15" i="26" s="1"/>
  <c r="O14" i="26"/>
  <c r="O13" i="26"/>
  <c r="P13" i="26" s="1"/>
  <c r="R13" i="26" s="1"/>
  <c r="O12" i="26"/>
  <c r="O11" i="26"/>
  <c r="O10" i="26"/>
  <c r="O9" i="26"/>
  <c r="O8" i="26"/>
  <c r="O7" i="26"/>
  <c r="O6" i="26"/>
  <c r="AG6" i="26" s="1"/>
  <c r="O5" i="26"/>
  <c r="L15" i="26"/>
  <c r="N15" i="26" s="1"/>
  <c r="L7" i="26"/>
  <c r="N7" i="26" s="1"/>
  <c r="H35" i="26"/>
  <c r="J35" i="26" s="1"/>
  <c r="H34" i="26"/>
  <c r="J34" i="26" s="1"/>
  <c r="H29" i="26"/>
  <c r="J29" i="26" s="1"/>
  <c r="H28" i="26"/>
  <c r="J28" i="26" s="1"/>
  <c r="H27" i="26"/>
  <c r="J27" i="26" s="1"/>
  <c r="H24" i="26"/>
  <c r="J24" i="26" s="1"/>
  <c r="H20" i="26"/>
  <c r="J20" i="26" s="1"/>
  <c r="H17" i="26"/>
  <c r="J17" i="26" s="1"/>
  <c r="H16" i="26"/>
  <c r="J16" i="26" s="1"/>
  <c r="H13" i="26"/>
  <c r="J13" i="26" s="1"/>
  <c r="H12" i="26"/>
  <c r="J12" i="26" s="1"/>
  <c r="H11" i="26"/>
  <c r="J11" i="26" s="1"/>
  <c r="H10" i="26"/>
  <c r="J10" i="26" s="1"/>
  <c r="H9" i="26"/>
  <c r="J9" i="26" s="1"/>
  <c r="H8" i="26"/>
  <c r="J8" i="26" s="1"/>
  <c r="H7" i="26"/>
  <c r="J7" i="26" s="1"/>
  <c r="H6" i="26"/>
  <c r="J6" i="26" s="1"/>
  <c r="H5" i="26"/>
  <c r="J5" i="26" s="1"/>
  <c r="AG9" i="26" l="1"/>
  <c r="AG29" i="26"/>
  <c r="AH29" i="26" s="1"/>
  <c r="AG13" i="26"/>
  <c r="AH13" i="26" s="1"/>
  <c r="AI13" i="26"/>
  <c r="AI29" i="26"/>
  <c r="AI9" i="26"/>
  <c r="AL9" i="26" s="1"/>
  <c r="AI31" i="26"/>
  <c r="AI8" i="26"/>
  <c r="AI33" i="26"/>
  <c r="AG33" i="26"/>
  <c r="AH33" i="26" s="1"/>
  <c r="AI34" i="26"/>
  <c r="AI5" i="26"/>
  <c r="AG5" i="26"/>
  <c r="AH5" i="26" s="1"/>
  <c r="AI35" i="26"/>
  <c r="AG35" i="26"/>
  <c r="AH35" i="26" s="1"/>
  <c r="AI14" i="26"/>
  <c r="AI6" i="26"/>
  <c r="AG24" i="26"/>
  <c r="AH24" i="26" s="1"/>
  <c r="AG15" i="26"/>
  <c r="AH15" i="26" s="1"/>
  <c r="AI30" i="26"/>
  <c r="AG30" i="26"/>
  <c r="AH30" i="26" s="1"/>
  <c r="AI16" i="26"/>
  <c r="AG16" i="26"/>
  <c r="AH16" i="26" s="1"/>
  <c r="AI11" i="26"/>
  <c r="AG11" i="26"/>
  <c r="AH11" i="26" s="1"/>
  <c r="AI12" i="26"/>
  <c r="AG12" i="26"/>
  <c r="AG32" i="26"/>
  <c r="AI32" i="26"/>
  <c r="AI17" i="26"/>
  <c r="AG17" i="26"/>
  <c r="AH17" i="26" s="1"/>
  <c r="AI28" i="26"/>
  <c r="AG28" i="26"/>
  <c r="AH28" i="26" s="1"/>
  <c r="AI18" i="26"/>
  <c r="AI7" i="26"/>
  <c r="AG7" i="26"/>
  <c r="AH7" i="26" s="1"/>
  <c r="AI22" i="26"/>
  <c r="AG22" i="26"/>
  <c r="AI26" i="26"/>
  <c r="AG26" i="26"/>
  <c r="AH26" i="26" s="1"/>
  <c r="AG31" i="26"/>
  <c r="AH31" i="26" s="1"/>
  <c r="AI20" i="26"/>
  <c r="AG20" i="26"/>
  <c r="AI10" i="26"/>
  <c r="AG10" i="26"/>
  <c r="AI23" i="26"/>
  <c r="AG23" i="26"/>
  <c r="AG14" i="26"/>
  <c r="AG8" i="26"/>
  <c r="AH8" i="26" s="1"/>
  <c r="AH6" i="26"/>
  <c r="AI24" i="26"/>
  <c r="AH12" i="26"/>
  <c r="AG25" i="26"/>
  <c r="P8" i="26"/>
  <c r="R8" i="26" s="1"/>
  <c r="AH34" i="26"/>
  <c r="P6" i="26"/>
  <c r="R6" i="26" s="1"/>
  <c r="AA21" i="26"/>
  <c r="P9" i="26"/>
  <c r="R9" i="26" s="1"/>
  <c r="P17" i="26"/>
  <c r="R17" i="26" s="1"/>
  <c r="P31" i="26"/>
  <c r="R31" i="26" s="1"/>
  <c r="AA27" i="26"/>
  <c r="AI27" i="26" s="1"/>
  <c r="AA19" i="26"/>
  <c r="P26" i="26"/>
  <c r="R26" i="26" s="1"/>
  <c r="P28" i="26"/>
  <c r="R28" i="26" s="1"/>
  <c r="P16" i="26"/>
  <c r="R16" i="26" s="1"/>
  <c r="P22" i="26"/>
  <c r="R22" i="26" s="1"/>
  <c r="P18" i="26"/>
  <c r="R18" i="26" s="1"/>
  <c r="P10" i="26"/>
  <c r="R10" i="26" s="1"/>
  <c r="P15" i="26"/>
  <c r="R15" i="26" s="1"/>
  <c r="P32" i="26"/>
  <c r="R32" i="26" s="1"/>
  <c r="P7" i="26"/>
  <c r="R7" i="26" s="1"/>
  <c r="P24" i="26"/>
  <c r="P33" i="26"/>
  <c r="R33" i="26" s="1"/>
  <c r="P25" i="26"/>
  <c r="R25" i="26" s="1"/>
  <c r="P30" i="26"/>
  <c r="R30" i="26" s="1"/>
  <c r="P11" i="26"/>
  <c r="R11" i="26" s="1"/>
  <c r="R23" i="26"/>
  <c r="P34" i="26"/>
  <c r="R34" i="26" s="1"/>
  <c r="P14" i="26"/>
  <c r="R14" i="26" s="1"/>
  <c r="P21" i="26"/>
  <c r="R21" i="26" s="1"/>
  <c r="P29" i="26"/>
  <c r="R29" i="26" s="1"/>
  <c r="P5" i="26"/>
  <c r="R5" i="26" s="1"/>
  <c r="P12" i="26"/>
  <c r="R12" i="26" s="1"/>
  <c r="P19" i="26"/>
  <c r="R19" i="26" s="1"/>
  <c r="P27" i="26"/>
  <c r="R27" i="26" s="1"/>
  <c r="P35" i="26"/>
  <c r="AJ13" i="26" l="1"/>
  <c r="AM13" i="26" s="1"/>
  <c r="AN13" i="26" s="1"/>
  <c r="AL13" i="26"/>
  <c r="AL17" i="26"/>
  <c r="AL8" i="26"/>
  <c r="AJ20" i="26"/>
  <c r="AM20" i="26" s="1"/>
  <c r="AN20" i="26" s="1"/>
  <c r="AJ18" i="26"/>
  <c r="AM18" i="26" s="1"/>
  <c r="AN18" i="26" s="1"/>
  <c r="AL12" i="26"/>
  <c r="AL16" i="26"/>
  <c r="AL24" i="26"/>
  <c r="AJ23" i="26"/>
  <c r="AM23" i="26" s="1"/>
  <c r="AN23" i="26" s="1"/>
  <c r="AJ26" i="26"/>
  <c r="AM26" i="26" s="1"/>
  <c r="AN26" i="26" s="1"/>
  <c r="AJ28" i="26"/>
  <c r="AM28" i="26" s="1"/>
  <c r="AI19" i="26"/>
  <c r="AG19" i="26"/>
  <c r="AH19" i="26" s="1"/>
  <c r="AL23" i="26"/>
  <c r="AG27" i="26"/>
  <c r="AH27" i="26" s="1"/>
  <c r="AL28" i="26"/>
  <c r="AI21" i="26"/>
  <c r="AG21" i="26"/>
  <c r="AL18" i="26"/>
  <c r="AL20" i="26"/>
  <c r="AJ24" i="26"/>
  <c r="AM24" i="26" s="1"/>
  <c r="AN24" i="26" s="1"/>
  <c r="AJ8" i="26"/>
  <c r="AM8" i="26" s="1"/>
  <c r="AJ9" i="26"/>
  <c r="AJ17" i="26"/>
  <c r="AL26" i="26"/>
  <c r="AJ16" i="26"/>
  <c r="AM16" i="26" s="1"/>
  <c r="AJ12" i="26"/>
  <c r="AM12" i="26" s="1"/>
  <c r="AL7" i="26"/>
  <c r="AJ7" i="26"/>
  <c r="AM7" i="26" s="1"/>
  <c r="AL34" i="26"/>
  <c r="AJ34" i="26"/>
  <c r="AM34" i="26" s="1"/>
  <c r="AN34" i="26" s="1"/>
  <c r="AL11" i="26"/>
  <c r="AJ11" i="26"/>
  <c r="AM11" i="26" s="1"/>
  <c r="AL30" i="26"/>
  <c r="AJ30" i="26"/>
  <c r="AM30" i="26" s="1"/>
  <c r="AL14" i="26"/>
  <c r="AJ14" i="26"/>
  <c r="AM14" i="26" s="1"/>
  <c r="AL22" i="26"/>
  <c r="AJ22" i="26"/>
  <c r="AM22" i="26" s="1"/>
  <c r="AL35" i="26"/>
  <c r="AJ35" i="26"/>
  <c r="AM35" i="26" s="1"/>
  <c r="AL31" i="26"/>
  <c r="AJ31" i="26"/>
  <c r="AM31" i="26" s="1"/>
  <c r="AL10" i="26"/>
  <c r="AJ10" i="26"/>
  <c r="AM10" i="26" s="1"/>
  <c r="AJ29" i="26"/>
  <c r="AM29" i="26" s="1"/>
  <c r="AL29" i="26"/>
  <c r="AJ5" i="26"/>
  <c r="AM5" i="26" s="1"/>
  <c r="AL5" i="26"/>
  <c r="AL32" i="26"/>
  <c r="AJ32" i="26"/>
  <c r="AM32" i="26" s="1"/>
  <c r="AL25" i="26"/>
  <c r="AJ25" i="26"/>
  <c r="AM25" i="26" s="1"/>
  <c r="AL33" i="26"/>
  <c r="AJ33" i="26"/>
  <c r="AM33" i="26" s="1"/>
  <c r="AL6" i="26"/>
  <c r="AJ6" i="26"/>
  <c r="AM6" i="26" s="1"/>
  <c r="AL15" i="26"/>
  <c r="AJ15" i="26"/>
  <c r="AM15" i="26" s="1"/>
  <c r="AH20" i="26"/>
  <c r="AH23" i="26"/>
  <c r="AH18" i="26"/>
  <c r="AH14" i="26"/>
  <c r="AH22" i="26"/>
  <c r="AH10" i="26"/>
  <c r="AH25" i="26"/>
  <c r="AH9" i="26"/>
  <c r="AH32" i="26"/>
  <c r="R24" i="26"/>
  <c r="R35" i="26"/>
  <c r="AN28" i="26" l="1"/>
  <c r="AJ21" i="26"/>
  <c r="AM21" i="26" s="1"/>
  <c r="AN21" i="26" s="1"/>
  <c r="AL21" i="26"/>
  <c r="AN8" i="26"/>
  <c r="AM17" i="26"/>
  <c r="AN17" i="26" s="1"/>
  <c r="AM9" i="26"/>
  <c r="AN33" i="26"/>
  <c r="AN10" i="26"/>
  <c r="AN16" i="26"/>
  <c r="AN35" i="26"/>
  <c r="AN11" i="26"/>
  <c r="AN6" i="26"/>
  <c r="AN25" i="26"/>
  <c r="AN15" i="26"/>
  <c r="AN32" i="26"/>
  <c r="AN14" i="26"/>
  <c r="AN7" i="26"/>
  <c r="AN5" i="26"/>
  <c r="AN29" i="26"/>
  <c r="AN12" i="26"/>
  <c r="AN31" i="26"/>
  <c r="AN30" i="26"/>
  <c r="AN22" i="26"/>
  <c r="AL27" i="26"/>
  <c r="AJ27" i="26"/>
  <c r="AM27" i="26" s="1"/>
  <c r="AL19" i="26"/>
  <c r="AJ19" i="26"/>
  <c r="AM19" i="26" s="1"/>
  <c r="AH21" i="26"/>
  <c r="AN9" i="26" l="1"/>
  <c r="AN19" i="26"/>
  <c r="AN27" i="26"/>
  <c r="AN36" i="26" l="1"/>
  <c r="AG40" i="34" l="1"/>
  <c r="AN38" i="26"/>
  <c r="AN39" i="26"/>
  <c r="AD18" i="26"/>
</calcChain>
</file>

<file path=xl/sharedStrings.xml><?xml version="1.0" encoding="utf-8"?>
<sst xmlns="http://schemas.openxmlformats.org/spreadsheetml/2006/main" count="458" uniqueCount="222">
  <si>
    <t>RESPIRADOR CARA COMPLETA (FULL FACE)</t>
  </si>
  <si>
    <t>MICROPORE (3X5)</t>
  </si>
  <si>
    <t>SOLUCIÓN DESINFECTANTE Y ESTERILIZANTE POR GALONES</t>
  </si>
  <si>
    <t>CURAS (BANDITAS EN CAJAS POR 100 UNIDADES</t>
  </si>
  <si>
    <t>Unidad</t>
  </si>
  <si>
    <t xml:space="preserve">Elemento </t>
  </si>
  <si>
    <t>APÓSITO DE GASA ESTÉRIL NO TEJIDA PARA CONTROL DE HEMORRAGIAS</t>
  </si>
  <si>
    <t>JUEGO DE CÁNULAS GUEDEL</t>
  </si>
  <si>
    <t>GAFAS DE SEGURIDAD LENTE OSCURO CON CORDÓN</t>
  </si>
  <si>
    <t>GAFAS DE SEGURIDAD LENTE CLARO CON CORDÓN</t>
  </si>
  <si>
    <t>TENSIÓMETRO DIGITAL</t>
  </si>
  <si>
    <t>CREMA DENTAL UNIDAD PERSONAL DE 100 CENTÍMETROS CÚBICOS</t>
  </si>
  <si>
    <t>Ítem</t>
  </si>
  <si>
    <t xml:space="preserve"> Iva</t>
  </si>
  <si>
    <t>Cantidad</t>
  </si>
  <si>
    <t>PULSIOXIMETRO</t>
  </si>
  <si>
    <t>VALOR TOTAL</t>
  </si>
  <si>
    <t xml:space="preserve">VALOR TOTAL </t>
  </si>
  <si>
    <t>BOTAS DE SEGURIDAD CAÑA ALTA TALLAS 35 a 44 (PARES)</t>
  </si>
  <si>
    <t>Ud.</t>
  </si>
  <si>
    <t>GRUPO 1. Elementos de protección personal, bioseguridad e insumos prehospitalarios para atención de emergencias y procesos de formación-2025</t>
  </si>
  <si>
    <t>Pares</t>
  </si>
  <si>
    <t>GUANTES DE CUERO TIPO INGENIERO POR PARES (S-M-L-XL)</t>
  </si>
  <si>
    <t>Paquete * 2 unidades</t>
  </si>
  <si>
    <t>CARTUCHO REPUESTO PARA MASCARILLA MEDIA CARA CONTRA MATERIAL PARTICULADO-PAQUETE DE 2 UNIDADES- RESISTENTE A LA HUMEDAD</t>
  </si>
  <si>
    <t>BOLSA PARA CADÁVER CALIBRE 7 CON CREMALLERA BLANCA</t>
  </si>
  <si>
    <t>REATA MINERA PORTA LAMPARA Y CORREA PARA      AUTORRESCATADOR (TALLAS: S-M-L-XL)</t>
  </si>
  <si>
    <t>OVEROL TIPO PILOTO BICOLOR, SEGÚN COLORES INSTITUCIONALES TALLA S, M, L, XL, XXL</t>
  </si>
  <si>
    <t>OVEROL IGNIFUGO TIPO PILOTO-ROJO-TALLA S, M, L y XL</t>
  </si>
  <si>
    <t>CHALECO REFLECTIVO INSTITUCIONAL (TALLAS S, M, L, XL, XXL)</t>
  </si>
  <si>
    <t>CHALECO INSTITUCIONAL EN DRILL CON FRANJAS REFLECTIVAS (TALLAS S-M-L-XL)</t>
  </si>
  <si>
    <t>CAMISETA TOTALMENTE BLANCA TIPO T-SHIRT BÁSICA TALLAS S, M, L, XL y XXL</t>
  </si>
  <si>
    <t>PANTALONCILLO TIPO BÓXER NEGRO TALLAS S, M, L XL PARA HOMBRE</t>
  </si>
  <si>
    <t>PANTALONCILLO TIPO BÓXER NEGRO TALLAS S, M, L XL, XXL PARA DAMA</t>
  </si>
  <si>
    <t>CAMISA TIPO POLO BICOLOR</t>
  </si>
  <si>
    <t>BALACLAVA SENCILLA</t>
  </si>
  <si>
    <t>BOTAS DE SEGURIDAD CAÑA ALTA (PARES) TALLAS 35 a 44:
Material en PVC, Nitrilos y polímeros, calzado de seguridad completo con protección de tobillo y metatarso certificada por EN 12568, horma y ajuste preciso, plantilla cómoda para mayor comodidad y apoyo, capa intermedia de doble densidad para una óptima absorción de impactos, suela con clasificación SRC para protección antideslizante en cualquier terreno, indicadores de desgaste de la banda de rodadura para advertir cuándo es el momento de reemplazar, dieléctrica con resistencia al aceite, grasas y productos químicos, que cumpla la norma EN-12568, ASTM F 2412-11 y F 2413-11, suela antideslizante que cumpla la norma ASTM F 1677- 05, color negro o gris, talla mínima 35   y  máxima   44,  las cantidades, según tallas las define la entidad.</t>
  </si>
  <si>
    <t>GAFAS DE SEGURIDAD LENTE CLARO CON CORDÓN: Gafas de
seguridad Antirrayaduras en Policarbonato, Resistentes a impactos y salpicaduras, Protección al 99,9 % a los rayos UV, en presentación individual y empaque trasparente.
Construcción envolvente de policarbonato fuerte y duradero, que protejan de amenazas de proyección directas y periféricas.
Ancho de la montura de 144 mm que se ajuste a cualquier tipo de rostro o tamaño de cabeza.
Diseñada especialmente para trabajo duro con metal, en ambientes de alta humedad, con alto nivel de cobertura antiempañante, igualmente para
trabajar   bajo   luces   brillantes  en interiores</t>
  </si>
  <si>
    <t>GAFAS DE SEGURIDAD LENTE OSCURO CON CORDÓN: Gafas
de seguridad lente Oscuro, Antirrayaduras en Policarbonato, marco en Nylon, protección lateral, Resistentes a impactos y salpicaduras, Protección al 99,9 % a los rayos UV, con cordón, deben venir en presentación unitaria y empaque transparente.
Construcción envolvente de policarbonato fuerte y duradero, que protejan de amenazas de proyección directas y periféricas.
Ancho de la montura de 144 mm que se ajuste a cualquier tipo de rostro o tamaño de cabeza.
Diseñada especialmente para trabajo duro con metal, en ambientes de alta humedad, con alto nivel de cobertura antiempañante, igualmente para trabajar bajo luces brillantes en
interiores</t>
  </si>
  <si>
    <t>CARTUCHO REPUESTO PARA MASCARILLA MEDIA CARA CONTRA
GASES Y VAPORES ORGÁNICOS-PAQUETE DE 2 UNIDADES</t>
  </si>
  <si>
    <t>CAMILLA  DE  RESCATE  SKED:   Camilla
Sked, diseñada especialmente para alturas, espacios profundos o confinado. • El material no empieza a fundirse hasta los 232ºC. • Se puede utilizar hasta los 49ºC sin riesgo de que se agriete. • La resistencia de sus eslingas es de 2.600Kg en vertical y 4.500Kg en horizontal. • Medidas plegada: 90 x 18 x 18cm. • Medidas extendida: 185 x 60cm. • Material: Plástico polietileno de baja densidad E-Z. • Color: Naranja. • Peso: 8kg- 9kg. • Resistencia: 136kg. • Incluye los siguientes accesorios: Maleta de transporte, cinta para arrastre manual o transporte vertical, cuerda para izaje vertical, 4 cinta extra  para  porteo,  Eslingas  para  rescate
vertical y 1 mosquetón.</t>
  </si>
  <si>
    <t>RODILLERAS PLÁSTICO POR PARES:
Rodillera de tejido elástico con protección anatómica preformada de foam de alta densidad y protección de alto nivel 4S.</t>
  </si>
  <si>
    <t>CINTA DE EN MASCARAR: Cinta de papel adhesiva por una sola cara con ancho mínimo de 40 milímetros y longitud hasta 40 metros, resistente a la humedad, alta resistencia muy sensible a la presión
manual.</t>
  </si>
  <si>
    <t>CINTA AISLANTE ROLLO DE 20m*19 mm:
Cinta aislante de uso eléctrico resistente a temperaturas de ancho hasta 20 milímetros compuesto de PVC para empalmar extremos de cables de baja y alta tensión. En presentación de rollos de mínimo 9 metros.</t>
  </si>
  <si>
    <t>CINTA AISLANTE AUTOFUNDENTE
ROLLO DE 10 METROS: Cinta aislante de uso eléctrico, resistente a temperaturas de hasta 90 grados centígrados, de ancho hasta 20 milímetros compuesto de etileno y propileno, para empalmar extremos de cables de baja y alta tensión. En presentación de rollos de mínimo 9 metros de largo.</t>
  </si>
  <si>
    <t>CAMISETA TIPO T-SHIRT  BÁSICA: Color
blanca, Material: 100% algodón ó 50% algodón y 50% poliéster, Tejido de punto tipo jersey sencillo, cuello en V, Talla de acuerdo con las necesidades de la Entidad Estatal ( mínimo S y máximo XXL), mangas cortas y pueden terminar en un dobladillo de la misma tela, las prendas deben ser entregadas en forma individual y estar cubiertas de tal manera que las conserve limpias y en buen estado hasta su destino final. Las costuras deben ser alineadas sin hilos  sueltos  que  se  rompan  cuando  la
prenda   se   estire.   Se   entrega  muestra suministrada por la ANM en calidad de
préstamo.</t>
  </si>
  <si>
    <t>PANTALONCILLO TIPO BÓXER NEGRO TALLAS S, M, L XL, XXL PARA HOMBRE:
Material principal: 9% de elastómero y el resto en algodón. Elástico: 75% en algodón, 7% de elastómero y el resto en poliamida, Modelos de un solo fondo con colores sobrios, Con dos frentes, dos posteriores y una perilla. La perilla debe ir confeccionado en doble tela y su modelo deberá hormar adecuadamente la anatomía del usuario Talla: de acuerdo con las necesidades de la Entidad, Las prendas deben ser entregadas en forma individual y estar cubiertas de tal manera que las conserve limpias y en buen
estado hasta su destino final.</t>
  </si>
  <si>
    <t>PANTALONCILLO TIPO BÓXER NEGRO TALLAS  S, M,  L,  XL, XXL  PARA  DAMA:
Material principal: 9% de elastómero y el resto en algodón. Elástico: 75% en algodón, 7% de elastómero y el resto en poliamida, Modelos de un solo fondo con colores sobrios, Con dos frentes, dos posteriores y una perilla. La perilla debe ir confeccionado en doble tela y su modelo deberá hormar adecuadamente la anatomía del usuario Talla: de acuerdo con las necesidades de la Entidad, Las prendas deben ser entregadas en forma individual y estar cubiertas de tal manera que las conserve limpias y en buen
estado hasta su destino final.</t>
  </si>
  <si>
    <t>GRUPO 2. Elementos de protección personal, bioseguridad e insumos prehospitalarios para atención de emergencias y procesos de formación-2025</t>
  </si>
  <si>
    <t>GUANTES DE NITRILO LARGOS PARES TALLAS (S- M-L-XL)</t>
  </si>
  <si>
    <t>GUANTES DE PROCEDIMIENTO DE LATEX TALLAS S, M - L -XL EN CAJAS POR 100 UNIDADES (NEGROS Y/O
AZULES)</t>
  </si>
  <si>
    <t>Caja * 100 unidades</t>
  </si>
  <si>
    <t>TRAJE DE PROTECCIÓN (Una sola
pieza desechable): Overol con gorro de color blanco desechable e impermeable, Sistema de cierre con cremallera frontal, solapa sobre la cremallera y ajuste elástico en muñecas, cintura y tobillos. Que cumpla las pruebas estipuladas en la norma EN 14126, última versión en materia de protección frente a agentes infecciosos. Tallas M, L, XL, Color: Blanco, Marcado CE: Categoría III, Tipo 5/6. Especificaciones: El traje tiene tratamiento antiestático y bajo nivel de deshilachamiento, Cada traje debe tener empaque individual, Costuras selladas con cinta, Botas integradas, Elástico en capucha, Elástico     en     muñecas,    Solapa
protectora sobre cremallera.</t>
  </si>
  <si>
    <t>Caja por 50 unidades</t>
  </si>
  <si>
    <t>Caja * 50 unidades</t>
  </si>
  <si>
    <t>TAPONES PROTECTORES AUDITIVOS DE ESPUMA CAJA POR 200 PARES</t>
  </si>
  <si>
    <t>TAPONES	PROTECTORES AUDITIVOS        DE       ESPUMA:
Protección auditiva triple Cono reutilizable en material de silicona elástica moldeable color verde, se requiere que tenga un cordón de fabricado en hilo (no nylon) para evitar el rose de éste con el cuello provocando irritación, que el nivel de reducción del ruido sea de mínimo 25 DB y que el peso no sea mayo a 28gr, también se requiere que venga con estuche para almacenarlo que cumpla con la norma ANSI 12.6-1984 ó ANSI 12.6
– 2016 (R2020)</t>
  </si>
  <si>
    <t>Caja * 200 pares</t>
  </si>
  <si>
    <t>JUEGO	DE	CÁNULAS	TIPO
GUEDEL: Kit de ocho (8) cánulas Tipo Guedel estériles y desechables, En caja plástica que contenga una unidad de los siguientes tamaños: N.º	00	40	mm,
N.º	0	50	mm,
N.º	1	60	mm,
N.º	2	70	mm,
N.º	3	80	mm,
N.º	4	90	mm,
N.º	5	100	mm.
N°	6	120	mm.
•	Material de polietileno rígido. • Es un tubo blanco, con diferente color en el extremo de acuerdo al tamaño.
•	Porción bucal. • Refuerzo lingual. • Polietileno rígido no toxico. • Tubo ovalado con curvatura que sigue la anotomía de la orofaringe, evitando el desplazamiento de la lengua hacia la vía aérea y la consiguiente obstrucción de la misma. • Pieza con borde externo para fijación a los dientes  y  marcada  por  colores  de
acuerdo a la longitud de la cánula.</t>
  </si>
  <si>
    <t>Kit * 8 unidades</t>
  </si>
  <si>
    <t>MANTA TÉRMICA DESECHABLE</t>
  </si>
  <si>
    <t>MANTAS	TÉRMICAS. PLATEADAS Y DORADAS:  Manta
térmica para emergencia, fabricada en lámina de poliéster aluminizado,
doble  color  dorado  y  plata,  para evitar la hipotermia durante el manejo del paciente en campo abierto o conservarle la temperatura. Dimensiones: 210
cms x 160 cms.</t>
  </si>
  <si>
    <t>KIT INMOVILIZADOR DE EXTREMIDADES
PARA ADULTO: - Inmovilizadores para uso izquierdo o derecho, - Fabricados en espuma de PVC, - Cada inmovilizador tiene correas en velcro, - Kit con los siguientes inmovilizadores: Inmovilizador pierna, Inmovilizador media pierna Inmovilizador brazo / hombro Inmovilizador antebrazo Inmovilizador muñeca Inmovilizador cuello, Inmovilizador Cefálico o Craneal Para Camilla Espinal, - Bolsa para transporte.</t>
  </si>
  <si>
    <t>COLLARÍN INMOVILIZADOR CERVICAL TAMAÑO ADULTO.</t>
  </si>
  <si>
    <t>COLLARÍN INMOVILIZADOR CERVICAL
TAMAÑO ADULTO: Limitador o inmovilizador cervical plano para adulto radio traslúcido graduable mínimo a cuatro tallas. * Construido en una sola pieza en plástico de alta densidad de polietileno cubierto con un forro de molespuma de células cerradas, no absorbente y resistente a la humedad. - poseer soporte para la barbilla. - Material: hipoalergénico reflectivo de fácil visualización y compatible con RX. * Almacenamiento en forma plana. - Poseer espacio o abertura traqueal de fácil acceso a pulso carotídeo, Fácil acceso a técnicas avanzadas de vía aérea. Óptima valoración visual. Abertura trasera que permite la
palpación de la zona cervical.</t>
  </si>
  <si>
    <t>CREMA DENTAL: Mínimo100cm3, pasta dental triple acción, presentación tubo plástico, ingredientes activos mínimos fluoruro de sodio: 0.32% mínimo (PPM mínimo 1450 de flúor); que contenga mínimo pigmento verde CI 74260 y azul CI 74160.
Registro sanitario expedido por el INVIMA.</t>
  </si>
  <si>
    <t>JABÓN EN BARRA ANTIBACTERIAL: Para
uso general en el cuerpo, con ingrediente activo antibacterial, con PH neutro, Ingredientes no abrasivos, libre de perfumes y colorantes, Jabón de tocador antibacterial en barra de 90 gramos y Elimina 99,9% de las bacterias. Dermatológicamente testeado.</t>
  </si>
  <si>
    <t>ALCOHOL ANTISÉPTICO POR LITRO
ENVASE PLÁSTICO: -Presentación por litro, se utiliza como desinfectante, -Solución de uso tópico, con contenido de alcohol etílico, - El producto debe estar impotabilizado y debe tener registro sanitario, - El alcohol antiséptico debe encontrarse entre el rango de 77 y 79 grados alcoholimétricos, -Debe envasarse en recipientes adecuados de forma tal que protejan el producto y lo conserven durante su transporte y almacenamiento, el producto debe estar rotulado en su envase, tal como lo establece la norma NTC-731, - El envase de alcohol antiséptico debe expresar su contenido volumétrico en mililitros.</t>
  </si>
  <si>
    <t>Litro</t>
  </si>
  <si>
    <t>CAJA DE MENTHOL</t>
  </si>
  <si>
    <t>CAJA    DE    UNGÜENTO    DE   MENTOL:
Ungüento topico con Menthol con Eucalyptus, Alcanfor. De uso externo para aplicar en el área deseada. Presentado en cajas de unidades de lata de mínimo 10
gramos.</t>
  </si>
  <si>
    <t>Galón</t>
  </si>
  <si>
    <t>SOLUCIÓN	DESINFECTANTE	Y
ESTERILIZANTE: Presentación por galón, Incidur, desinfectante concentrado al 5%. Garantía mínima en almacenamiento de 2 año a partir de la fecha de entrega ó Quirucidal solución antiséptica a base de Clorhexidina 4% y cetrimida al 0.05% Garantía mínima en almacenamiento de 2 años a partir de la fecha de entrega. Con registro sanitario nacional.</t>
  </si>
  <si>
    <t>ESPARADRAPO DE
TELA 25 YARDAS POR PULGADA</t>
  </si>
  <si>
    <t>KIT DE ESPARADRAPO DE TELA BLANCO
DE: -1/2" x 10 yardas, - 1" x 10 yardas. -2" x
10 yardas. -3" x 10 yardas.</t>
  </si>
  <si>
    <t>MICROPORE (3X5): - Cinta adhesiva microporosa, no oclusiva, para uso general Respaldo no tejido de fibras 100% de rayón,
- Suaves y flexibles. - Adhesivo hipoalergénico, a base de acrilato, sensible a Ya presión, impregnada uniformemente en una de sus caras con sustancia adhesiva incolora. - Hipoalergénica, atoxica, aséptica
y libre de látex.</t>
  </si>
  <si>
    <t>TOALLAS HUMEDAS PARA ADULTO PAQUETE POR 40 UNIDADES</t>
  </si>
  <si>
    <t>TOALLAS HUMEDAS PARA ADULTO PAQUETE POR 40 UNIDADES: Las toallas
de baño, toallas absorbentes desechables para secado corporal. Reutilizables y lavables por varios usos para luego desecharse. Amigables con el medio ambiente y/o biodegradables. Dimensiones
de la toalla 28 cm * 22 cm.</t>
  </si>
  <si>
    <t xml:space="preserve">
Paquete * 40
unidades</t>
  </si>
  <si>
    <t>Caja</t>
  </si>
  <si>
    <t>TOALLAS DESECHABLES PARA SECADO CORPORAL (130X65 cm</t>
  </si>
  <si>
    <t>TOALLAS DESECHABLES PARA SECADO
CORPORAL: Para cuerpo, medidas mínimas 65 cm por 130 cm, color blanco, con gran poder de absorción, hipoalergénica, altamente resistentes (que no se descompongan o rompan al mojarse), presentación por unidad. Garantía mínima 1
año en almacenamiento.</t>
  </si>
  <si>
    <t>TOALLAS DESECHABLES POR PAQUETE PARA SECADO DE MANOS PAQUETE DE 150
Unidades</t>
  </si>
  <si>
    <t>TOALLAS DESECHABLES POR PAQUETE PARA SECADO DE MANOS: Toallas de
manos con buena absorción y resistencia y resistente en seco. En paquetes y doblados de mínimo 150 unidades.</t>
  </si>
  <si>
    <t>Paquete * 150
unidades</t>
  </si>
  <si>
    <t>VENDA ELÁSTICA POR
100cm</t>
  </si>
  <si>
    <t>KIT  DE  VENDAS  ELÁSTICAS:  - Material:
poliéster y elastómero de caucho, - Características: Tejido de punto uniforme de color blanco que se presenta en forma de rollo sujetado por dos ganchos metálicos (como mínimo) Compuesta en Urdimbre de filamento de poliéster texturizado con hilo elastómero de caucho blanco y trama de poliéster. - Con longitud estirada no menor a
457cm, peso de acuerdo con lo autorizado por el registro sanitario. Sus acabados con bordes rectos y extremos remallados libres de defectos que afecten su apariencia como hilos sueltos, manchas, materiales extraños y roturas. en bolsa individual, sellada que garantice la integridad del producto, - Dimensiones: - 2″ x 5 yardas estirada. - 3″ x 5 yardas estirada. - 4″ x 5 yardas estirada. - 5″ x 5 yardas estirada. - 6″ x 5 yardas estirada. - 8″ x 5 yardas estirada. Venda
triangular mínimo de 90*90cm.</t>
  </si>
  <si>
    <t>CEPILLOS DE DIENTES</t>
  </si>
  <si>
    <t>CEPILLOS	DENTAL
Para adulto, cabeza formada, cabeza con limpiador lingual, empaque individual, cuatro hileras de cerdas de Nylon, cerda plana, ergonómico, tipo cerda mediana mayor o igual a 11 y menor de 13mm, mango fijo, lo suficiente largo para manejarlo con comodidad, registro sanitario expedido por el INVIMA</t>
  </si>
  <si>
    <t>BATERIAS EQUIPO DEA (123A PHOTO FLASH DE LITIO) POR PAR.
MODELO GP CR123A</t>
  </si>
  <si>
    <t>Baterías equipo DEA (123A Photo Flash de Litio)	por	par.
Modelo	GP	CR123A. Descripción: batería de litio 2/3a. de 3 voltios, capacidad nominal: 1400 mAh, Dimensiones: diámetro 16,8 x 34,5 mm.: Modelo		EL		123AP.
: Modelo DL 123A</t>
  </si>
  <si>
    <t>CÁNULA NASOFARÍNGEA FLEXIBLE Y DE
MATERIAL BLANDO</t>
  </si>
  <si>
    <t>kit      de      Canelas      nasofaríngea Tallas 6; 6,5; 7 - material Polietileno Transparente grado médico.</t>
  </si>
  <si>
    <t>MASCARILLAS DESECHABLES DE BOLSILLO PARA REANIMACION CARDIPULMONAR RCP</t>
  </si>
  <si>
    <t>Mascarillas desechables de Bolsillo para reanimación  cardiopulmonar   RCP. Tamaño para el uso en adultos y niños, máscara transparente para posicionar adecuadamente y monitorear la víctima. Materiales  Médicos  y  Accesorios.  Material: PVC De Plástico  Médica. Máscara: Unidireccional. Válvula de una vía con filtro-cabe en el caso mientras se está
conectado a la máscara.</t>
  </si>
  <si>
    <t>SOLUCION SALLINA -
SUERO FISIOLÓGICO 0,9% 500 ML</t>
  </si>
  <si>
    <t>TIJERA UNIVERSAL PARA TRAUMA</t>
  </si>
  <si>
    <t>Tijera universal para trauma, - Tijera diseñada para cortar materiales fuertes o
para	uso	general.
-	Fabricadas con láminas en acero inoxidable y	mango	plástico.
-	Debe ser resistente y duradera, ideal para trabajo	en	emergencias.
-	Perfectas para cortar ropa, vendajes, para cortar materiales gruesos, dril, algodón cinturones    de    seguridad    entre    otros.
-	Puntas redondeadas para evitar cortes
accidentales. - Largo: 6’’</t>
  </si>
  <si>
    <t>JABON ANTIBACTERIAL LIQUIDO</t>
  </si>
  <si>
    <t>JABON	ANTIBACTERIAL	LIQUIDO
Para uso general en el cuerpo, con ingrediente activo antibacterial, con PH neutro, Hipo alergénico, Ingredientes no abrasivos, libre de perfumes y colorantes, presentación botella por 1000 ml.</t>
  </si>
  <si>
    <t>BAJALENGUAS CAJA DE 100 UNIDADES</t>
  </si>
  <si>
    <t>BAJALENGUAS.
-	De madera blanca, de superficie lisa, uniforme, de bordes extremos ovalados, libre de	olor	y	sabor
-	Libre de astillas, perforaciones y manchas.
-	Dimensiones: largo 150mm; ancho: 20mm; espesor:2,30mm, - Envase en bolsa resellable; Paquete de 20 unidades (cada caja con 5 paquetes de 20 unidades)</t>
  </si>
  <si>
    <t>Unidad – Caja de 100
Unidades (5
paquetes
de 20 Unidades)</t>
  </si>
  <si>
    <t>COTIZACIÓN 1 (Cotización No. 1410-1002) - FERYSEG - Ferretería y Seguridad SAS - NIT. 900.739.301 - 1</t>
  </si>
  <si>
    <t>COTIZACIÓN 2 (Cotización No. 1410-1005) - FERYSEG - Ferretería y Seguridad SAS - NIT. 900.739.301 - 1</t>
  </si>
  <si>
    <t>COTIZACIÓN 2-SURCOMPANY - NIT. 900202174-5 (COTIZACION
No. 12718)</t>
  </si>
  <si>
    <t>COTIZACIÓN 2- INTERCOMERCIAL MÉDICA S.A.S.
NIT 830501223-7</t>
  </si>
  <si>
    <t>COTIZACIÓN 3 - CASTECK S.A.S - NIT:901,061,836-1</t>
  </si>
  <si>
    <t>COTIZACIÓN 4. EMPRETEX S.A.S.</t>
  </si>
  <si>
    <t>CANTIDAD A SOLICITAR - 2025</t>
  </si>
  <si>
    <t>FICHA TECNICA</t>
  </si>
  <si>
    <t>SI</t>
  </si>
  <si>
    <t>NO</t>
  </si>
  <si>
    <t>VALOR UNITARIO PROMEDIO (INCLUYE IVA E IMPUESTOS)-2024
-INDEXADOS A 2025 (CON EL IPC 2024 de 5,2%)</t>
  </si>
  <si>
    <t>Caja * 20 sobres</t>
  </si>
  <si>
    <t>YODOPOVIDONAESPUMA EN FRASCO CON 120 ML EN CADA
PRESENTACIÓN.</t>
  </si>
  <si>
    <t>YODOPOVIDONA  SOLUCION EN FRASCO CON 120 ML EN CADA
PRESENTACIÓN.</t>
  </si>
  <si>
    <t>% de IVA</t>
  </si>
  <si>
    <t>excluido de IVA</t>
  </si>
  <si>
    <t>Excluido de IVA</t>
  </si>
  <si>
    <t>ud</t>
  </si>
  <si>
    <t>litro</t>
  </si>
  <si>
    <t xml:space="preserve">Descripción </t>
  </si>
  <si>
    <t>MASCARILLA DE SILICON MEDIA
CARA: Pieza facial de media cara doble cartucho, con filtros para material particulado dependiendo del filtro o cartucho ofrece protección contra ciertos gases, vapores, y material particulado como neblina, polvo y humos. Composición: Fabricada en silicona, Acorde con las especificaciones NIOSH/MSHA      y     EN140:1998,
Normas  42  CFR  Parte  84 NIOSH USA NBR 13696 y 13697 Brasil, 29 CFR Parte 1910.34 OSHA de USA.
Este producto debe ser compatible para el uso con los cartuchos repuesto contra vapores orgánicos y cartuchos contra material particulado del presente contrato. Incluir un (1) par de filtros para gases y vapores orgánicos. CARTUCHO REPUESTO PARA VAPORES    ORGÁNICOS:    Filtro
cartucho para vapores orgánicos y gases ácidos, acorde con las especificaciones NIOSH/MSHA. TC-23C-1064, 42 CFR Parte 84 NIOSH   USA   y   29   CFR   Parte
1910.34 OSHA de USA. Aprobado para protección respiratoria contra no más de 500 ppm de vapores orgánicos y contra no más de: 5 ppm. de cloro, 25 ppm. de cloruro de hidrogeno y 25 ppm. de dióxido de azufre.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</si>
  <si>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RESPIRADOR CARA COMPLETA:
Equipo de protección respiratoria tipo full face fabricado en material de silicona que este diseñado con arnés de cuatro puntos de apoyo de tres tamaños, también con copa nasal y válvulas de baja resistencia en el proceso de inhalación y exhalación, que permita un mayor rendimiento al usuario en sus tareas cotidianas y actividades forzadas, se requiere que el lente cuente con corrección Óptica del lente facial que suprima la distorsión de visión restando las molestias de fatiga ocular, dolor de cabeza, accidentes por percepción. Se requiere que el lente este fabricado en policarbonato resistente a rayaduras y sin distorsión cumpliendo los estándares de alto impacto dispuestos por ANSI, brindando además de Protección Respiratoria, Protección Facial en trabajos de impacto. La colocación de la máscara debe ser sencilla y rápida Normado OSHA, 29 CFR parte 1910.134, estándares ANSI Z87.1+ en impacto y visión y Aprobado NIOSH bajo la norma 42CFR84. Debe incluir un par de cartuchos por cada respirador full face.
CARTUCHO REPUESTO PARA VAPORES    ORGÁNICOS:    Filtro
cartucho para vapores orgánicos y gases ácidos, acorde con las especificaciones NIOSH/MSHA. TC-23C-1064, 42 CFR Parte 84 NIOSH USA y 29 CFR Parte 1910.34    OSHA    de    USA.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</si>
  <si>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CARTUCHO REPUESTO PARA VAPORES    ORGÁNICOS:    Filtro
cartucho para  vapores orgánicos y gases ácidos, acorde con las especificaciones NIOSH/MSHA. TC-23C-1064, 42 CFR Parte 84 NIOSH USA y 29 CFR Parte 1910.34    OSHA    de    USA.  Este
producto debe ser compatible para el uso con la mascarilla de Silicón media cara y respirador cara completa del presente contrato, su presentación  debe  ser  por  pares.
*Cartucho para respiradores con conexión Tipo Bayoneta *Para Vapores orgánicos, Cloro, Dióxido de Azufre, Ácido Clorhídrico, Ácido Sulfhídrico, Ácido Fluorhídrico, Amoníaco, Metilamina, Formaldehídos, Fluoruro de Hidrógeno y Gases Nitrosos NO2, pinturas, lacas, esmaltes y asbestos
*   Vapores   inorgánicos   y   gases
ácidos.</t>
  </si>
  <si>
    <t>CARTUCHO REPUESTO PARA MASCARILLA MEDIA CARA CONTRA MATERIAL PARTICULADO RESISTENTE A
LA HUMEDAD: Cartucho P100 está fabricada a base de polímero de alta resistencia. El medio filtrante está compuesto por Nylon aleatoriamente ordenada para remover partículas respirables, Pinturas pulverizadas, humos metálicos, polvos, material particulado, neblinas. Posee un nivel de eficiencia de 99,97% para proteger contra todos los aerosoles sean estos sólidos (polvos y humos) o líquidos (rocíos y nieblas), una cubierta que protege al filtro contra la exposición a salpicaduras de agua de manera que no se moje el cuerpo filtrante. Que cumpla
42 CFR Parte 84 NIOSH USA
29 CFR Parte 1910.34 OSHA de USA</t>
  </si>
  <si>
    <t>BOLSA PARA CADÁVER CALIBRE
7 CON CREMALLERA BLANCA: Bolsa para embalaje de cadáveres color blanco o negro. Debe de ser laminada y sellada al calor acorde con las normas de OSHA y EPA, Materiales lona de polipropileno de alta tenacidad, bio orientada molecularmente recubierta por una cara con una lámina de polietileno, impermeable, no combustible, tratada contra rayos ultravioletas y agentes químicos, no biodegradable, calibre 150 micras a
260 micras, lavable, cremallera central en nylon con dos deslizadores la cual permite una apertura mínima de 2.15 m de largo
* 90 cm, resistentes a temperaturas extremas y con una capacidad de carga mínima de 130 kg. Fabricada en lona enteriza sin uniones longitudinales,    6    manijas    para
transporte  en  reata poliéster  de 1" pasantes de lado a lado a modo de cincha por la parte de abajo evitando desgarres y con protección para la mano en asas de P.V.C., uniones selladas, con certificaciones de calidad nacionales o internacionales, empaque en bolsa plástica, garantía mínima: en almacenamiento de 1 año, las tallas y tamaños solicitados deben obedecer a estándares internacionales o sus equivalentes
nacionales.</t>
  </si>
  <si>
    <t>REATA MINERA PORTA LAMPARA Y CORREA PARA AUTORRESCATADOR CON ANILLO EN ALUMINIO AJUSTE CON
HEBILLA: *Material en poliéster máximo 5mm *Ancho mínimo 50 mm, *Hebilla tipo aguijón. *Dotado de correas que permitan portar la lámpara minera y el autor rescatador *Una argolla "D" de acero forjado
en el costado. Ver anexo 1 denominado Anexo 1 Muestra Reata Minera</t>
  </si>
  <si>
    <t>SEÑALIZACIÓN SCI MATERIAL HULE CALIBRE   14,   JUEGO  DE  7 SEÑALES:
Pancartas en Material de Hule de alta resistencia al desgarre de 1,1m*1,1m, de alta dureza, con soportes en tubo de aluminio de mínimo 30 milímetros. Las medidas serán de acuerdo a lo establecido en el Sistema Comando de Incidentes al
igual que el contenido que cada pancarta debe contener. Se entrega diseño
suministrado por la ANM. Ver anexodenominado ss-Anexo 2 de Especificaciones y requesitos técnicos. Señalización</t>
  </si>
  <si>
    <t>CINTA PEGANTE TRASPARENTE
GRUESA 2 PULGADAS: Cinta adhesiva trasparente mínimo de 45 milímetros para embalar, resistente a la humedad, longitud mínima de 40 metros que pegue bien en diferentes superficies, especialmente sobre plástico y cartón</t>
  </si>
  <si>
    <t>OVEROL TIPO PILOTO: Bicolor
institucional, cremallera central, manga larga lisa ajustable en los puños mediante cremalleras de 15 cm de longitud con abertura de 5 cm, manga izquierda con doble bolsillo, dos bolsillos de parche parte delantera de la camisa, resorte en la parte trasera, dos bolsillos de parche traseros, dos delanteros de parche con cremallera en la parte del pantalón, cremalleras laterales en las botas, cinta reflectiva en las piernas, brazos, espalda y pecho, en tela dril de alta resistencia, refuerzo acolchado en hombros, codos y rodillas; con logo de la entidad bordados de color blanco. La cinta reflectiva debe ser de mínimo 500 candelas y un ancho de 2 pulgadas. Para el caso de tallas grandes la espalda debe contar con al menos 6 cm más de ancho. Con logos institucionales en los dos brazos, en la espalda y pecho de acuerdo a modelo que se entregue. Se entrega muestra suministrada por la ANM en calidad de préstamo.
Composición 55 a 65 %  Algodón El resto Poliéster hasta completar el 100%
Tipo de tejido Sarga (diagonal) 3 x 1 Izquierdo
Resistencia a la tensión en N Urdimbre Mínimo 400
Trama Mínimo 400
Resistencia al desgarre en N Urdimbre Mínimo 28
Trama Mínimo 28
Peso, en g/m² Mínimo 240
Cambio dimensional en urdimbre y trama, en % ± 2
Resistencia al deslizamiento de los Hilos en la costura en N, Mínimo
178
Rigidez de la tela en g 200 a 400
Solidez del color al lavado después de tres ciclos.
Tipo de lavado 3 A
Cambio de color Mínimo 4
Manchado     Mínimo 4
Solidez del color a la transpiración Cambio de color Mínimo 4
Manchado    Mínimo 4
Solidez del color a la luz Horas de exposición 80
Calificación escala de grises, Amarillo Mínimo 3
Demás colores azul oscuro 3-4
Solidez del color al frote de la tela gris y amarillo
En seco, Mínimo  4 En húmedo, colores: 4
Solidez del color al frote de la tela gris y amarillo
En seco Mínimo 4
En húmedo Mínimo 4
Solidez del color a la abrasión N° de ciclos 1000
Calificación escala de grises, Mínimo 3-4
Tendencia a la formación de motas, Mínimo 4
PH del agua extraída de la tela terminada
5,5 a 8,5
Reducción de la actividad microbiana tras 30 lavados, en % Mínimo 90    Ancho útil de la tela sin incluir orillos, en cm, Mínimo 150
Nota 1. En las telas la mezcla de algodón con poliéster o nylon según el caso debe venir íntimamente ligada en el hilo de la tela, tanto en trama como en urdimbre.</t>
  </si>
  <si>
    <t>CHALECO REFLECTIVO – DE ALTA VISIBILIDAD- INSTITUCIONAL (TALLAS
S,M,L, XL, XXL): Con franjas reflectivas de tela de 40 milímetros de ancho que aumente visibilidad en ambiente nocturno, anterior y posterior mínimo 3, colores: verde o naranja, Peso ligero , malla transpirable, cierre en cremallera de polyester y caja de separación, con logotipo frontal de la Agencia Nacional Minera en el lado izquierdo de 8 centímetros de color Negro, Marcación posterior con nombre de la Agencia Nacional de Minería de 15 centímetros de alto por 30 centímetros. De tela tipo explorador.
Composición 55 a 65 % Algodón El resto Poliéster hasta completar el 100%
Tipo de tejido Sarga (diagonal) 3 x 1 Izquierdo
Resistencia a la tensión en N Urdimbre Mínimo 400
Trama Mínimo 400
Resistencia al desgarre en N Urdimbre Mínimo 28
Trama Mínimo 28
Peso, en g/m² Mínimo 240
Cambio dimensional en urdimbre y trama, en % ± 2
Resistencia al deslizamiento de los Hilos en la costura en N, Mínimo
178
Rigidez de la tela en g 200 a 400
Solidez del color al lavado después de tres ciclos.
Tipo de lavado 3 A
Cambio de color Mínimo 4
Manchado     Mínimo 4
Solidez del color a la transpiración Cambio de color Mínimo 4
Manchado    Mínimo 4
Solidez del color a la luz Horas de exposición 80
Calificación escala de grises, Amarillo Mínimo 3
Demás colores azul oscuro 3-4
Solidez del color al frote de la tela gris y amarillo
En seco, Mínimo  4 En húmedo, colores: 4
Solidez del color al frote de la tela gris y amarillo
En seco Mínimo 4
En húmedo Mínimo 4
Solidez del color a la abrasión N° de ciclos 1000
Calificación escala de grises, Mínimo 3-4
Tendencia a la formación de motas, Mínimo 4
PH del agua extraída de la tela terminada
5,5 a 8,5
Reducción de la actividad microbiana tras 30 lavados, en % Mínimo 90
Ancho útil de la tela sin incluir orillos, en cm, Mínimo 150
Nota 1. En las telas la mezcla de algodón con poliéster o nylon según el caso debe venir íntimamente ligada en el hilo de la tela, tanto en trama como en urdimbre.
Que cumpla las normas: UNE-EN-ISO 20471:2013
UNE-EN-ISO 20471:2017</t>
  </si>
  <si>
    <t>CHALECO REFLECTIVO – DE ALTA VISIBILIDAD- INSTITUCIONAL (TALLAS
S,M,L, XL, XXL): Fabricado en ALGODÓN 50 , POLIEST FIBRA 50 ± 3%, con franjas reflectivas de tela de 40 milímetros de ancho que aumente visibilidad en ambiente nocturno, anterior y posterior mínimo 3, colores: verde o naranja, Peso ligero , malla transpirable, cierre en cremallera de polyester y caja de separación, con logotipo frontal de la Agencia Nacional Minera en el lado izquierdo de 8 centímetros de color Negro, Marcación posterior con nombre de la Agencia Nacional de Minería de 15 centímetros de alto por 30 centímetros. De tela tipo explorador.
Composición 55 a 65 % Algodón El resto Poliéster hasta completar el 100%
Tipo de tejido Sarga (diagonal) 3 x 1 Izquierdo
Resistencia a la tensión en N Urdimbre Mínimo 400
Trama Mínimo 400
Resistencia al desgarre en N Urdimbre Mínimo 28
Trama Mínimo 28
Peso, en g/m² Mínimo 240
Cambio dimensional en urdimbre y trama, en % ± 2
Resistencia al deslizamiento de los Hilos en la costura en N, Mínimo
178
Rigidez de la tela en g 200 a 400
Solidez del color al lavado después de tres ciclos.
Tipo de lavado 3 A
Cambio de color Mínimo 4
Manchado     Mínimo 4
Solidez del color a la transpiración Cambio de color Mínimo 4
Manchado    Mínimo 4
Solidez del color a la luz Horas de exposición 80
Calificación escala de grises, Amarillo Mínimo 3
Demás colores azul oscuro 3-4
Solidez del color al frote de la tela gris y amarillo
En seco, Mínimo  4 En húmedo, colores: 4
Solidez del color al frote de la tela gris y amarillo
En seco Mínimo 4
En húmedo Mínimo 4
Solidez del color a la abrasión N° de ciclos 1000
Calificación escala de grises, Mínimo 3-4
Tendencia a la formación de motas, Mínimo 4
PH del agua extraída de la tela terminada
5,5 a 8,5
Reducción de la actividad microbiana tras 30 lavados, en % Mínimo 90
Ancho útil de la tela sin incluir orillos, en cm, Mínimo 150
Nota 1. En las telas la mezcla de algodón con poliéster o nylon según el caso debe venir íntimamente ligada en el hilo de la
tela, tanto en trama como en urdimbre.</t>
  </si>
  <si>
    <t>CAMISA TIPO POLO BICOLOR (Gris y
amarillo): Camibuso tipo polo manga larga, como se muestra en la ficha técnica para hombre y mujer de bicolor institucional claro (proporcionar carta de colores para su elección) Marcado: -Bordado Logo Salvamento Minero en pecho izquierdo + Bandera Colombia Bordada en manga derecha, en la parte posterior de la chaqueta, palabra Agencia Nacional de minería bordada tamaño carta. Antes de la confección se debe pasar la confección de las muestras y su aprobación con el respectivo marcado. Ver anexo 4.
Que cumpla las normas: AATCC 20
ASTM 3774
ASTM 3776
ASTM 3775
AATCC 179 RCA - IN 202 AATCC 135
AATCC 135
ASTM 3107
ASTM 3512
ASTM 3787
AATCC 8
AATCC 61
AATCC 15
AATCC 81
Ver anexo ss-Anexo 4 Especificaciones y Características Camisa Polo</t>
  </si>
  <si>
    <t>MALETIN PARA BOTIQUIN
Maletín con correas para transportar a los hombros, con 3 compartimientos + 4 bolsillos en vinilo internos + 4 bolsillos en malla   internos   +   2   bolsillos   en  malla  externos + 1 bolsillo portadocumentos externo.
Color rojo con banda reflectiva, marcados con el nombre "BOTIQUIN DE PRIMEROS AUXILIOS- ANM"
Medidas mínima 47 x 32 x 16 cm.</t>
  </si>
  <si>
    <t>Unidad de medida</t>
  </si>
  <si>
    <t>link consulta</t>
  </si>
  <si>
    <t>https://healthcompany.co/producto/pulsioximetro-home-life-fs10c/?srsltid=AfmBOop1KDhSm3tcxxM4VfpH5aVFxnZ7nnoXUM1ggYdGjVUskT6q1Swv</t>
  </si>
  <si>
    <t>LINK INTERNET</t>
  </si>
  <si>
    <t>https://articulo.mercadolibre.com.co/MCO-583376059-protector-auditivo-3m-1100-espuma-caja-x-200-pares-_JM?searchVariation=64324957297#polycard_client=search-nordic&amp;searchVariation=64324957297&amp;position=24&amp;search_layout=stack&amp;type=item&amp;tracking_id=7ceb80e9-301b-4e23-8e33-b7d5156cb474</t>
  </si>
  <si>
    <t>https://www.mercadolibre.com.co/cepillo-de-dientes-colgate-cepillos-dentales-cepillo-adulto-value-medio/p/MCO22230562#polycard_client=search-nordic&amp;searchVariation=MCO22230562&amp;position=42&amp;search_layout=grid&amp;type=product&amp;tracking_id=b1e3590f-060d-4e9e-9caf-10deed75e72d&amp;wid=MCO1588948451&amp;sid=search</t>
  </si>
  <si>
    <t>https://articulo.mercadolibre.com.co/MCO-625430796-pila-bateria-123-litio-energizer-_JM?filter=MODEL</t>
  </si>
  <si>
    <t>https://www.mercadolibre.com.co/canula-nasofaringea-descartable/p/MCO2002223471?matt_tool=19390127&amp;utm_source=google_shopping&amp;utm_medium=organic&amp;pdp_filters=item_id%3AMCO2694074554&amp;from=gshop</t>
  </si>
  <si>
    <t>FORMULA APLICADA PARA DETERMINAR EL PRESUPUESTP</t>
  </si>
  <si>
    <t>Media Geometríca</t>
  </si>
  <si>
    <t>https://fullmineria.com/producto/cinturon-minero-msa-conexion-seguridad/?srsltid=AfmBOooS_JmWBDKSYkmby7kfkl7lwfjRLHqtknnMdBXhXyI0AGHWG1ZS</t>
  </si>
  <si>
    <t>IVA</t>
  </si>
  <si>
    <t>BOTAS DE SEGURIDAD DE MATERIAL TALLAS  35 a 44  (PARES)</t>
  </si>
  <si>
    <t xml:space="preserve">MASCARILLA DE SILICON  MEDIA CARA CONTRA POLVOS Y/O VAPORES </t>
  </si>
  <si>
    <t xml:space="preserve">CAMILLA DE RESCATE SKED </t>
  </si>
  <si>
    <t xml:space="preserve">RODILLERAS PLÁSTICO POR PARES </t>
  </si>
  <si>
    <t>SEÑALIZACIÓN SCI MATERIAL HULE CALIBRE 14  JUEGO DE 7 SEÑALES</t>
  </si>
  <si>
    <t xml:space="preserve">CINTA DE ENMASCARAR </t>
  </si>
  <si>
    <t xml:space="preserve">CINTA PEGANTE TRASPARENTE GRUESA 2 PULGADAS </t>
  </si>
  <si>
    <t>CINTA AISLANTE ROLLO DE 20m*19 mm</t>
  </si>
  <si>
    <t xml:space="preserve">CINTA AISLANTE AUTOFUNDENTE ROLLO DE 10 METROS </t>
  </si>
  <si>
    <t xml:space="preserve">MALETIN PARA BOTIQUIN </t>
  </si>
  <si>
    <t>TRAJES DE PROTECCIÓN (Una sola pieza desechable)</t>
  </si>
  <si>
    <t>TAPABOCAS KN95 CAJAS POR 50  UNIDADES</t>
  </si>
  <si>
    <t>TAPABOCAS QUIRÚRGICOS DESECHABLES EN CAJAS POR 50 UNIDADES</t>
  </si>
  <si>
    <t xml:space="preserve">KIT INMOVILIZADOR DE EXTREMIDADES PARA ADULTO </t>
  </si>
  <si>
    <t xml:space="preserve">JABÓN EN BARRA ANTIBACTERIAL </t>
  </si>
  <si>
    <t xml:space="preserve">ALCOHOL ANTISÉPTICO POR LITRO ENVASE PLÁSTICO </t>
  </si>
  <si>
    <t>TARIFA IVA APLICADA EN 2024</t>
  </si>
  <si>
    <t xml:space="preserve">VALOR UNITARIO PROMEDIO ANTES DE IVA </t>
  </si>
  <si>
    <t xml:space="preserve">VALOR UNITARIO MEDIA GEOMÉTRICA ANTES DE IVA </t>
  </si>
  <si>
    <t>VALOR UNITARIO PROMEDIO IVA INCLUIDO</t>
  </si>
  <si>
    <t>VALOR UNITARIO MEDIA GEOMÉTRICA IVA INCLUIDO</t>
  </si>
  <si>
    <t>VALOR UNITARIO  DEFINIDO PRESUPUESTO ANTES DE IVA</t>
  </si>
  <si>
    <t>Valor unitario ANTES DE IVA</t>
  </si>
  <si>
    <t>Valor unitario IVA INCLUIDO</t>
  </si>
  <si>
    <t xml:space="preserve">TARIFA IVA </t>
  </si>
  <si>
    <t xml:space="preserve">GUANTES DE CUERO TIPO INGENIERO DE VAQUETA    POR    PARES:      -
Refuerzo exterior en cuero, - Grano superior de cuero reforzado, - Corte ergonómico magro. - Con protección de golpes en la parte superior de la mano, banda elástica en la a muñeca, refuerzo cosido en la palma - Cuero tratado para proporcionar una mayor durabilidad y resistencia a la abrasión, - Confeccionado 100% en hilo de alta resistencia al corte, a pinchazos, a la humedad, - Tallas y tamaños deben obedecer a estándares internacionales o sus equivalentes nacionales, - Garantía mínima en almacenamiento 1 año.
</t>
  </si>
  <si>
    <t xml:space="preserve">PANTALÓN TIPO PESCADOR IMPERMEABLE PARA INUNDACIONES TALLAS DE BOTA 39,40, 41,42 y
44 </t>
  </si>
  <si>
    <t xml:space="preserve">PANTALÓN TIPO PESCADOR IMPERMEABLE PARA INUNDACIONES:
Vadeadores con puntera y plantilla metálica, Tela PVC/Poliéster: Confeccionados en tela 100% impermeable de poliéster plastificada de PVC (cloruro de polivinilo) de 0.35 mm. de espesor, termo sellado a la bota, Pantalón en PVC o Poliéster PVC con goma elástica en la cintura, Costuras cosidas y selladas.   Para   Ambientes   de   lluvia   y
humedad.
</t>
  </si>
  <si>
    <t>BALACLAVA SENCILLA: DIMENSIONES
1. La medida de la cara ovalada es de: 6cm por 13cm
2. El largo total de la prenda por centro frente es de: 47.5cm
3. Distancia en ancho del ruedo de: 43cm
4. El largo total de la prenda por centro atrás es de 47.5cm.
DESCRIPCIÓN DE CONFECCIÓN
A. Sesgo terminado de 1.5cm en ovalo de cara, pespuntado en 2 agujas
Separación de costuras de 1/8
B. Sesgo terminado de 1.5cm en ruedo de la prenda,
Pespuntado en 2 agujas. Separación de costuras de 1/8
C. Todos los cortes de la prenda unidos en Fileteadora, pespuntados en
2 agujas separación de costuras de 1/8. PESO: 75gr
Que cumpla:
UNE-EN 1149-5:2018 – NIVEL PASS.
UNE-EN ISO 11612:2018- NIVEL A1 A2 B1 C1 F1.
IEC 61482-1-1:2019 - NIVEL ATPV = 12
Cal/Cm2
IEC 61482-1-1:2019 - NIVEL ELIM = 10
Cal/Cm2.</t>
  </si>
  <si>
    <t>https://www.panamericana.com.co/cinta-adhesiva-de-enmascarar-beige-tesa-ref-60349-26276/p?idsku=26276</t>
  </si>
  <si>
    <t>https://www.homecenter.com.co/homecenter-co/product/65082/cinta-aislante-super33-19mm-x-20mt/65082/</t>
  </si>
  <si>
    <t>https://www.homecenter.com.co/homecenter-co/product/35566/cinta-multiseal-bituminosa-autoadhesiva-impermeabilizante-10-12mm-10cmx10m-sika/35566/</t>
  </si>
  <si>
    <t>https://www.siroko.com/es/p/pasamontanas-hail-black-negro?country=CO&amp;language=es&amp;variant=618f211b-748b-4561-9c67-4fbb5cbfe797&amp;cur=COP&amp;img=feed_lifestyle_03_image&amp;srsltid=AfmBOopGQfW43_yk9NMZ4LCmxbn4DVd1bAUfwy2PHYgbhpBuwSurX9ggn5Q</t>
  </si>
  <si>
    <t>https://www.camillasindumasas.com/product-page/maleta-para-botiqu%C3%ADn-tipo-c?srsltid=AfmBOoql8cgDKJuDP1-KO6VLPMY7Wq1_STaTGDic-b0xPuUlCexJu-aq</t>
  </si>
  <si>
    <t>https://www.locatelcolombia.com/7702027047961-toallas-humedas-para-adulto-3-en-1-x-40und/p?idsku=4160</t>
  </si>
  <si>
    <t xml:space="preserve">
 Unidad de 10 gramos</t>
  </si>
  <si>
    <t>https://www.jumbocolombia.com/jabon-antibacterial-protex-nutri-protect-macadamia-barra-110-grs-x6-und/p?idsku=97877&amp;srsltid=AfmBOorXgVPKSJTbWYtwInpvbB8ZqtUN0cNv2BGSBQp5elSJRGEDZvvzub0</t>
  </si>
  <si>
    <t>https://mercadomadrid.com.co/cuidado-oral/1469-crema-dental-colgate-taccionx100-gramos-7509550000000.html?srsltid=AfmBOoo98Dxod6BUo_CcxRiPGINHzWygKAmMWsZbzIXridHLi8QnMzfg2Vw</t>
  </si>
  <si>
    <t>https://www.mercadolibre.com.co/-tubo-de-guedel-para-primeros-auxilios-8-piezas/p/MCO2009947012?matt_tool=19390127&amp;utm_source=google_shopping&amp;utm_medium=organic&amp;pdp_filters=item_id:MCO2826224566&amp;from=gshop</t>
  </si>
  <si>
    <t>VALOR TOTAL UNITARIO INCLUIDO IVA</t>
  </si>
  <si>
    <t>% DE IVA</t>
  </si>
  <si>
    <t>Valor unitario SIN IVA</t>
  </si>
  <si>
    <t>VALOR UNITARIO 2024 ANTES DE IVA</t>
  </si>
  <si>
    <t>VALOR UNITARIO 2024 IVA INCLUIDO</t>
  </si>
  <si>
    <t>https://www.homecenter.com.co/homecenter-co/product/326013/jabon-liquido-antibacterial-quirurgico-x-1000-ml/326013/</t>
  </si>
  <si>
    <t>Notas:</t>
  </si>
  <si>
    <t xml:space="preserve">1. </t>
  </si>
  <si>
    <t xml:space="preserve">2. </t>
  </si>
  <si>
    <t>VALOR TOTAL INCLUIDO IVA</t>
  </si>
  <si>
    <t>CONSULTA INTERNET ANTES DE IVA</t>
  </si>
  <si>
    <t xml:space="preserve">https://www.easy.com.co/cinta-empaque-cp-40mx48mm-transparente/p?idsku=1295008&amp;srsltid=AfmBOoqh9mR95K9g--k96ODrazxqHseY-2_y59Mi6L8cPZSOBf3X1dhdozs </t>
  </si>
  <si>
    <t>Los precios resaltados en rojo no se tuvieron en cuenta dentro del ejercicio de definición de precios unitarios para el proceso,toda vez que presentan dispersiones muy elevadas tanto en positivo como en negativo, lo que afecta significativamente el comparativo de precios unitarios de las demás cotización, precios historicos y/o consultas de internet.</t>
  </si>
  <si>
    <t>Es de aclarar que los precios antes de IVA que fueron cotizados con decimales por las empresas, fueron redondeados de la siguiente manera: Del 0,01 centavos a 0,49 al peso colombiano inmediatamente anterior y del 0,50 centavos a 0,99 al peso colombiano inmediatamente posterior</t>
  </si>
  <si>
    <t>VALOR UNITARIO INDEXADO (ANTES DE IVA)-2024
-INDEXADOS A 2025 (CON EL IPC 2024 de 5,2%)</t>
  </si>
  <si>
    <t>VALOR UNITARIO ANTES DE IVA</t>
  </si>
  <si>
    <t>VALOR UNITARIO (ANTES DE IVA)-2024
-INDEXADOS A 2025 (CON EL IPC 2024 de 5,2%)</t>
  </si>
  <si>
    <t>Notas, para el Grupo 2, los siguientes elementos son excluidos de IVA:  KIT INMOVILIZADOR DE EXTREMIDADES PARA ADULTO, COLLARÍN INMOVILI-ZADOR CERVICAL TAMAÑO ADULTO,  SOLUCIÓN DESIN-FECTANTE Y ESTERI-LIZANTE POR GALO-NES, ESPARADRAPO DE TELA 25 YARDAS POR PULGADA,  MICROPORE (3X5) , APÓSITO DE GASA ESTÉRIL NO TEJIDA PARA CONTROL DE HEMORRAGIAS, VENDA ELÁSTICA POR 100cm, CURAS (BANDITAS EN CAJAS POR 100 UNI-DADES,  SOLUCION SALLINA -SUERO FISIOLÓGICO 0,9% 500 ML, YODOPOVIDONAES-PUMA EN FRASCO CON 120 ML EN CADA PRESENTACIÓN,  YODOPOVIDONA  SOLUCION EN FRAS-CO CON 120 ML EN CADA PRESENTACIÓN, conforme a lo previsto en los numerales 30.05, 90.21, 30.04</t>
  </si>
  <si>
    <t>TARIFA IVA A APLICAR</t>
  </si>
  <si>
    <t xml:space="preserve"> VALOR UNITARIO  DEFINIDO PRESUPUESTO IVA INCLUIDO (EN CASO DE APLICAR) </t>
  </si>
  <si>
    <t>VALOR UNITARIO  DEFINIDO PRESUPUESTO IVA INCLUIDO (</t>
  </si>
  <si>
    <t>CONTRATO 685 D E 2024. INDEXADO A 2025 CON IPC DE 2024 DE 5,2%</t>
  </si>
  <si>
    <t xml:space="preserve">BOTAS DE SEGURIDAD DE MATERIAL TALLAS      35   a   44   (PARES):  CORTE
EXTERNO: Elaborada en cuero nobuck marrón calibre 1.8 - 2.0 mm, con Combinación de cuero napa negro en cordoneras y tejido de punto 100% poliéster texturizado en cuello, lengüeta y micropiel en puntera y talón con cinta reflectiva en laterales. FORRO INTERNO: Elaborada en tejido de punto 100% poliéster texturizado con suplemento en espuma calibre 4 mm, abullonado con lámina de espuma de polietileno en diferentes calibres y tela no tejida 100% poliéster que proporciona comodidad al zapato. OJALETES: Pasadores en reata naranja de alta calidad de 1 cm de ancho con cordonera plástica toger. No conductores de Electricidad. CONTRAFUERTE: Lámina en poliéster no tejido con adhesivo solvente que suministra alta protección al talón. PUNTERA: Puntera de composite resistentes al impacto y a la compresión. PLANTILLA: Interna: Lámina de Strobell calibre 2,5 mm. Externa: Elaborada en poliuretano (PU), preformada, anatómica con rebote en el talón para mayor confort. CINTA REFLECTIVA: La Reflectividad promedio es de 425 cd/lux/m2 en un ángulo de observación de o.20º y en ángulo de entrada de +5º SUELA: Bidensidad elaborada en poliuretano (PU/PU), inyectada directamente al corte, bicolor (Negro /Negro), antideslizante, impermeable, flexible, liviana, aislante térmica, formulada especialmente con excelente resistencia a los hidrocarburos y propiedades dieléctricas. Dureza parte externa piso (Compacto) 60 - 65 shore A. Dureza parte interna (Expanso) 45-55 shore
A. RESISTENCIA A LA ABRASIÓN DE LA SUELA: NORMA ASTM - D5963. RESISTENCIA A LA FLEXIÓN DE LA SUELA NORMA: ASTM D 1052. RESISTENCIA DE LA UNIÓN SUELA/CAPELLADA: NORMA: NTC 2038:1995. RESISTENCIA DIELÉCTRICA: NORMA: ASTM F 2412-18A y F 2413-18. RESISTENCIA DE LA PUNTERA AL IMPACTO Y LA COMPRESIÓN: NORMA: En 12568-2010. RESISTENCIA AL DESLIZAMIENTO NORMA: ASTM F2913.
PESO CALZADO (1 PIE): Max 560 gr  </t>
  </si>
  <si>
    <t>PULSIOXIMETRO
Uso Adulto
Medición: SPO2 - frecuencia cardiaca Rangos: SPO2 mínimo (35% a 100%) y ritmo cardiaco 30  -  250  BPM,  Resolución: SPO2 1%, ritmo cardiaco +/- 1BPM
Precisión: SPO2 +/- 2% (70 - 100%), ritmo
cardiaco 30 - 99: +/- 2BPM; 100-235 +/- 2%
Pantalla: OLED - Display Indicador en pantalla de barra de frecuencia y nivel de batería Batería: dos (2) baterías AAA  Dimensiones máximas: 58x32x37mm Incluye bolsa de transporte. Calibrado. El elemento debe contar con registro INVIMA</t>
  </si>
  <si>
    <t>TENSIÓMETRO DIGITAL: Debe alertar al usuario cuando detecta Error de Movimiento y su Guía de Ajuste de Brazalete avisa cuando no está colocado adecuadamente. Debe contar con un Brazalete Universal que se ajuste fácil y cómodamente a brazos de 22 a 42 cm de circunferencia. El equipo debe contar con 1 Monitor de presión arterial,   1   Manual   de   instrucciones,   1
Brazalete universal (22 cm a 42 cm). 4 pilas
"AA" (Alcalinas). Calibrado. El elemento debe contar con registro INVIMA</t>
  </si>
  <si>
    <t>GUANTES DE PROTECCIÓN LARGOS EN MATERIAL NITRILO
- Equipo de protección individual, Confortables - Superficie lisa, con palma antideslizante, - Borde del puño enrollado o liso, - Longitud (cm) = entre 40 y 45 cm, - Las tallas y tamaños según requerimientos solicitados deben obedecer	a		estándares internacionales o sus equivalentes nacionales, Materia prima: carboxilato acrilonitrilo, o butadieno, ausencia de agentes químicos al final del proceso, - No irritante, Resistencia		química	y bacteriológica, Garantía mínima en almacenamiento  1  año, -Resistente
a la abrasión, -Presentación por  par y empaque individual por cada par,
Color verde. El elemento debe contar con registro INVIMA</t>
  </si>
  <si>
    <t>TAPABOCAS   KN95   y/o   N95 NO
REUTILIZABLE: 95% de eficiencia de filtración; 5 capas de filtración, Certificación NIOSH, FDA y CE, Visto bueno INVIMA, Presentación individual, Protección contra el polvo PM 2.5, Clip de nariz ajustable incrustado, Talla única para la mayoría de las personas, Pliegues expansivos para una cobertura completa desde la parte superior de la nariz hasta debajo de la barbilla, Apto para la protección de la salud personal, taller y laboratorio, industria manufacturera. De acuerdo
como lo maneja el fabricante. El elemento debe contar con registro INVIMA</t>
  </si>
  <si>
    <t>TAPABOCAS	QUIRÚRGICOS
DESECHABLES (caja por 50 unidades) Con elástico, pieza nasal ajustable al arco nasal, empaque individual. El elemento debe contar con registro INVIMA</t>
  </si>
  <si>
    <t>APÓSITO DE GASA ESTÉRIL NO TEJIDA PARA    CONTROL    DE  HEMORRAGIAS:
Compresa de gasa fraccionada de 10 centímetros por 10 centímetros envueltas en
papel creado.  El elemento debe contar con registro INVIMA</t>
  </si>
  <si>
    <t>CURAS (BANDITAS): Caja por 100
Unidades, Color piel, Cubierta microperforada para que respire la piel, Protección a la herida de la humedad. Adhesivo hipoalergénico de larga duración. Cojín (gasa) con gran capacidad de absorción de fluidos. Cojín (gasa) con malla protectora para que no se pegue a la herida. El elemento debe contar con registro INVIMA</t>
  </si>
  <si>
    <t>Solución salina - suero fisiológico 0,9% - En bolsa de 500 cc. El elemento debe contar con registro INVIMA</t>
  </si>
  <si>
    <t>YODOPOVIDONA espuma en
frasco con 120 ml en cada presentación. El elemento debe contar con registro INVIMA</t>
  </si>
  <si>
    <t>YODOPOVIDONA solución en frasco con 120 ml en cada presentación. El elemento debe contar con registro INVIMA</t>
  </si>
  <si>
    <t>OVEROL IGNIFUGO TIPO PILOTO: Tela: 100 % algodón (que ofrezca confort, que sea durable y resistente al fuego), resistente al fuego con certificado UL. Cremallera: resistente al fuego y dieléctrica con certificado UL. Reflectivo: propiedades ignífugas – 100% aramina, con certificado UL - 500 candelas/lux reflectividad. (bicolor de 2” y/o unicolor gris de 1”). Hilo: Debe resistir llama de temperatura superior a 371°C. Color rojo, cremallera central, manga larga lisa ajustable en los puños mediante cremalleras de 15 cm de longitud con abertura de 5 cm, manga izquierda con doble bolsillo, dos bolsillos de parche parte delantera de la camisa, resorte en la parte trasera, dos bolsillos de parche traseros, dos delanteros de parche con cremallera en la parte del pantalón, cremalleras laterales en las botas, cinta reflectiva en las piernas, brazos, espalda y pecho, en tela  de alta resistencia, refuerzo acolchado en hombros, codos y rodillas; con logo de la entidad bordados de color blanco. La cinta reflectiva debe ser de mínimo 500 candelas y un ancho de 2 pulgadas. Para el caso de tallas grandes la espalda debe contar con al menos 6 cm más de ancho. Con logos institucionales en los dos brazos, en la espalda y pecho de acuerdo a modelo que se entregue. Se entrega muestra suministrada por la ANM en calidad de préstamo. 
Se entregará muestra para verificar la forma del overol y los detalles que contiene.
Ver Anexo 3.</t>
  </si>
  <si>
    <t>GUANTES   DE  PROCEDIMIENTO
DE LATEX (Caja por 100 unidades) guantes de latex calibre 8 de diferentes,  en cajas por 100 unidades, alta resistencia a químicos, pinchazos al corte. Medidas       mínimas       largo     24
centímetros, color negro o azul. El elemento debe contar con registro INVIMA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</si>
</sst>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4" formatCode="_-&quot;$&quot;\ * #,##0.00_-;\-&quot;$&quot;\ * #,##0.00_-;_-&quot;$&quot;\ * &quot;-&quot;??_-;_-@_-"/>
    <numFmt numFmtId="164" formatCode="&quot;$&quot;#,##0.00;\-&quot;$&quot;#,##0.00"/>
    <numFmt numFmtId="165" formatCode="_-[$$-240A]\ * #,##0.00_-;\-[$$-240A]\ * #,##0.00_-;_-[$$-240A]\ * &quot;-&quot;??_-;_-@_-"/>
    <numFmt numFmtId="166" formatCode="_-&quot;$&quot;\ * #,##0.00_-;\-&quot;$&quot;\ * #,##0.00_-;_-&quot;$&quot;\ * &quot;-&quot;_-;_-@_-"/>
    <numFmt numFmtId="167" formatCode="#,##0_ ;\-#,##0\ "/>
    <numFmt numFmtId="168" formatCode="[$$-240A]\ #,##0"/>
    <numFmt numFmtId="169" formatCode="&quot;$&quot;#,##0.00"/>
    <numFmt numFmtId="170" formatCode="[$$-240A]\ #,##0.00;\-[$$-240A]\ #,##0.00"/>
    <numFmt numFmtId="171" formatCode="[$$-240A]\ #,##0.00"/>
    <numFmt numFmtId="172" formatCode="&quot;$&quot;\ #,##0"/>
  </numFmts>
  <fonts count="12" x14ac:knownFonts="1">
    <font>
      <sz val="11"/>
      <color theme="1"/>
      <name val="Calibri"/>
      <family val="2"/>
      <scheme val="minor"/>
    </font>
    <font>
      <sz val="10"/>
      <name val="Arial"/>
      <family val="2"/>
    </font>
    <font>
      <sz val="11"/>
      <color theme="1"/>
      <name val="Calibri"/>
      <family val="2"/>
      <scheme val="minor"/>
    </font>
    <font>
      <sz val="8"/>
      <color theme="1"/>
      <name val="Arial Narrow"/>
      <family val="2"/>
    </font>
    <font>
      <b/>
      <sz val="8"/>
      <color rgb="FF000000"/>
      <name val="Arial Narrow"/>
      <family val="2"/>
    </font>
    <font>
      <sz val="8"/>
      <name val="Arial Narrow"/>
      <family val="2"/>
    </font>
    <font>
      <b/>
      <sz val="12"/>
      <color theme="1"/>
      <name val="Arial Narrow"/>
      <family val="2"/>
    </font>
    <font>
      <sz val="8"/>
      <color rgb="FFFF0000"/>
      <name val="Arial Narrow"/>
      <family val="2"/>
    </font>
    <font>
      <b/>
      <sz val="13"/>
      <name val="Arial Narrow"/>
      <family val="2"/>
    </font>
    <font>
      <b/>
      <sz val="8"/>
      <name val="Arial Narrow"/>
      <family val="2"/>
    </font>
    <font>
      <u/>
      <sz val="11"/>
      <color theme="10"/>
      <name val="Calibri"/>
      <family val="2"/>
      <scheme val="minor"/>
    </font>
    <font>
      <b/>
      <sz val="8"/>
      <color theme="1"/>
      <name val="Arial Narrow"/>
      <family val="2"/>
    </font>
  </fonts>
  <fills count="8">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theme="5" tint="0.59999389629810485"/>
        <bgColor indexed="64"/>
      </patternFill>
    </fill>
    <fill>
      <patternFill patternType="solid">
        <fgColor rgb="FFFF0000"/>
        <bgColor indexed="64"/>
      </patternFill>
    </fill>
    <fill>
      <patternFill patternType="solid">
        <fgColor theme="7"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42" fontId="2" fillId="0" borderId="0" applyFont="0" applyFill="0" applyBorder="0" applyAlignment="0" applyProtection="0"/>
    <xf numFmtId="44" fontId="2" fillId="0" borderId="0" applyFont="0" applyFill="0" applyBorder="0" applyAlignment="0" applyProtection="0"/>
    <xf numFmtId="0" fontId="10" fillId="0" borderId="0" applyNumberFormat="0" applyFill="0" applyBorder="0" applyAlignment="0" applyProtection="0"/>
    <xf numFmtId="9" fontId="2" fillId="0" borderId="0" applyFont="0" applyFill="0" applyBorder="0" applyAlignment="0" applyProtection="0"/>
  </cellStyleXfs>
  <cellXfs count="115">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165" fontId="3" fillId="0" borderId="0" xfId="0" applyNumberFormat="1" applyFont="1" applyAlignment="1">
      <alignment vertical="center" wrapText="1"/>
    </xf>
    <xf numFmtId="42" fontId="3" fillId="0" borderId="0" xfId="2" applyFont="1" applyAlignment="1">
      <alignment vertical="center" wrapText="1"/>
    </xf>
    <xf numFmtId="166" fontId="3" fillId="0" borderId="0" xfId="0" applyNumberFormat="1" applyFont="1" applyAlignment="1">
      <alignment horizontal="center" vertical="center" wrapText="1"/>
    </xf>
    <xf numFmtId="0" fontId="3" fillId="4" borderId="0" xfId="0" applyFont="1" applyFill="1" applyAlignment="1">
      <alignment horizontal="center" vertical="center" wrapText="1"/>
    </xf>
    <xf numFmtId="165" fontId="7" fillId="0" borderId="0" xfId="0" applyNumberFormat="1" applyFont="1" applyAlignment="1">
      <alignment vertical="center" wrapText="1"/>
    </xf>
    <xf numFmtId="0" fontId="7" fillId="0" borderId="0" xfId="0" applyFont="1" applyAlignment="1">
      <alignment horizontal="center" vertical="center" wrapText="1"/>
    </xf>
    <xf numFmtId="42" fontId="9" fillId="2" borderId="1" xfId="2" applyFont="1" applyFill="1" applyBorder="1" applyAlignment="1">
      <alignment horizontal="center" vertical="center" wrapText="1"/>
    </xf>
    <xf numFmtId="42" fontId="9" fillId="2"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0" fontId="5" fillId="4" borderId="1"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1" xfId="0" applyFont="1" applyFill="1" applyBorder="1" applyAlignment="1">
      <alignment horizontal="justify" vertical="center" wrapText="1"/>
    </xf>
    <xf numFmtId="42" fontId="5" fillId="4" borderId="1" xfId="0" applyNumberFormat="1" applyFont="1" applyFill="1" applyBorder="1" applyAlignment="1">
      <alignment horizontal="center" vertical="center" wrapText="1"/>
    </xf>
    <xf numFmtId="42" fontId="5" fillId="4" borderId="1" xfId="0" applyNumberFormat="1" applyFont="1" applyFill="1" applyBorder="1" applyAlignment="1">
      <alignment vertical="center" wrapText="1"/>
    </xf>
    <xf numFmtId="0" fontId="3" fillId="4" borderId="0" xfId="0" applyFont="1" applyFill="1" applyAlignment="1">
      <alignment vertical="center" wrapText="1"/>
    </xf>
    <xf numFmtId="0" fontId="0" fillId="4" borderId="0" xfId="0" applyFill="1"/>
    <xf numFmtId="0" fontId="5" fillId="0" borderId="1" xfId="0" applyFont="1" applyBorder="1" applyAlignment="1">
      <alignment vertical="center" wrapText="1"/>
    </xf>
    <xf numFmtId="44" fontId="7" fillId="0" borderId="0" xfId="0" applyNumberFormat="1" applyFont="1" applyAlignment="1">
      <alignment horizontal="center" vertical="center" wrapText="1"/>
    </xf>
    <xf numFmtId="169" fontId="3" fillId="0" borderId="1" xfId="3" applyNumberFormat="1" applyFont="1" applyBorder="1" applyAlignment="1">
      <alignment horizontal="center" vertical="center" wrapText="1"/>
    </xf>
    <xf numFmtId="169" fontId="5" fillId="4" borderId="1" xfId="0" applyNumberFormat="1" applyFont="1" applyFill="1" applyBorder="1" applyAlignment="1">
      <alignment horizontal="center" vertical="center"/>
    </xf>
    <xf numFmtId="169" fontId="5" fillId="4" borderId="1" xfId="3" applyNumberFormat="1" applyFont="1" applyFill="1" applyBorder="1" applyAlignment="1">
      <alignment horizontal="center" vertical="center" wrapText="1"/>
    </xf>
    <xf numFmtId="169" fontId="5" fillId="5" borderId="1" xfId="3" applyNumberFormat="1" applyFont="1" applyFill="1" applyBorder="1" applyAlignment="1">
      <alignment horizontal="center" vertical="center" wrapText="1"/>
    </xf>
    <xf numFmtId="166" fontId="3" fillId="0" borderId="0" xfId="0" applyNumberFormat="1" applyFont="1" applyAlignment="1">
      <alignment vertical="center" wrapText="1"/>
    </xf>
    <xf numFmtId="166" fontId="5" fillId="5" borderId="1" xfId="3" applyNumberFormat="1" applyFont="1" applyFill="1" applyBorder="1" applyAlignment="1">
      <alignment horizontal="center" vertical="center" wrapText="1"/>
    </xf>
    <xf numFmtId="170" fontId="5" fillId="4" borderId="1" xfId="3" applyNumberFormat="1" applyFont="1" applyFill="1" applyBorder="1" applyAlignment="1">
      <alignment horizontal="center" vertical="center" wrapText="1"/>
    </xf>
    <xf numFmtId="170" fontId="5" fillId="5" borderId="1" xfId="3" applyNumberFormat="1" applyFont="1" applyFill="1" applyBorder="1" applyAlignment="1">
      <alignment horizontal="center" vertical="center" wrapText="1"/>
    </xf>
    <xf numFmtId="0" fontId="5" fillId="4" borderId="1" xfId="3" applyNumberFormat="1" applyFont="1" applyFill="1" applyBorder="1" applyAlignment="1">
      <alignment horizontal="center" vertical="center" wrapText="1"/>
    </xf>
    <xf numFmtId="171" fontId="5" fillId="4" borderId="1" xfId="0" applyNumberFormat="1" applyFont="1" applyFill="1" applyBorder="1" applyAlignment="1">
      <alignment vertical="center" wrapText="1"/>
    </xf>
    <xf numFmtId="164" fontId="3" fillId="4" borderId="1" xfId="3" applyNumberFormat="1" applyFont="1" applyFill="1" applyBorder="1" applyAlignment="1">
      <alignment horizontal="center" vertical="center" wrapText="1"/>
    </xf>
    <xf numFmtId="0" fontId="3" fillId="4" borderId="1" xfId="3"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42" fontId="3" fillId="4" borderId="1" xfId="0" applyNumberFormat="1" applyFont="1" applyFill="1" applyBorder="1" applyAlignment="1">
      <alignment horizontal="center" vertical="center" wrapText="1"/>
    </xf>
    <xf numFmtId="2" fontId="3" fillId="4" borderId="1" xfId="3" applyNumberFormat="1" applyFont="1" applyFill="1" applyBorder="1" applyAlignment="1">
      <alignment horizontal="center" vertical="center" wrapText="1"/>
    </xf>
    <xf numFmtId="164" fontId="0" fillId="4" borderId="1" xfId="0" applyNumberFormat="1" applyFill="1" applyBorder="1" applyAlignment="1">
      <alignment horizontal="center" vertical="center"/>
    </xf>
    <xf numFmtId="0" fontId="4" fillId="4" borderId="1" xfId="0" applyFont="1" applyFill="1" applyBorder="1" applyAlignment="1">
      <alignment horizontal="center" vertical="center" wrapText="1"/>
    </xf>
    <xf numFmtId="168" fontId="4" fillId="4" borderId="1" xfId="2" applyNumberFormat="1" applyFont="1" applyFill="1" applyBorder="1" applyAlignment="1">
      <alignment vertical="center" wrapText="1"/>
    </xf>
    <xf numFmtId="0" fontId="0" fillId="4" borderId="1" xfId="0" applyFill="1" applyBorder="1"/>
    <xf numFmtId="168" fontId="0" fillId="4" borderId="0" xfId="0" applyNumberFormat="1" applyFill="1"/>
    <xf numFmtId="9" fontId="3" fillId="0" borderId="1" xfId="5" applyFont="1" applyBorder="1" applyAlignment="1">
      <alignment horizontal="center" vertical="center" wrapText="1"/>
    </xf>
    <xf numFmtId="9" fontId="5" fillId="5" borderId="1" xfId="5" applyFont="1" applyFill="1" applyBorder="1" applyAlignment="1">
      <alignment horizontal="center" vertical="center" wrapText="1"/>
    </xf>
    <xf numFmtId="9" fontId="3" fillId="4" borderId="1" xfId="5" applyFont="1" applyFill="1" applyBorder="1" applyAlignment="1">
      <alignment horizontal="center" vertical="center" wrapText="1"/>
    </xf>
    <xf numFmtId="44" fontId="3" fillId="4" borderId="1" xfId="3" applyFont="1" applyFill="1" applyBorder="1" applyAlignment="1">
      <alignment horizontal="center" vertical="center" wrapText="1"/>
    </xf>
    <xf numFmtId="0" fontId="10" fillId="4" borderId="1" xfId="4" applyNumberFormat="1" applyFill="1" applyBorder="1" applyAlignment="1">
      <alignment horizontal="center" vertical="center" wrapText="1"/>
    </xf>
    <xf numFmtId="44" fontId="5" fillId="4" borderId="1" xfId="3" applyFont="1" applyFill="1" applyBorder="1" applyAlignment="1">
      <alignment horizontal="center" vertical="center" wrapText="1"/>
    </xf>
    <xf numFmtId="44" fontId="10" fillId="4" borderId="1" xfId="4" applyNumberFormat="1" applyFill="1" applyBorder="1" applyAlignment="1">
      <alignment horizontal="center" vertical="center" wrapText="1"/>
    </xf>
    <xf numFmtId="0" fontId="0" fillId="4" borderId="1" xfId="0" applyFill="1" applyBorder="1" applyAlignment="1">
      <alignment horizontal="center" wrapText="1"/>
    </xf>
    <xf numFmtId="42" fontId="5" fillId="0" borderId="1" xfId="0" applyNumberFormat="1" applyFont="1" applyBorder="1" applyAlignment="1">
      <alignment horizontal="center" vertical="center" wrapText="1"/>
    </xf>
    <xf numFmtId="42" fontId="3" fillId="0" borderId="1" xfId="0" applyNumberFormat="1" applyFont="1" applyBorder="1" applyAlignment="1">
      <alignment horizontal="center" vertical="center" wrapText="1"/>
    </xf>
    <xf numFmtId="0" fontId="9" fillId="4" borderId="1" xfId="0" applyFont="1" applyFill="1" applyBorder="1" applyAlignment="1">
      <alignment horizontal="center" vertical="center" wrapText="1"/>
    </xf>
    <xf numFmtId="42" fontId="11" fillId="2" borderId="1" xfId="0" applyNumberFormat="1" applyFont="1" applyFill="1" applyBorder="1" applyAlignment="1">
      <alignment vertical="center" wrapText="1"/>
    </xf>
    <xf numFmtId="170" fontId="5" fillId="7" borderId="1" xfId="3" applyNumberFormat="1" applyFont="1" applyFill="1" applyBorder="1" applyAlignment="1">
      <alignment horizontal="center" vertical="center" wrapText="1"/>
    </xf>
    <xf numFmtId="9" fontId="5" fillId="7" borderId="1" xfId="5" applyFont="1" applyFill="1" applyBorder="1" applyAlignment="1">
      <alignment horizontal="center" vertical="center" wrapText="1"/>
    </xf>
    <xf numFmtId="169" fontId="5" fillId="7" borderId="1" xfId="3" applyNumberFormat="1" applyFont="1" applyFill="1" applyBorder="1" applyAlignment="1">
      <alignment horizontal="center" vertical="center" wrapText="1"/>
    </xf>
    <xf numFmtId="9" fontId="5" fillId="7" borderId="1" xfId="3" applyNumberFormat="1" applyFont="1" applyFill="1" applyBorder="1" applyAlignment="1">
      <alignment horizontal="center" vertical="center" wrapText="1"/>
    </xf>
    <xf numFmtId="171" fontId="5" fillId="7" borderId="1" xfId="0" applyNumberFormat="1" applyFont="1" applyFill="1" applyBorder="1" applyAlignment="1">
      <alignment horizontal="center" vertical="center" wrapText="1"/>
    </xf>
    <xf numFmtId="169" fontId="5" fillId="6" borderId="1" xfId="3" applyNumberFormat="1" applyFont="1" applyFill="1" applyBorder="1" applyAlignment="1">
      <alignment horizontal="center" vertical="center" wrapText="1"/>
    </xf>
    <xf numFmtId="169" fontId="3" fillId="6" borderId="1" xfId="3" applyNumberFormat="1" applyFont="1" applyFill="1" applyBorder="1" applyAlignment="1">
      <alignment horizontal="center" vertical="center" wrapText="1"/>
    </xf>
    <xf numFmtId="9" fontId="3" fillId="6" borderId="1" xfId="5" applyFont="1" applyFill="1" applyBorder="1" applyAlignment="1">
      <alignment horizontal="center" vertical="center" wrapText="1"/>
    </xf>
    <xf numFmtId="166" fontId="5" fillId="6" borderId="1" xfId="3" applyNumberFormat="1" applyFont="1" applyFill="1" applyBorder="1" applyAlignment="1">
      <alignment horizontal="center" vertical="center" wrapText="1"/>
    </xf>
    <xf numFmtId="169" fontId="5" fillId="6" borderId="0" xfId="0" applyNumberFormat="1" applyFont="1" applyFill="1" applyAlignment="1">
      <alignment horizontal="center" vertical="center"/>
    </xf>
    <xf numFmtId="169" fontId="5" fillId="6" borderId="1" xfId="0" applyNumberFormat="1" applyFont="1" applyFill="1" applyBorder="1" applyAlignment="1">
      <alignment horizontal="center" vertical="center"/>
    </xf>
    <xf numFmtId="0" fontId="10" fillId="4" borderId="1" xfId="4" applyFill="1" applyBorder="1" applyAlignment="1">
      <alignment horizontal="center" vertical="center" wrapText="1"/>
    </xf>
    <xf numFmtId="170" fontId="5" fillId="6" borderId="1" xfId="3" applyNumberFormat="1" applyFont="1" applyFill="1" applyBorder="1" applyAlignment="1">
      <alignment horizontal="center" vertical="center" wrapText="1"/>
    </xf>
    <xf numFmtId="9" fontId="10" fillId="7" borderId="1" xfId="5" applyFont="1" applyFill="1" applyBorder="1" applyAlignment="1">
      <alignment horizontal="center" vertical="center" wrapText="1"/>
    </xf>
    <xf numFmtId="9" fontId="0" fillId="4" borderId="0" xfId="5" applyFont="1" applyFill="1"/>
    <xf numFmtId="164" fontId="3" fillId="6" borderId="1" xfId="3" applyNumberFormat="1" applyFont="1" applyFill="1" applyBorder="1" applyAlignment="1">
      <alignment horizontal="center" vertical="center" wrapText="1"/>
    </xf>
    <xf numFmtId="42" fontId="9" fillId="2" borderId="1" xfId="0" applyNumberFormat="1" applyFont="1" applyFill="1" applyBorder="1" applyAlignment="1">
      <alignment vertical="center" wrapText="1"/>
    </xf>
    <xf numFmtId="166" fontId="9" fillId="2" borderId="1" xfId="0" applyNumberFormat="1" applyFont="1" applyFill="1" applyBorder="1" applyAlignment="1">
      <alignment vertical="center" wrapText="1"/>
    </xf>
    <xf numFmtId="170" fontId="5" fillId="0" borderId="1" xfId="0" applyNumberFormat="1" applyFont="1" applyBorder="1" applyAlignment="1">
      <alignment horizontal="center" vertical="center" wrapText="1"/>
    </xf>
    <xf numFmtId="169" fontId="3" fillId="4" borderId="1" xfId="5" applyNumberFormat="1" applyFont="1" applyFill="1" applyBorder="1" applyAlignment="1">
      <alignment horizontal="center" vertical="center" wrapText="1"/>
    </xf>
    <xf numFmtId="9" fontId="3" fillId="2" borderId="1" xfId="5" applyFont="1" applyFill="1" applyBorder="1" applyAlignment="1">
      <alignment horizontal="center" vertical="center" wrapText="1"/>
    </xf>
    <xf numFmtId="164" fontId="3" fillId="2" borderId="1" xfId="3" applyNumberFormat="1" applyFont="1" applyFill="1" applyBorder="1" applyAlignment="1">
      <alignment horizontal="center" vertical="center" wrapText="1"/>
    </xf>
    <xf numFmtId="170" fontId="5" fillId="0" borderId="1" xfId="3" applyNumberFormat="1" applyFont="1" applyFill="1" applyBorder="1" applyAlignment="1">
      <alignment horizontal="center" vertical="center" wrapText="1"/>
    </xf>
    <xf numFmtId="9" fontId="3" fillId="0" borderId="1" xfId="5" applyFont="1" applyFill="1" applyBorder="1" applyAlignment="1">
      <alignment horizontal="center" vertical="center" wrapText="1"/>
    </xf>
    <xf numFmtId="164" fontId="3" fillId="0" borderId="1" xfId="3" applyNumberFormat="1" applyFont="1" applyFill="1" applyBorder="1" applyAlignment="1">
      <alignment horizontal="center" vertical="center" wrapText="1"/>
    </xf>
    <xf numFmtId="9" fontId="5" fillId="0" borderId="1" xfId="5" applyFont="1" applyFill="1" applyBorder="1" applyAlignment="1">
      <alignment horizontal="center" vertical="center" wrapText="1"/>
    </xf>
    <xf numFmtId="44" fontId="3" fillId="0" borderId="1" xfId="0" applyNumberFormat="1" applyFont="1" applyBorder="1" applyAlignment="1">
      <alignment horizontal="center" vertical="center" wrapText="1"/>
    </xf>
    <xf numFmtId="170" fontId="3" fillId="4" borderId="1" xfId="0" applyNumberFormat="1" applyFont="1" applyFill="1" applyBorder="1" applyAlignment="1">
      <alignment horizontal="center" vertical="center" wrapText="1"/>
    </xf>
    <xf numFmtId="169" fontId="3" fillId="4" borderId="1" xfId="3" applyNumberFormat="1" applyFont="1" applyFill="1" applyBorder="1" applyAlignment="1">
      <alignment horizontal="center" vertical="center" wrapText="1"/>
    </xf>
    <xf numFmtId="170" fontId="5" fillId="6" borderId="1" xfId="0" applyNumberFormat="1" applyFont="1" applyFill="1" applyBorder="1" applyAlignment="1">
      <alignment horizontal="center" vertical="center" wrapText="1"/>
    </xf>
    <xf numFmtId="9" fontId="5" fillId="6" borderId="1" xfId="5" applyFont="1" applyFill="1" applyBorder="1" applyAlignment="1">
      <alignment horizontal="center" vertical="center" wrapText="1"/>
    </xf>
    <xf numFmtId="44" fontId="3" fillId="3" borderId="1" xfId="0" applyNumberFormat="1" applyFont="1" applyFill="1" applyBorder="1" applyAlignment="1">
      <alignment horizontal="center" vertical="center" wrapText="1"/>
    </xf>
    <xf numFmtId="44" fontId="5" fillId="3" borderId="1" xfId="3" applyFont="1" applyFill="1" applyBorder="1" applyAlignment="1">
      <alignment horizontal="center" vertical="center" wrapText="1"/>
    </xf>
    <xf numFmtId="172" fontId="3" fillId="4" borderId="1" xfId="3" applyNumberFormat="1" applyFont="1" applyFill="1" applyBorder="1" applyAlignment="1">
      <alignment horizontal="center" vertical="center" wrapText="1"/>
    </xf>
    <xf numFmtId="172" fontId="4" fillId="4" borderId="1" xfId="0" applyNumberFormat="1" applyFont="1" applyFill="1" applyBorder="1" applyAlignment="1">
      <alignment horizontal="center" vertical="center" wrapText="1"/>
    </xf>
    <xf numFmtId="172" fontId="0" fillId="4" borderId="0" xfId="0" applyNumberFormat="1" applyFill="1"/>
    <xf numFmtId="44" fontId="3" fillId="3" borderId="1" xfId="3" applyFont="1" applyFill="1" applyBorder="1" applyAlignment="1">
      <alignment horizontal="center" vertical="center" wrapText="1"/>
    </xf>
    <xf numFmtId="171" fontId="3" fillId="0" borderId="0" xfId="0" applyNumberFormat="1" applyFont="1" applyAlignment="1">
      <alignment vertical="center" wrapText="1"/>
    </xf>
    <xf numFmtId="42" fontId="11" fillId="2" borderId="1" xfId="0" applyNumberFormat="1" applyFont="1" applyFill="1" applyBorder="1" applyAlignment="1">
      <alignment horizontal="center" vertical="center" wrapText="1"/>
    </xf>
    <xf numFmtId="167" fontId="5" fillId="0" borderId="1" xfId="3"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42" fontId="8" fillId="2" borderId="1" xfId="0" applyNumberFormat="1" applyFont="1" applyFill="1" applyBorder="1" applyAlignment="1">
      <alignment horizontal="center" vertical="center" wrapText="1"/>
    </xf>
    <xf numFmtId="42" fontId="9" fillId="2" borderId="1" xfId="0" applyNumberFormat="1" applyFont="1" applyFill="1" applyBorder="1" applyAlignment="1">
      <alignment horizontal="center" vertical="center" wrapText="1"/>
    </xf>
    <xf numFmtId="166" fontId="9" fillId="2" borderId="1" xfId="0" applyNumberFormat="1" applyFont="1" applyFill="1" applyBorder="1" applyAlignment="1">
      <alignment horizontal="center" vertical="center" wrapText="1"/>
    </xf>
    <xf numFmtId="42" fontId="9" fillId="2" borderId="2" xfId="0" applyNumberFormat="1" applyFont="1" applyFill="1" applyBorder="1" applyAlignment="1">
      <alignment horizontal="center" vertical="center" wrapText="1"/>
    </xf>
    <xf numFmtId="42" fontId="9" fillId="2" borderId="3"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42" fontId="9" fillId="2" borderId="1" xfId="0" applyNumberFormat="1"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42" fontId="9" fillId="2" borderId="6" xfId="0" applyNumberFormat="1" applyFont="1" applyFill="1" applyBorder="1" applyAlignment="1">
      <alignment horizontal="center" vertical="center" wrapText="1"/>
    </xf>
    <xf numFmtId="42" fontId="9" fillId="2" borderId="5" xfId="0" applyNumberFormat="1" applyFont="1" applyFill="1" applyBorder="1" applyAlignment="1">
      <alignment horizontal="center" vertical="center" wrapText="1"/>
    </xf>
    <xf numFmtId="42" fontId="9" fillId="2" borderId="4" xfId="0" applyNumberFormat="1" applyFont="1" applyFill="1" applyBorder="1" applyAlignment="1">
      <alignment horizontal="center" vertical="center" wrapText="1"/>
    </xf>
    <xf numFmtId="42" fontId="6" fillId="4" borderId="1" xfId="0" applyNumberFormat="1" applyFont="1" applyFill="1" applyBorder="1" applyAlignment="1">
      <alignment horizontal="center" vertical="center" wrapText="1"/>
    </xf>
    <xf numFmtId="172" fontId="9" fillId="2" borderId="1" xfId="0" applyNumberFormat="1" applyFont="1" applyFill="1" applyBorder="1" applyAlignment="1">
      <alignment horizontal="center" vertical="center" wrapText="1"/>
    </xf>
    <xf numFmtId="9" fontId="9" fillId="2" borderId="1" xfId="5" applyFont="1" applyFill="1" applyBorder="1" applyAlignment="1">
      <alignment horizontal="center" vertical="center" wrapText="1"/>
    </xf>
  </cellXfs>
  <cellStyles count="6">
    <cellStyle name="Hipervínculo" xfId="4" builtinId="8"/>
    <cellStyle name="Moneda" xfId="3" builtinId="4"/>
    <cellStyle name="Moneda [0]" xfId="2" builtinId="7"/>
    <cellStyle name="Normal" xfId="0" builtinId="0"/>
    <cellStyle name="Normal 2" xfId="1" xr:uid="{00000000-0005-0000-0000-000001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homecenter.com.co/homecenter-co/product/35566/cinta-multiseal-bituminosa-autoadhesiva-impermeabilizante-10-12mm-10cmx10m-sika/35566/" TargetMode="External"/><Relationship Id="rId3" Type="http://schemas.openxmlformats.org/officeDocument/2006/relationships/hyperlink" Target="https://fullmineria.com/producto/cinturon-minero-msa-conexion-seguridad/?srsltid=AfmBOooS_JmWBDKSYkmby7kfkl7lwfjRLHqtknnMdBXhXyI0AGHWG1ZS" TargetMode="External"/><Relationship Id="rId7" Type="http://schemas.openxmlformats.org/officeDocument/2006/relationships/hyperlink" Target="https://www.homecenter.com.co/homecenter-co/product/65082/cinta-aislante-super33-19mm-x-20mt/65082/" TargetMode="External"/><Relationship Id="rId2" Type="http://schemas.openxmlformats.org/officeDocument/2006/relationships/hyperlink" Target="https://www.camillasindumasas.com/product-page/maleta-para-botiqu%C3%ADn-tipo-c?srsltid=AfmBOoql8cgDKJuDP1-KO6VLPMY7Wq1_STaTGDic-b0xPuUlCexJu-aq" TargetMode="External"/><Relationship Id="rId1" Type="http://schemas.openxmlformats.org/officeDocument/2006/relationships/hyperlink" Target="https://healthcompany.co/producto/pulsioximetro-home-life-fs10c/?srsltid=AfmBOop1KDhSm3tcxxM4VfpH5aVFxnZ7nnoXUM1ggYdGjVUskT6q1Swv" TargetMode="External"/><Relationship Id="rId6" Type="http://schemas.openxmlformats.org/officeDocument/2006/relationships/hyperlink" Target="https://www.easy.com.co/cinta-empaque-cp-40mx48mm-transparente/p?idsku=1295008&amp;srsltid=AfmBOoqh9mR95K9g--k96ODrazxqHseY-2_y59Mi6L8cPZSOBf3X1dhdozs" TargetMode="External"/><Relationship Id="rId5" Type="http://schemas.openxmlformats.org/officeDocument/2006/relationships/hyperlink" Target="https://www.panamericana.com.co/cinta-adhesiva-de-enmascarar-beige-tesa-ref-60349-26276/p?idsku=26276" TargetMode="External"/><Relationship Id="rId4" Type="http://schemas.openxmlformats.org/officeDocument/2006/relationships/hyperlink" Target="https://www.siroko.com/es/p/pasamontanas-hail-black-negro?country=CO&amp;language=es&amp;variant=618f211b-748b-4561-9c67-4fbb5cbfe797&amp;cur=COP&amp;img=feed_lifestyle_03_image&amp;srsltid=AfmBOopGQfW43_yk9NMZ4LCmxbn4DVd1bAUfwy2PHYgbhpBuwSurX9ggn5Q"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homecenter.com.co/homecenter-co/product/326013/jabon-liquido-antibacterial-quirurgico-x-1000-ml/326013/" TargetMode="External"/><Relationship Id="rId3" Type="http://schemas.openxmlformats.org/officeDocument/2006/relationships/hyperlink" Target="https://www.mercadolibre.com.co/cepillo-de-dientes-colgate-cepillos-dentales-cepillo-adulto-value-medio/p/MCO22230562" TargetMode="External"/><Relationship Id="rId7" Type="http://schemas.openxmlformats.org/officeDocument/2006/relationships/hyperlink" Target="https://www.locatelcolombia.com/7702027047961-toallas-humedas-para-adulto-3-en-1-x-40und/p?idsku=4160" TargetMode="External"/><Relationship Id="rId2" Type="http://schemas.openxmlformats.org/officeDocument/2006/relationships/hyperlink" Target="https://www.mercadolibre.com.co/-tubo-de-guedel-para-primeros-auxilios-8-piezas/p/MCO2009947012?matt_tool=19390127&amp;utm_source=google_shopping&amp;utm_medium=organic&amp;pdp_filters=item_id:MCO2826224566&amp;from=gshop" TargetMode="External"/><Relationship Id="rId1" Type="http://schemas.openxmlformats.org/officeDocument/2006/relationships/hyperlink" Target="https://articulo.mercadolibre.com.co/MCO-583376059-protector-auditivo-3m-1100-espuma-caja-x-200-pares-_JM?searchVariation=64324957297" TargetMode="External"/><Relationship Id="rId6" Type="http://schemas.openxmlformats.org/officeDocument/2006/relationships/hyperlink" Target="https://www.jumbocolombia.com/jabon-antibacterial-protex-nutri-protect-macadamia-barra-110-grs-x6-und/p?idsku=97877&amp;srsltid=AfmBOorXgVPKSJTbWYtwInpvbB8ZqtUN0cNv2BGSBQp5elSJRGEDZvvzub0" TargetMode="External"/><Relationship Id="rId5" Type="http://schemas.openxmlformats.org/officeDocument/2006/relationships/hyperlink" Target="https://www.mercadolibre.com.co/canula-nasofaringea-descartable/p/MCO2002223471?matt_tool=19390127&amp;utm_source=google_shopping&amp;utm_medium=organic&amp;pdp_filters=item_id%3AMCO2694074554&amp;from=gshop" TargetMode="External"/><Relationship Id="rId10" Type="http://schemas.openxmlformats.org/officeDocument/2006/relationships/printerSettings" Target="../printerSettings/printerSettings2.bin"/><Relationship Id="rId4" Type="http://schemas.openxmlformats.org/officeDocument/2006/relationships/hyperlink" Target="https://articulo.mercadolibre.com.co/MCO-625430796-pila-bateria-123-litio-energizer-_JM?filter=MODEL" TargetMode="External"/><Relationship Id="rId9" Type="http://schemas.openxmlformats.org/officeDocument/2006/relationships/hyperlink" Target="https://mercadomadrid.com.co/cuidado-oral/1469-crema-dental-colgate-taccionx100-gramos-7509550000000.html?srsltid=AfmBOoo98Dxod6BUo_CcxRiPGINHzWygKAmMWsZbzIXridHLi8QnMzfg2V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80019-94F0-40E3-95CF-5BE00D67D1A8}">
  <dimension ref="A1:AT42"/>
  <sheetViews>
    <sheetView topLeftCell="A27" zoomScaleNormal="100" workbookViewId="0">
      <selection activeCell="D27" sqref="D27"/>
    </sheetView>
  </sheetViews>
  <sheetFormatPr baseColWidth="10" defaultColWidth="6.28515625" defaultRowHeight="12.75" outlineLevelCol="2" x14ac:dyDescent="0.25"/>
  <cols>
    <col min="1" max="1" width="1.140625" style="1" customWidth="1"/>
    <col min="2" max="2" width="4.5703125" style="2" customWidth="1"/>
    <col min="3" max="3" width="25.5703125" style="2" customWidth="1"/>
    <col min="4" max="4" width="58.85546875" style="2" customWidth="1"/>
    <col min="5" max="5" width="10.42578125" style="2" customWidth="1"/>
    <col min="6" max="6" width="6.85546875" style="2" customWidth="1"/>
    <col min="7" max="7" width="12.140625" style="5" customWidth="1"/>
    <col min="8" max="9" width="10.5703125" style="4" customWidth="1" outlineLevel="1"/>
    <col min="10" max="10" width="11.5703125" style="8" customWidth="1" outlineLevel="1"/>
    <col min="11" max="11" width="14.28515625" style="27" customWidth="1"/>
    <col min="12" max="13" width="13.42578125" style="6" customWidth="1" outlineLevel="1"/>
    <col min="14" max="14" width="15.42578125" style="6" customWidth="1" outlineLevel="1"/>
    <col min="15" max="15" width="12.42578125" style="2" customWidth="1"/>
    <col min="16" max="17" width="16.5703125" style="2" customWidth="1" outlineLevel="1"/>
    <col min="18" max="18" width="12.28515625" style="9" customWidth="1" outlineLevel="1"/>
    <col min="19" max="19" width="14.85546875" style="7" customWidth="1"/>
    <col min="20" max="21" width="11.5703125" style="2" customWidth="1" outlineLevel="1"/>
    <col min="22" max="22" width="17" style="9" customWidth="1" outlineLevel="1"/>
    <col min="23" max="25" width="21.5703125" style="9" customWidth="1" outlineLevel="1"/>
    <col min="26" max="26" width="16.7109375" style="9" customWidth="1" outlineLevel="1"/>
    <col min="27" max="27" width="19.42578125" style="9" customWidth="1"/>
    <col min="28" max="30" width="13.7109375" style="7" customWidth="1"/>
    <col min="31" max="31" width="9.85546875" style="7" customWidth="1"/>
    <col min="32" max="32" width="9.85546875" style="7" customWidth="1" outlineLevel="2"/>
    <col min="33" max="34" width="13.5703125" style="7" customWidth="1" outlineLevel="2"/>
    <col min="35" max="36" width="15.140625" style="6" customWidth="1"/>
    <col min="37" max="37" width="11.140625" style="19" customWidth="1"/>
    <col min="38" max="39" width="11.140625" style="19" customWidth="1" outlineLevel="1"/>
    <col min="40" max="40" width="16" style="1" customWidth="1" outlineLevel="1"/>
    <col min="41" max="41" width="9.85546875" style="1" customWidth="1" outlineLevel="1"/>
    <col min="42" max="42" width="15.28515625" style="1" customWidth="1" outlineLevel="1"/>
    <col min="43" max="43" width="1.7109375" style="1" customWidth="1"/>
    <col min="44" max="44" width="6.28515625" style="1"/>
    <col min="45" max="45" width="9.140625" style="1" bestFit="1" customWidth="1"/>
    <col min="46" max="46" width="10.7109375" style="1" customWidth="1"/>
    <col min="47" max="16384" width="6.28515625" style="1"/>
  </cols>
  <sheetData>
    <row r="1" spans="2:46" x14ac:dyDescent="0.25">
      <c r="W1" s="22"/>
      <c r="X1" s="22"/>
      <c r="Y1" s="22"/>
      <c r="Z1" s="22"/>
      <c r="AA1" s="22"/>
    </row>
    <row r="2" spans="2:46" ht="28.5" customHeight="1" x14ac:dyDescent="0.25">
      <c r="B2" s="100" t="s">
        <v>20</v>
      </c>
      <c r="C2" s="100"/>
      <c r="D2" s="100"/>
      <c r="E2" s="100"/>
      <c r="F2" s="100"/>
      <c r="G2" s="100"/>
      <c r="H2" s="100"/>
      <c r="I2" s="100"/>
      <c r="J2" s="100"/>
      <c r="K2" s="100"/>
      <c r="L2" s="100"/>
      <c r="M2" s="100"/>
      <c r="N2" s="100"/>
      <c r="O2" s="100"/>
      <c r="P2" s="100"/>
      <c r="Q2" s="100"/>
      <c r="R2" s="100"/>
      <c r="S2" s="100"/>
      <c r="T2" s="100"/>
      <c r="U2" s="100"/>
      <c r="V2" s="100"/>
      <c r="W2" s="100"/>
      <c r="X2" s="100"/>
      <c r="Y2" s="100"/>
      <c r="Z2" s="100"/>
      <c r="AA2" s="100"/>
      <c r="AB2" s="100"/>
      <c r="AC2" s="100"/>
      <c r="AD2" s="100"/>
      <c r="AE2" s="100"/>
      <c r="AF2" s="100"/>
      <c r="AG2" s="100"/>
      <c r="AH2" s="100"/>
      <c r="AI2" s="100"/>
      <c r="AJ2" s="100"/>
      <c r="AK2" s="100"/>
      <c r="AL2" s="100"/>
      <c r="AM2" s="100"/>
      <c r="AN2" s="100"/>
      <c r="AO2" s="100"/>
    </row>
    <row r="3" spans="2:46" ht="57" customHeight="1" x14ac:dyDescent="0.25">
      <c r="B3" s="106" t="s">
        <v>12</v>
      </c>
      <c r="C3" s="101" t="s">
        <v>5</v>
      </c>
      <c r="D3" s="101" t="s">
        <v>122</v>
      </c>
      <c r="E3" s="101" t="s">
        <v>136</v>
      </c>
      <c r="F3" s="101" t="s">
        <v>14</v>
      </c>
      <c r="G3" s="101" t="s">
        <v>103</v>
      </c>
      <c r="H3" s="101"/>
      <c r="I3" s="101"/>
      <c r="J3" s="101"/>
      <c r="K3" s="102" t="s">
        <v>105</v>
      </c>
      <c r="L3" s="102"/>
      <c r="M3" s="102"/>
      <c r="N3" s="102"/>
      <c r="O3" s="101" t="s">
        <v>107</v>
      </c>
      <c r="P3" s="101"/>
      <c r="Q3" s="101"/>
      <c r="R3" s="101"/>
      <c r="S3" s="101" t="s">
        <v>108</v>
      </c>
      <c r="T3" s="101"/>
      <c r="U3" s="101"/>
      <c r="V3" s="101"/>
      <c r="W3" s="107" t="s">
        <v>208</v>
      </c>
      <c r="X3" s="107"/>
      <c r="Y3" s="107"/>
      <c r="Z3" s="107"/>
      <c r="AA3" s="107"/>
      <c r="AB3" s="101" t="s">
        <v>197</v>
      </c>
      <c r="AC3" s="103" t="s">
        <v>147</v>
      </c>
      <c r="AD3" s="101" t="s">
        <v>196</v>
      </c>
      <c r="AE3" s="101" t="s">
        <v>137</v>
      </c>
      <c r="AF3" s="101" t="s">
        <v>172</v>
      </c>
      <c r="AG3" s="103" t="s">
        <v>165</v>
      </c>
      <c r="AH3" s="103" t="s">
        <v>167</v>
      </c>
      <c r="AI3" s="103" t="s">
        <v>166</v>
      </c>
      <c r="AJ3" s="103" t="s">
        <v>168</v>
      </c>
      <c r="AK3" s="101" t="s">
        <v>109</v>
      </c>
      <c r="AL3" s="101" t="s">
        <v>169</v>
      </c>
      <c r="AM3" s="101" t="s">
        <v>207</v>
      </c>
      <c r="AN3" s="101" t="s">
        <v>16</v>
      </c>
      <c r="AO3" s="101" t="s">
        <v>110</v>
      </c>
      <c r="AP3" s="101" t="s">
        <v>144</v>
      </c>
    </row>
    <row r="4" spans="2:46" s="2" customFormat="1" ht="45" customHeight="1" x14ac:dyDescent="0.25">
      <c r="B4" s="106"/>
      <c r="C4" s="101"/>
      <c r="D4" s="101"/>
      <c r="E4" s="101"/>
      <c r="F4" s="101"/>
      <c r="G4" s="10" t="s">
        <v>170</v>
      </c>
      <c r="H4" s="11" t="s">
        <v>13</v>
      </c>
      <c r="I4" s="11" t="s">
        <v>117</v>
      </c>
      <c r="J4" s="11" t="s">
        <v>171</v>
      </c>
      <c r="K4" s="10" t="s">
        <v>170</v>
      </c>
      <c r="L4" s="11" t="s">
        <v>13</v>
      </c>
      <c r="M4" s="11" t="s">
        <v>117</v>
      </c>
      <c r="N4" s="11" t="s">
        <v>171</v>
      </c>
      <c r="O4" s="10" t="s">
        <v>170</v>
      </c>
      <c r="P4" s="11" t="s">
        <v>13</v>
      </c>
      <c r="Q4" s="11" t="s">
        <v>117</v>
      </c>
      <c r="R4" s="11" t="s">
        <v>171</v>
      </c>
      <c r="S4" s="10" t="s">
        <v>170</v>
      </c>
      <c r="T4" s="11" t="s">
        <v>13</v>
      </c>
      <c r="U4" s="11" t="s">
        <v>117</v>
      </c>
      <c r="V4" s="11" t="s">
        <v>171</v>
      </c>
      <c r="W4" s="54" t="s">
        <v>190</v>
      </c>
      <c r="X4" s="54" t="s">
        <v>191</v>
      </c>
      <c r="Y4" s="54" t="s">
        <v>113</v>
      </c>
      <c r="Z4" s="93" t="s">
        <v>164</v>
      </c>
      <c r="AA4" s="54" t="s">
        <v>203</v>
      </c>
      <c r="AB4" s="101"/>
      <c r="AC4" s="104"/>
      <c r="AD4" s="101"/>
      <c r="AE4" s="101"/>
      <c r="AF4" s="101"/>
      <c r="AG4" s="104"/>
      <c r="AH4" s="104"/>
      <c r="AI4" s="104"/>
      <c r="AJ4" s="104"/>
      <c r="AK4" s="101"/>
      <c r="AL4" s="101"/>
      <c r="AM4" s="101"/>
      <c r="AN4" s="101"/>
      <c r="AO4" s="101"/>
      <c r="AP4" s="101"/>
      <c r="AQ4" s="1"/>
    </row>
    <row r="5" spans="2:46" ht="70.5" customHeight="1" x14ac:dyDescent="0.25">
      <c r="B5" s="14">
        <v>1</v>
      </c>
      <c r="C5" s="15" t="s">
        <v>18</v>
      </c>
      <c r="D5" s="14" t="s">
        <v>36</v>
      </c>
      <c r="E5" s="17" t="s">
        <v>19</v>
      </c>
      <c r="F5" s="14">
        <v>1</v>
      </c>
      <c r="G5" s="64">
        <v>57621</v>
      </c>
      <c r="H5" s="61">
        <f t="shared" ref="H5:H13" si="0">ROUND(G5*0.19,0)</f>
        <v>10948</v>
      </c>
      <c r="I5" s="62">
        <v>0.19</v>
      </c>
      <c r="J5" s="65">
        <f>G5+H5</f>
        <v>68569</v>
      </c>
      <c r="K5" s="28"/>
      <c r="L5" s="28"/>
      <c r="M5" s="28"/>
      <c r="N5" s="28"/>
      <c r="O5" s="29">
        <f>ROUND(319327.73,0)</f>
        <v>319328</v>
      </c>
      <c r="P5" s="29">
        <f t="shared" ref="P5:P35" si="1">ROUND(O5*0.19,0)</f>
        <v>60672</v>
      </c>
      <c r="Q5" s="78">
        <v>0.19</v>
      </c>
      <c r="R5" s="29">
        <f t="shared" ref="R5:R30" si="2">ROUND(O5+P5,0)</f>
        <v>380000</v>
      </c>
      <c r="S5" s="29">
        <v>221960</v>
      </c>
      <c r="T5" s="29">
        <v>42172</v>
      </c>
      <c r="U5" s="78">
        <v>0.19</v>
      </c>
      <c r="V5" s="29">
        <v>264132</v>
      </c>
      <c r="W5" s="77">
        <f>+ROUND(246218.49,0)</f>
        <v>246218</v>
      </c>
      <c r="X5" s="73">
        <f>+(W5*19%)+W5</f>
        <v>292999.42</v>
      </c>
      <c r="Y5" s="77">
        <f>ROUND(X5*1.052,0)</f>
        <v>308235</v>
      </c>
      <c r="Z5" s="80">
        <v>0.19</v>
      </c>
      <c r="AA5" s="55">
        <f>ROUND(Y5/(1+Z5),0)</f>
        <v>259021</v>
      </c>
      <c r="AB5" s="35"/>
      <c r="AC5" s="48"/>
      <c r="AD5" s="31"/>
      <c r="AE5" s="31"/>
      <c r="AF5" s="58">
        <v>0.19</v>
      </c>
      <c r="AG5" s="57">
        <f>ROUND(AVERAGE(O5,S5,AA5),0)</f>
        <v>266770</v>
      </c>
      <c r="AH5" s="57">
        <f>ROUND(AG5*(1+AF5),0)</f>
        <v>317456</v>
      </c>
      <c r="AI5" s="57">
        <f>ROUND(GEOMEAN(O5,S5,AA5),0)</f>
        <v>263805</v>
      </c>
      <c r="AJ5" s="57">
        <f>ROUND(AI5*(1+AF5),0)</f>
        <v>313928</v>
      </c>
      <c r="AK5" s="94">
        <v>108</v>
      </c>
      <c r="AL5" s="55">
        <f>+AI5</f>
        <v>263805</v>
      </c>
      <c r="AM5" s="55">
        <f>+AJ5</f>
        <v>313928</v>
      </c>
      <c r="AN5" s="59">
        <f t="shared" ref="AN5:AN14" si="3">ROUND(AM5*AK5,0)</f>
        <v>33904224</v>
      </c>
      <c r="AO5" s="13" t="s">
        <v>111</v>
      </c>
      <c r="AP5" s="3" t="s">
        <v>145</v>
      </c>
    </row>
    <row r="6" spans="2:46" ht="114" customHeight="1" x14ac:dyDescent="0.25">
      <c r="B6" s="14">
        <v>2</v>
      </c>
      <c r="C6" s="17" t="s">
        <v>148</v>
      </c>
      <c r="D6" s="14" t="s">
        <v>209</v>
      </c>
      <c r="E6" s="17" t="s">
        <v>23</v>
      </c>
      <c r="F6" s="14">
        <v>1</v>
      </c>
      <c r="G6" s="60">
        <v>98532</v>
      </c>
      <c r="H6" s="61">
        <f t="shared" si="0"/>
        <v>18721</v>
      </c>
      <c r="I6" s="62">
        <v>0.19</v>
      </c>
      <c r="J6" s="65">
        <f t="shared" ref="J6:J13" si="4">G6+H6</f>
        <v>117253</v>
      </c>
      <c r="K6" s="28"/>
      <c r="L6" s="28"/>
      <c r="M6" s="28"/>
      <c r="N6" s="28"/>
      <c r="O6" s="29">
        <f>ROUND(235294.12,0)</f>
        <v>235294</v>
      </c>
      <c r="P6" s="29">
        <f t="shared" si="1"/>
        <v>44706</v>
      </c>
      <c r="Q6" s="78">
        <v>0.19</v>
      </c>
      <c r="R6" s="29">
        <f t="shared" si="2"/>
        <v>280000</v>
      </c>
      <c r="S6" s="29">
        <v>198430</v>
      </c>
      <c r="T6" s="29">
        <v>37702</v>
      </c>
      <c r="U6" s="78">
        <v>0.19</v>
      </c>
      <c r="V6" s="29">
        <v>236132</v>
      </c>
      <c r="W6" s="77">
        <f>+ROUND(184873.95,0)</f>
        <v>184874</v>
      </c>
      <c r="X6" s="73">
        <f t="shared" ref="X6:X32" si="5">ROUND(+(W6*19%)+W6,0)</f>
        <v>220000</v>
      </c>
      <c r="Y6" s="77">
        <f t="shared" ref="Y6:Y32" si="6">ROUND(X6*1.052,0)</f>
        <v>231440</v>
      </c>
      <c r="Z6" s="80">
        <v>0.19</v>
      </c>
      <c r="AA6" s="55">
        <f>ROUND(Y6/(1+Z6),0)</f>
        <v>194487</v>
      </c>
      <c r="AB6" s="35"/>
      <c r="AC6" s="48"/>
      <c r="AD6" s="31"/>
      <c r="AE6" s="31"/>
      <c r="AF6" s="58">
        <v>0.19</v>
      </c>
      <c r="AG6" s="57">
        <f>ROUND(AVERAGE(O6,S6,AA6),0)</f>
        <v>209404</v>
      </c>
      <c r="AH6" s="57">
        <f>ROUND(AG6*(1+AF6),0)</f>
        <v>249191</v>
      </c>
      <c r="AI6" s="57">
        <f>ROUND(GEOMEAN(O6,S6,AA6),0)</f>
        <v>208627</v>
      </c>
      <c r="AJ6" s="57">
        <f t="shared" ref="AJ6:AJ35" si="7">ROUND(AI6*(1+AF6),0)</f>
        <v>248266</v>
      </c>
      <c r="AK6" s="94">
        <v>108</v>
      </c>
      <c r="AL6" s="55">
        <f t="shared" ref="AL6:AL35" si="8">+AI6</f>
        <v>208627</v>
      </c>
      <c r="AM6" s="55">
        <f t="shared" ref="AM6:AM29" si="9">+AJ6</f>
        <v>248266</v>
      </c>
      <c r="AN6" s="59">
        <f t="shared" si="3"/>
        <v>26812728</v>
      </c>
      <c r="AO6" s="13" t="s">
        <v>111</v>
      </c>
      <c r="AP6" s="3" t="s">
        <v>145</v>
      </c>
    </row>
    <row r="7" spans="2:46" ht="70.5" customHeight="1" x14ac:dyDescent="0.25">
      <c r="B7" s="14">
        <v>3</v>
      </c>
      <c r="C7" s="17" t="s">
        <v>22</v>
      </c>
      <c r="D7" s="14" t="s">
        <v>173</v>
      </c>
      <c r="E7" s="17" t="s">
        <v>19</v>
      </c>
      <c r="F7" s="14">
        <v>1</v>
      </c>
      <c r="G7" s="25">
        <v>9408</v>
      </c>
      <c r="H7" s="23">
        <f t="shared" si="0"/>
        <v>1788</v>
      </c>
      <c r="I7" s="43">
        <v>0.19</v>
      </c>
      <c r="J7" s="24">
        <f t="shared" si="4"/>
        <v>11196</v>
      </c>
      <c r="K7" s="63">
        <v>244000</v>
      </c>
      <c r="L7" s="63">
        <f>K7*0.19</f>
        <v>46360</v>
      </c>
      <c r="M7" s="62">
        <v>0.19</v>
      </c>
      <c r="N7" s="63">
        <f>K7+L7</f>
        <v>290360</v>
      </c>
      <c r="O7" s="29">
        <f>ROUND(17647.06,0)</f>
        <v>17647</v>
      </c>
      <c r="P7" s="29">
        <f t="shared" si="1"/>
        <v>3353</v>
      </c>
      <c r="Q7" s="78">
        <v>0.19</v>
      </c>
      <c r="R7" s="29">
        <f t="shared" si="2"/>
        <v>21000</v>
      </c>
      <c r="S7" s="29">
        <v>17066</v>
      </c>
      <c r="T7" s="29">
        <v>3243</v>
      </c>
      <c r="U7" s="78">
        <v>0.19</v>
      </c>
      <c r="V7" s="29">
        <v>20309</v>
      </c>
      <c r="W7" s="77">
        <f>+ROUND(9411.76,0)</f>
        <v>9412</v>
      </c>
      <c r="X7" s="73">
        <f t="shared" si="5"/>
        <v>11200</v>
      </c>
      <c r="Y7" s="77">
        <f t="shared" si="6"/>
        <v>11782</v>
      </c>
      <c r="Z7" s="80">
        <v>0.19</v>
      </c>
      <c r="AA7" s="55">
        <f t="shared" ref="AA7:AA32" si="10">ROUND(Y7/(1+Z7),0)</f>
        <v>9901</v>
      </c>
      <c r="AB7" s="35"/>
      <c r="AC7" s="48"/>
      <c r="AD7" s="31"/>
      <c r="AE7" s="31"/>
      <c r="AF7" s="56">
        <v>0.19</v>
      </c>
      <c r="AG7" s="57">
        <f>ROUND(AVERAGE(O7,S7,AA7,G7),0)</f>
        <v>13506</v>
      </c>
      <c r="AH7" s="57">
        <f>ROUND(AG7*(1+AF7),0)</f>
        <v>16072</v>
      </c>
      <c r="AI7" s="57">
        <f>ROUND(GEOMEAN(O7,S7,G7,AA7),0)</f>
        <v>12942</v>
      </c>
      <c r="AJ7" s="57">
        <f t="shared" si="7"/>
        <v>15401</v>
      </c>
      <c r="AK7" s="94">
        <v>350</v>
      </c>
      <c r="AL7" s="55">
        <f t="shared" si="8"/>
        <v>12942</v>
      </c>
      <c r="AM7" s="55">
        <f t="shared" si="9"/>
        <v>15401</v>
      </c>
      <c r="AN7" s="59">
        <f t="shared" si="3"/>
        <v>5390350</v>
      </c>
      <c r="AO7" s="13" t="s">
        <v>111</v>
      </c>
      <c r="AP7" s="3" t="s">
        <v>145</v>
      </c>
    </row>
    <row r="8" spans="2:46" s="2" customFormat="1" ht="70.5" customHeight="1" x14ac:dyDescent="0.25">
      <c r="B8" s="14">
        <v>4</v>
      </c>
      <c r="C8" s="17" t="s">
        <v>9</v>
      </c>
      <c r="D8" s="14" t="s">
        <v>37</v>
      </c>
      <c r="E8" s="17" t="s">
        <v>19</v>
      </c>
      <c r="F8" s="14">
        <v>1</v>
      </c>
      <c r="G8" s="60">
        <v>25056</v>
      </c>
      <c r="H8" s="61">
        <f t="shared" si="0"/>
        <v>4761</v>
      </c>
      <c r="I8" s="62">
        <v>0.19</v>
      </c>
      <c r="J8" s="65">
        <f t="shared" si="4"/>
        <v>29817</v>
      </c>
      <c r="K8" s="28"/>
      <c r="L8" s="28"/>
      <c r="M8" s="28"/>
      <c r="N8" s="28"/>
      <c r="O8" s="29">
        <f>ROUND(21008.4,0)</f>
        <v>21008</v>
      </c>
      <c r="P8" s="29">
        <f>ROUND(O8*0.19,0)</f>
        <v>3992</v>
      </c>
      <c r="Q8" s="78">
        <v>0.19</v>
      </c>
      <c r="R8" s="29">
        <f t="shared" si="2"/>
        <v>25000</v>
      </c>
      <c r="S8" s="29">
        <v>16806</v>
      </c>
      <c r="T8" s="29">
        <v>3193</v>
      </c>
      <c r="U8" s="78">
        <v>0.19</v>
      </c>
      <c r="V8" s="29">
        <v>19999</v>
      </c>
      <c r="W8" s="77">
        <f>+ROUND(10924.37,0)</f>
        <v>10924</v>
      </c>
      <c r="X8" s="73">
        <f t="shared" si="5"/>
        <v>13000</v>
      </c>
      <c r="Y8" s="77">
        <f t="shared" si="6"/>
        <v>13676</v>
      </c>
      <c r="Z8" s="80">
        <v>0.19</v>
      </c>
      <c r="AA8" s="55">
        <f t="shared" si="10"/>
        <v>11492</v>
      </c>
      <c r="AB8" s="3"/>
      <c r="AC8" s="48"/>
      <c r="AD8" s="31"/>
      <c r="AE8" s="31"/>
      <c r="AF8" s="56">
        <v>0.19</v>
      </c>
      <c r="AG8" s="57">
        <f>ROUND(AVERAGE(O8,S8,AA8),0)</f>
        <v>16435</v>
      </c>
      <c r="AH8" s="57">
        <f t="shared" ref="AH8:AH35" si="11">ROUND(AG8*(1+AF8),0)</f>
        <v>19558</v>
      </c>
      <c r="AI8" s="57">
        <f>ROUND(GEOMEAN(O8,S8,AA8),0)</f>
        <v>15950</v>
      </c>
      <c r="AJ8" s="57">
        <f t="shared" si="7"/>
        <v>18981</v>
      </c>
      <c r="AK8" s="94">
        <v>68</v>
      </c>
      <c r="AL8" s="55">
        <f t="shared" si="8"/>
        <v>15950</v>
      </c>
      <c r="AM8" s="55">
        <f t="shared" si="9"/>
        <v>18981</v>
      </c>
      <c r="AN8" s="59">
        <f t="shared" si="3"/>
        <v>1290708</v>
      </c>
      <c r="AO8" s="12" t="s">
        <v>111</v>
      </c>
      <c r="AP8" s="3" t="s">
        <v>145</v>
      </c>
      <c r="AQ8" s="1"/>
      <c r="AS8" s="1"/>
      <c r="AT8" s="1"/>
    </row>
    <row r="9" spans="2:46" s="2" customFormat="1" ht="70.5" customHeight="1" x14ac:dyDescent="0.25">
      <c r="B9" s="14">
        <v>5</v>
      </c>
      <c r="C9" s="17" t="s">
        <v>8</v>
      </c>
      <c r="D9" s="14" t="s">
        <v>38</v>
      </c>
      <c r="E9" s="17" t="s">
        <v>19</v>
      </c>
      <c r="F9" s="14">
        <v>1</v>
      </c>
      <c r="G9" s="25">
        <v>25056</v>
      </c>
      <c r="H9" s="23">
        <f t="shared" si="0"/>
        <v>4761</v>
      </c>
      <c r="I9" s="43">
        <v>0.19</v>
      </c>
      <c r="J9" s="24">
        <f t="shared" si="4"/>
        <v>29817</v>
      </c>
      <c r="K9" s="28"/>
      <c r="L9" s="28"/>
      <c r="M9" s="28"/>
      <c r="N9" s="28"/>
      <c r="O9" s="29">
        <f>ROUND(23529.41,0)</f>
        <v>23529</v>
      </c>
      <c r="P9" s="29">
        <f t="shared" si="1"/>
        <v>4471</v>
      </c>
      <c r="Q9" s="78">
        <v>0.19</v>
      </c>
      <c r="R9" s="29">
        <f t="shared" si="2"/>
        <v>28000</v>
      </c>
      <c r="S9" s="29">
        <v>16806</v>
      </c>
      <c r="T9" s="29">
        <v>3193</v>
      </c>
      <c r="U9" s="78">
        <v>0.19</v>
      </c>
      <c r="V9" s="29">
        <v>19999</v>
      </c>
      <c r="W9" s="67">
        <f>+ROUND(12184.87,0)</f>
        <v>12185</v>
      </c>
      <c r="X9" s="84">
        <f t="shared" si="5"/>
        <v>14500</v>
      </c>
      <c r="Y9" s="67">
        <f t="shared" si="6"/>
        <v>15254</v>
      </c>
      <c r="Z9" s="85">
        <v>0.19</v>
      </c>
      <c r="AA9" s="29">
        <f t="shared" si="10"/>
        <v>12818</v>
      </c>
      <c r="AB9" s="3"/>
      <c r="AC9" s="48"/>
      <c r="AD9" s="31"/>
      <c r="AE9" s="31"/>
      <c r="AF9" s="56">
        <v>0.19</v>
      </c>
      <c r="AG9" s="57">
        <f>ROUND(AVERAGE(O9,S9,G9,AA9),0)</f>
        <v>19552</v>
      </c>
      <c r="AH9" s="57">
        <f t="shared" si="11"/>
        <v>23267</v>
      </c>
      <c r="AI9" s="57">
        <f>ROUND(GEOMEAN(O9,S9,G9,AA9),0)</f>
        <v>18878</v>
      </c>
      <c r="AJ9" s="57">
        <f t="shared" si="7"/>
        <v>22465</v>
      </c>
      <c r="AK9" s="94">
        <v>77</v>
      </c>
      <c r="AL9" s="55">
        <f t="shared" si="8"/>
        <v>18878</v>
      </c>
      <c r="AM9" s="55">
        <f t="shared" si="9"/>
        <v>22465</v>
      </c>
      <c r="AN9" s="59">
        <f t="shared" si="3"/>
        <v>1729805</v>
      </c>
      <c r="AO9" s="12" t="s">
        <v>111</v>
      </c>
      <c r="AP9" s="3" t="s">
        <v>145</v>
      </c>
      <c r="AQ9" s="1"/>
      <c r="AS9" s="1"/>
      <c r="AT9" s="1"/>
    </row>
    <row r="10" spans="2:46" s="2" customFormat="1" ht="70.5" customHeight="1" x14ac:dyDescent="0.25">
      <c r="B10" s="14">
        <v>6</v>
      </c>
      <c r="C10" s="17" t="s">
        <v>149</v>
      </c>
      <c r="D10" s="14" t="s">
        <v>123</v>
      </c>
      <c r="E10" s="17" t="s">
        <v>21</v>
      </c>
      <c r="F10" s="14">
        <v>1</v>
      </c>
      <c r="G10" s="60">
        <v>45696</v>
      </c>
      <c r="H10" s="61">
        <f t="shared" si="0"/>
        <v>8682</v>
      </c>
      <c r="I10" s="62">
        <v>0.19</v>
      </c>
      <c r="J10" s="65">
        <f t="shared" si="4"/>
        <v>54378</v>
      </c>
      <c r="K10" s="28"/>
      <c r="L10" s="28"/>
      <c r="M10" s="28"/>
      <c r="N10" s="28"/>
      <c r="O10" s="67">
        <f>ROUND(268907.56,0)</f>
        <v>268908</v>
      </c>
      <c r="P10" s="67">
        <f t="shared" si="1"/>
        <v>51093</v>
      </c>
      <c r="Q10" s="62">
        <v>0.19</v>
      </c>
      <c r="R10" s="67">
        <f t="shared" si="2"/>
        <v>320001</v>
      </c>
      <c r="S10" s="29">
        <v>179944</v>
      </c>
      <c r="T10" s="29">
        <v>34189</v>
      </c>
      <c r="U10" s="78">
        <v>0.19</v>
      </c>
      <c r="V10" s="29">
        <v>214133</v>
      </c>
      <c r="W10" s="77">
        <f>+ROUND(138655.46,0)</f>
        <v>138655</v>
      </c>
      <c r="X10" s="73">
        <f t="shared" si="5"/>
        <v>164999</v>
      </c>
      <c r="Y10" s="77">
        <f t="shared" si="6"/>
        <v>173579</v>
      </c>
      <c r="Z10" s="80">
        <v>0.19</v>
      </c>
      <c r="AA10" s="55">
        <f t="shared" si="10"/>
        <v>145865</v>
      </c>
      <c r="AB10" s="3"/>
      <c r="AC10" s="48"/>
      <c r="AD10" s="31"/>
      <c r="AE10" s="31"/>
      <c r="AF10" s="56">
        <v>0.19</v>
      </c>
      <c r="AG10" s="57">
        <f>ROUND(AVERAGE(S10,AA10),0)</f>
        <v>162905</v>
      </c>
      <c r="AH10" s="57">
        <f t="shared" si="11"/>
        <v>193857</v>
      </c>
      <c r="AI10" s="57">
        <f>ROUND(GEOMEAN(S10,AA10),0)</f>
        <v>162011</v>
      </c>
      <c r="AJ10" s="57">
        <f t="shared" si="7"/>
        <v>192793</v>
      </c>
      <c r="AK10" s="94">
        <v>120</v>
      </c>
      <c r="AL10" s="55">
        <f t="shared" si="8"/>
        <v>162011</v>
      </c>
      <c r="AM10" s="55">
        <f t="shared" si="9"/>
        <v>192793</v>
      </c>
      <c r="AN10" s="59">
        <f t="shared" si="3"/>
        <v>23135160</v>
      </c>
      <c r="AO10" s="12" t="s">
        <v>111</v>
      </c>
      <c r="AP10" s="3" t="s">
        <v>145</v>
      </c>
      <c r="AQ10" s="1"/>
      <c r="AS10" s="1"/>
      <c r="AT10" s="1"/>
    </row>
    <row r="11" spans="2:46" s="2" customFormat="1" ht="70.5" customHeight="1" x14ac:dyDescent="0.25">
      <c r="B11" s="14">
        <v>7</v>
      </c>
      <c r="C11" s="17" t="s">
        <v>0</v>
      </c>
      <c r="D11" s="14" t="s">
        <v>124</v>
      </c>
      <c r="E11" s="17" t="s">
        <v>19</v>
      </c>
      <c r="F11" s="14">
        <v>1</v>
      </c>
      <c r="G11" s="25">
        <v>635840</v>
      </c>
      <c r="H11" s="23">
        <f t="shared" si="0"/>
        <v>120810</v>
      </c>
      <c r="I11" s="43">
        <v>0.19</v>
      </c>
      <c r="J11" s="24">
        <f t="shared" si="4"/>
        <v>756650</v>
      </c>
      <c r="K11" s="28"/>
      <c r="L11" s="28"/>
      <c r="M11" s="28"/>
      <c r="N11" s="28"/>
      <c r="O11" s="67">
        <f>ROUND(1512605.04,0)</f>
        <v>1512605</v>
      </c>
      <c r="P11" s="67">
        <f t="shared" si="1"/>
        <v>287395</v>
      </c>
      <c r="Q11" s="62">
        <v>0.19</v>
      </c>
      <c r="R11" s="67">
        <f t="shared" si="2"/>
        <v>1800000</v>
      </c>
      <c r="S11" s="29">
        <v>857702</v>
      </c>
      <c r="T11" s="29">
        <v>162963</v>
      </c>
      <c r="U11" s="78">
        <v>0.19</v>
      </c>
      <c r="V11" s="29">
        <v>1020665</v>
      </c>
      <c r="W11" s="77">
        <f>+ROUND(613445.38,0)</f>
        <v>613445</v>
      </c>
      <c r="X11" s="73">
        <f t="shared" si="5"/>
        <v>730000</v>
      </c>
      <c r="Y11" s="77">
        <f t="shared" si="6"/>
        <v>767960</v>
      </c>
      <c r="Z11" s="80">
        <v>0.19</v>
      </c>
      <c r="AA11" s="55">
        <f t="shared" si="10"/>
        <v>645345</v>
      </c>
      <c r="AB11" s="3"/>
      <c r="AC11" s="48"/>
      <c r="AD11" s="31"/>
      <c r="AE11" s="31"/>
      <c r="AF11" s="56">
        <v>0.19</v>
      </c>
      <c r="AG11" s="57">
        <f>ROUND(AVERAGE(S11,AA11,G11),0)</f>
        <v>712962</v>
      </c>
      <c r="AH11" s="57">
        <f>ROUND(AG11*(1+AF11),0)</f>
        <v>848425</v>
      </c>
      <c r="AI11" s="57">
        <f>ROUND(GEOMEAN(G11,S11,AA11),0)</f>
        <v>706034</v>
      </c>
      <c r="AJ11" s="57">
        <f t="shared" si="7"/>
        <v>840180</v>
      </c>
      <c r="AK11" s="94">
        <v>39</v>
      </c>
      <c r="AL11" s="55">
        <f t="shared" si="8"/>
        <v>706034</v>
      </c>
      <c r="AM11" s="55">
        <f t="shared" si="9"/>
        <v>840180</v>
      </c>
      <c r="AN11" s="59">
        <f t="shared" si="3"/>
        <v>32767020</v>
      </c>
      <c r="AO11" s="12" t="s">
        <v>111</v>
      </c>
      <c r="AP11" s="3" t="s">
        <v>145</v>
      </c>
      <c r="AQ11" s="1"/>
      <c r="AS11" s="1"/>
      <c r="AT11" s="1"/>
    </row>
    <row r="12" spans="2:46" ht="70.5" customHeight="1" x14ac:dyDescent="0.25">
      <c r="B12" s="14">
        <v>8</v>
      </c>
      <c r="C12" s="17" t="s">
        <v>39</v>
      </c>
      <c r="D12" s="14" t="s">
        <v>125</v>
      </c>
      <c r="E12" s="17" t="s">
        <v>19</v>
      </c>
      <c r="F12" s="14">
        <v>1</v>
      </c>
      <c r="G12" s="25">
        <v>62404</v>
      </c>
      <c r="H12" s="23">
        <f t="shared" si="0"/>
        <v>11857</v>
      </c>
      <c r="I12" s="43">
        <v>0.19</v>
      </c>
      <c r="J12" s="24">
        <f t="shared" si="4"/>
        <v>74261</v>
      </c>
      <c r="K12" s="28"/>
      <c r="L12" s="28"/>
      <c r="M12" s="28"/>
      <c r="N12" s="28"/>
      <c r="O12" s="29">
        <f>ROUND(79831.93,0)</f>
        <v>79832</v>
      </c>
      <c r="P12" s="29">
        <f t="shared" si="1"/>
        <v>15168</v>
      </c>
      <c r="Q12" s="78">
        <v>0.19</v>
      </c>
      <c r="R12" s="29">
        <f t="shared" si="2"/>
        <v>95000</v>
      </c>
      <c r="S12" s="67">
        <v>41792</v>
      </c>
      <c r="T12" s="67">
        <v>7940</v>
      </c>
      <c r="U12" s="62">
        <v>0.19</v>
      </c>
      <c r="V12" s="67">
        <v>49732</v>
      </c>
      <c r="W12" s="77">
        <f>+ROUND(63025.21,0)</f>
        <v>63025</v>
      </c>
      <c r="X12" s="73">
        <f t="shared" si="5"/>
        <v>75000</v>
      </c>
      <c r="Y12" s="77">
        <f t="shared" si="6"/>
        <v>78900</v>
      </c>
      <c r="Z12" s="80">
        <v>0.19</v>
      </c>
      <c r="AA12" s="55">
        <f t="shared" si="10"/>
        <v>66303</v>
      </c>
      <c r="AB12" s="35"/>
      <c r="AC12" s="48"/>
      <c r="AD12" s="31"/>
      <c r="AE12" s="31"/>
      <c r="AF12" s="56">
        <v>0.19</v>
      </c>
      <c r="AG12" s="57">
        <f>ROUND(AVERAGE(O12,AA12,G12),0)</f>
        <v>69513</v>
      </c>
      <c r="AH12" s="57">
        <f t="shared" si="11"/>
        <v>82720</v>
      </c>
      <c r="AI12" s="57">
        <f>ROUND(GEOMEAN(G12,O12,AA12),0)</f>
        <v>69126</v>
      </c>
      <c r="AJ12" s="57">
        <f t="shared" si="7"/>
        <v>82260</v>
      </c>
      <c r="AK12" s="94">
        <v>120</v>
      </c>
      <c r="AL12" s="55">
        <f t="shared" si="8"/>
        <v>69126</v>
      </c>
      <c r="AM12" s="55">
        <f t="shared" si="9"/>
        <v>82260</v>
      </c>
      <c r="AN12" s="59">
        <f t="shared" si="3"/>
        <v>9871200</v>
      </c>
      <c r="AO12" s="13" t="s">
        <v>111</v>
      </c>
      <c r="AP12" s="3" t="s">
        <v>145</v>
      </c>
    </row>
    <row r="13" spans="2:46" ht="70.5" customHeight="1" x14ac:dyDescent="0.25">
      <c r="B13" s="14">
        <v>9</v>
      </c>
      <c r="C13" s="17" t="s">
        <v>24</v>
      </c>
      <c r="D13" s="14" t="s">
        <v>126</v>
      </c>
      <c r="E13" s="17" t="s">
        <v>120</v>
      </c>
      <c r="F13" s="14">
        <v>1</v>
      </c>
      <c r="G13" s="25">
        <v>51122</v>
      </c>
      <c r="H13" s="23">
        <f t="shared" si="0"/>
        <v>9713</v>
      </c>
      <c r="I13" s="43">
        <v>0.19</v>
      </c>
      <c r="J13" s="24">
        <f t="shared" si="4"/>
        <v>60835</v>
      </c>
      <c r="K13" s="28"/>
      <c r="L13" s="28"/>
      <c r="M13" s="28"/>
      <c r="N13" s="28"/>
      <c r="O13" s="29">
        <f>ROUND(109243.7,0)</f>
        <v>109244</v>
      </c>
      <c r="P13" s="29">
        <f t="shared" si="1"/>
        <v>20756</v>
      </c>
      <c r="Q13" s="45">
        <v>0.19</v>
      </c>
      <c r="R13" s="29">
        <f t="shared" si="2"/>
        <v>130000</v>
      </c>
      <c r="S13" s="30"/>
      <c r="T13" s="30"/>
      <c r="U13" s="30"/>
      <c r="V13" s="30"/>
      <c r="W13" s="77">
        <f>+ROUND(66386.55,0)</f>
        <v>66387</v>
      </c>
      <c r="X13" s="73">
        <f t="shared" si="5"/>
        <v>79001</v>
      </c>
      <c r="Y13" s="77">
        <f t="shared" si="6"/>
        <v>83109</v>
      </c>
      <c r="Z13" s="80">
        <v>0.19</v>
      </c>
      <c r="AA13" s="55">
        <f>ROUND(Y13/(1+Z13),0)</f>
        <v>69839</v>
      </c>
      <c r="AB13" s="82"/>
      <c r="AC13" s="48"/>
      <c r="AD13" s="31"/>
      <c r="AE13" s="31"/>
      <c r="AF13" s="56">
        <v>0.19</v>
      </c>
      <c r="AG13" s="57">
        <f>ROUND(AVERAGE(G13,AA13,O13),0)</f>
        <v>76735</v>
      </c>
      <c r="AH13" s="57">
        <f>ROUND(AG13*(1+AF13),0)</f>
        <v>91315</v>
      </c>
      <c r="AI13" s="57">
        <f>ROUND( GEOMEAN(G13,AA13,O13),0)</f>
        <v>73064</v>
      </c>
      <c r="AJ13" s="57">
        <f t="shared" si="7"/>
        <v>86946</v>
      </c>
      <c r="AK13" s="94">
        <v>130</v>
      </c>
      <c r="AL13" s="55">
        <f t="shared" si="8"/>
        <v>73064</v>
      </c>
      <c r="AM13" s="55">
        <f t="shared" si="9"/>
        <v>86946</v>
      </c>
      <c r="AN13" s="59">
        <f t="shared" si="3"/>
        <v>11302980</v>
      </c>
      <c r="AO13" s="13" t="s">
        <v>111</v>
      </c>
      <c r="AP13" s="3" t="s">
        <v>145</v>
      </c>
    </row>
    <row r="14" spans="2:46" s="2" customFormat="1" ht="70.5" customHeight="1" x14ac:dyDescent="0.25">
      <c r="B14" s="14">
        <v>10</v>
      </c>
      <c r="C14" s="17" t="s">
        <v>25</v>
      </c>
      <c r="D14" s="14" t="s">
        <v>127</v>
      </c>
      <c r="E14" s="17" t="s">
        <v>19</v>
      </c>
      <c r="F14" s="14">
        <v>1</v>
      </c>
      <c r="G14" s="26"/>
      <c r="H14" s="26"/>
      <c r="I14" s="44"/>
      <c r="J14" s="26"/>
      <c r="K14" s="28"/>
      <c r="L14" s="28"/>
      <c r="M14" s="28"/>
      <c r="N14" s="28"/>
      <c r="O14" s="29">
        <f>ROUND(75630.25,0)</f>
        <v>75630</v>
      </c>
      <c r="P14" s="29">
        <f t="shared" si="1"/>
        <v>14370</v>
      </c>
      <c r="Q14" s="78">
        <v>0.19</v>
      </c>
      <c r="R14" s="29">
        <f t="shared" si="2"/>
        <v>90000</v>
      </c>
      <c r="S14" s="30"/>
      <c r="T14" s="30"/>
      <c r="U14" s="30"/>
      <c r="V14" s="30"/>
      <c r="W14" s="77">
        <f>+ROUND(34453.78,0)</f>
        <v>34454</v>
      </c>
      <c r="X14" s="73">
        <f t="shared" si="5"/>
        <v>41000</v>
      </c>
      <c r="Y14" s="77">
        <f t="shared" si="6"/>
        <v>43132</v>
      </c>
      <c r="Z14" s="80">
        <v>0.19</v>
      </c>
      <c r="AA14" s="55">
        <f t="shared" si="10"/>
        <v>36245</v>
      </c>
      <c r="AB14" s="3"/>
      <c r="AC14" s="48"/>
      <c r="AD14" s="31"/>
      <c r="AE14" s="31"/>
      <c r="AF14" s="56">
        <v>0.19</v>
      </c>
      <c r="AG14" s="57">
        <f>ROUND(AVERAGE(O14,AA14),0)</f>
        <v>55938</v>
      </c>
      <c r="AH14" s="57">
        <f t="shared" si="11"/>
        <v>66566</v>
      </c>
      <c r="AI14" s="57">
        <f>ROUND(GEOMEAN(O14,AA14),0)</f>
        <v>52357</v>
      </c>
      <c r="AJ14" s="57">
        <f t="shared" si="7"/>
        <v>62305</v>
      </c>
      <c r="AK14" s="94">
        <v>160</v>
      </c>
      <c r="AL14" s="55">
        <f t="shared" si="8"/>
        <v>52357</v>
      </c>
      <c r="AM14" s="55">
        <f t="shared" si="9"/>
        <v>62305</v>
      </c>
      <c r="AN14" s="59">
        <f t="shared" si="3"/>
        <v>9968800</v>
      </c>
      <c r="AO14" s="12" t="s">
        <v>111</v>
      </c>
      <c r="AP14" s="3" t="s">
        <v>145</v>
      </c>
      <c r="AQ14" s="1"/>
      <c r="AS14" s="1"/>
      <c r="AT14" s="1"/>
    </row>
    <row r="15" spans="2:46" s="2" customFormat="1" ht="70.5" customHeight="1" x14ac:dyDescent="0.25">
      <c r="B15" s="14">
        <v>11</v>
      </c>
      <c r="C15" s="17" t="s">
        <v>150</v>
      </c>
      <c r="D15" s="14" t="s">
        <v>40</v>
      </c>
      <c r="E15" s="17" t="s">
        <v>19</v>
      </c>
      <c r="F15" s="14">
        <v>1</v>
      </c>
      <c r="G15" s="26"/>
      <c r="H15" s="26"/>
      <c r="I15" s="44"/>
      <c r="J15" s="26"/>
      <c r="K15" s="63">
        <v>10657000</v>
      </c>
      <c r="L15" s="63">
        <f>K15*0.19</f>
        <v>2024830</v>
      </c>
      <c r="M15" s="62">
        <v>0.19</v>
      </c>
      <c r="N15" s="63">
        <f>K15+L15</f>
        <v>12681830</v>
      </c>
      <c r="O15" s="29">
        <f>ROUND(7226890.76,0)</f>
        <v>7226891</v>
      </c>
      <c r="P15" s="29">
        <f t="shared" si="1"/>
        <v>1373109</v>
      </c>
      <c r="Q15" s="78">
        <v>0.19</v>
      </c>
      <c r="R15" s="29">
        <f t="shared" si="2"/>
        <v>8600000</v>
      </c>
      <c r="S15" s="30"/>
      <c r="T15" s="30"/>
      <c r="U15" s="30"/>
      <c r="V15" s="30"/>
      <c r="W15" s="77">
        <f>+ROUND(4000000,0)</f>
        <v>4000000</v>
      </c>
      <c r="X15" s="73">
        <f t="shared" si="5"/>
        <v>4760000</v>
      </c>
      <c r="Y15" s="77">
        <f t="shared" si="6"/>
        <v>5007520</v>
      </c>
      <c r="Z15" s="80">
        <v>0</v>
      </c>
      <c r="AA15" s="55">
        <f>ROUND(Y15/(1+Z15),0)</f>
        <v>5007520</v>
      </c>
      <c r="AB15" s="3"/>
      <c r="AC15" s="48"/>
      <c r="AD15" s="31"/>
      <c r="AE15" s="31"/>
      <c r="AF15" s="56">
        <v>0.19</v>
      </c>
      <c r="AG15" s="57">
        <f>ROUND(AVERAGE(O15,AA15),0)</f>
        <v>6117206</v>
      </c>
      <c r="AH15" s="57">
        <f t="shared" si="11"/>
        <v>7279475</v>
      </c>
      <c r="AI15" s="57">
        <f>ROUND(GEOMEAN(O15,AA15),0)</f>
        <v>6015713</v>
      </c>
      <c r="AJ15" s="57">
        <f t="shared" si="7"/>
        <v>7158698</v>
      </c>
      <c r="AK15" s="94">
        <v>8</v>
      </c>
      <c r="AL15" s="55">
        <f t="shared" si="8"/>
        <v>6015713</v>
      </c>
      <c r="AM15" s="55">
        <f t="shared" si="9"/>
        <v>7158698</v>
      </c>
      <c r="AN15" s="59">
        <f t="shared" ref="AN15:AN35" si="12">ROUND(AM15*AK15,0)</f>
        <v>57269584</v>
      </c>
      <c r="AO15" s="12" t="s">
        <v>111</v>
      </c>
      <c r="AP15" s="3" t="s">
        <v>145</v>
      </c>
      <c r="AQ15" s="1"/>
      <c r="AS15" s="1"/>
      <c r="AT15" s="1"/>
    </row>
    <row r="16" spans="2:46" ht="70.5" customHeight="1" x14ac:dyDescent="0.25">
      <c r="B16" s="14">
        <v>12</v>
      </c>
      <c r="C16" s="17" t="s">
        <v>10</v>
      </c>
      <c r="D16" s="14" t="s">
        <v>211</v>
      </c>
      <c r="E16" s="17" t="s">
        <v>19</v>
      </c>
      <c r="F16" s="14">
        <v>1</v>
      </c>
      <c r="G16" s="60">
        <v>45900</v>
      </c>
      <c r="H16" s="61">
        <f>G16*0.19</f>
        <v>8721</v>
      </c>
      <c r="I16" s="62">
        <v>0.19</v>
      </c>
      <c r="J16" s="60">
        <f>G16+H16</f>
        <v>54621</v>
      </c>
      <c r="K16" s="28"/>
      <c r="L16" s="28"/>
      <c r="M16" s="28"/>
      <c r="N16" s="28"/>
      <c r="O16" s="29">
        <f>ROUND(462184.87,0)</f>
        <v>462185</v>
      </c>
      <c r="P16" s="29">
        <f t="shared" si="1"/>
        <v>87815</v>
      </c>
      <c r="Q16" s="78">
        <v>0.19</v>
      </c>
      <c r="R16" s="29">
        <f t="shared" si="2"/>
        <v>550000</v>
      </c>
      <c r="S16" s="30"/>
      <c r="T16" s="30"/>
      <c r="U16" s="30"/>
      <c r="V16" s="30"/>
      <c r="W16" s="77">
        <f>+ROUND(310084.03,0)</f>
        <v>310084</v>
      </c>
      <c r="X16" s="73">
        <f t="shared" si="5"/>
        <v>369000</v>
      </c>
      <c r="Y16" s="77">
        <f t="shared" si="6"/>
        <v>388188</v>
      </c>
      <c r="Z16" s="80">
        <v>0.19</v>
      </c>
      <c r="AA16" s="55">
        <f t="shared" si="10"/>
        <v>326208</v>
      </c>
      <c r="AB16" s="35"/>
      <c r="AC16" s="48"/>
      <c r="AD16" s="31"/>
      <c r="AE16" s="31"/>
      <c r="AF16" s="56">
        <v>0.19</v>
      </c>
      <c r="AG16" s="57">
        <f>ROUND(AVERAGE(O16,AA16),0)</f>
        <v>394197</v>
      </c>
      <c r="AH16" s="57">
        <f t="shared" si="11"/>
        <v>469094</v>
      </c>
      <c r="AI16" s="57">
        <f>ROUND(GEOMEAN(O16,AA16),0)</f>
        <v>388289</v>
      </c>
      <c r="AJ16" s="57">
        <f t="shared" si="7"/>
        <v>462064</v>
      </c>
      <c r="AK16" s="94">
        <v>9</v>
      </c>
      <c r="AL16" s="55">
        <f t="shared" si="8"/>
        <v>388289</v>
      </c>
      <c r="AM16" s="55">
        <f t="shared" si="9"/>
        <v>462064</v>
      </c>
      <c r="AN16" s="59">
        <f t="shared" si="12"/>
        <v>4158576</v>
      </c>
      <c r="AO16" s="13" t="s">
        <v>111</v>
      </c>
      <c r="AP16" s="3" t="s">
        <v>145</v>
      </c>
    </row>
    <row r="17" spans="2:46" s="2" customFormat="1" ht="70.5" customHeight="1" x14ac:dyDescent="0.25">
      <c r="B17" s="14">
        <v>13</v>
      </c>
      <c r="C17" s="17" t="s">
        <v>151</v>
      </c>
      <c r="D17" s="14" t="s">
        <v>41</v>
      </c>
      <c r="E17" s="17" t="s">
        <v>19</v>
      </c>
      <c r="F17" s="14">
        <v>1</v>
      </c>
      <c r="G17" s="25">
        <v>48900</v>
      </c>
      <c r="H17" s="23">
        <f>G17*0.19</f>
        <v>9291</v>
      </c>
      <c r="I17" s="43">
        <v>0.19</v>
      </c>
      <c r="J17" s="25">
        <f>G17+H17</f>
        <v>58191</v>
      </c>
      <c r="K17" s="28"/>
      <c r="L17" s="28"/>
      <c r="M17" s="28"/>
      <c r="N17" s="28"/>
      <c r="O17" s="29">
        <f>ROUND(142857.14,0)</f>
        <v>142857</v>
      </c>
      <c r="P17" s="29">
        <f t="shared" si="1"/>
        <v>27143</v>
      </c>
      <c r="Q17" s="45">
        <v>0.19</v>
      </c>
      <c r="R17" s="29">
        <f t="shared" si="2"/>
        <v>170000</v>
      </c>
      <c r="S17" s="29">
        <v>77758</v>
      </c>
      <c r="T17" s="29">
        <v>14774</v>
      </c>
      <c r="U17" s="78">
        <v>0.19</v>
      </c>
      <c r="V17" s="29">
        <v>92532</v>
      </c>
      <c r="W17" s="77">
        <f>+ROUND(78739.5,0)</f>
        <v>78740</v>
      </c>
      <c r="X17" s="73">
        <f t="shared" si="5"/>
        <v>93701</v>
      </c>
      <c r="Y17" s="77">
        <f t="shared" si="6"/>
        <v>98573</v>
      </c>
      <c r="Z17" s="80">
        <v>0.19</v>
      </c>
      <c r="AA17" s="55">
        <f t="shared" si="10"/>
        <v>82834</v>
      </c>
      <c r="AB17" s="3"/>
      <c r="AC17" s="48"/>
      <c r="AD17" s="31"/>
      <c r="AE17" s="31"/>
      <c r="AF17" s="56">
        <v>0.19</v>
      </c>
      <c r="AG17" s="57">
        <f>ROUND(AVERAGE(S17,AA17,G17,O17),0)</f>
        <v>88087</v>
      </c>
      <c r="AH17" s="57">
        <f t="shared" si="11"/>
        <v>104824</v>
      </c>
      <c r="AI17" s="57">
        <f>ROUND(GEOMEAN(AA17,G17,S17,O17),0)</f>
        <v>81901</v>
      </c>
      <c r="AJ17" s="57">
        <f t="shared" si="7"/>
        <v>97462</v>
      </c>
      <c r="AK17" s="94">
        <v>77</v>
      </c>
      <c r="AL17" s="55">
        <f t="shared" si="8"/>
        <v>81901</v>
      </c>
      <c r="AM17" s="55">
        <f t="shared" si="9"/>
        <v>97462</v>
      </c>
      <c r="AN17" s="59">
        <f t="shared" si="12"/>
        <v>7504574</v>
      </c>
      <c r="AO17" s="12" t="s">
        <v>111</v>
      </c>
      <c r="AP17" s="3" t="s">
        <v>145</v>
      </c>
      <c r="AQ17" s="1"/>
      <c r="AS17" s="1"/>
      <c r="AT17" s="1"/>
    </row>
    <row r="18" spans="2:46" s="2" customFormat="1" ht="70.5" customHeight="1" x14ac:dyDescent="0.25">
      <c r="B18" s="14">
        <v>14</v>
      </c>
      <c r="C18" s="17" t="s">
        <v>26</v>
      </c>
      <c r="D18" s="14" t="s">
        <v>128</v>
      </c>
      <c r="E18" s="17" t="s">
        <v>19</v>
      </c>
      <c r="F18" s="14">
        <v>1</v>
      </c>
      <c r="G18" s="26"/>
      <c r="H18" s="26"/>
      <c r="I18" s="44"/>
      <c r="J18" s="26"/>
      <c r="K18" s="28"/>
      <c r="L18" s="28"/>
      <c r="M18" s="28"/>
      <c r="N18" s="28"/>
      <c r="O18" s="67">
        <f>ROUND(436974.79,0)</f>
        <v>436975</v>
      </c>
      <c r="P18" s="67">
        <f t="shared" si="1"/>
        <v>83025</v>
      </c>
      <c r="Q18" s="62">
        <v>0.19</v>
      </c>
      <c r="R18" s="67">
        <f t="shared" si="2"/>
        <v>520000</v>
      </c>
      <c r="S18" s="30"/>
      <c r="T18" s="30"/>
      <c r="U18" s="30"/>
      <c r="V18" s="30"/>
      <c r="W18" s="77">
        <f>+ROUND(106722.69,0)</f>
        <v>106723</v>
      </c>
      <c r="X18" s="73">
        <f t="shared" si="5"/>
        <v>127000</v>
      </c>
      <c r="Y18" s="77">
        <f t="shared" si="6"/>
        <v>133604</v>
      </c>
      <c r="Z18" s="80">
        <v>0.19</v>
      </c>
      <c r="AA18" s="55">
        <f t="shared" si="10"/>
        <v>112272</v>
      </c>
      <c r="AB18" s="86">
        <v>175000</v>
      </c>
      <c r="AC18" s="87">
        <f>ROUND(AB18*19%,0)</f>
        <v>33250</v>
      </c>
      <c r="AD18" s="87">
        <f>AB18+AC18</f>
        <v>208250</v>
      </c>
      <c r="AE18" s="66" t="s">
        <v>146</v>
      </c>
      <c r="AF18" s="68">
        <v>0.19</v>
      </c>
      <c r="AG18" s="57">
        <f>ROUND(AVERAGE(AB18,AA18),0)</f>
        <v>143636</v>
      </c>
      <c r="AH18" s="57">
        <f>ROUND(AG18*(1+AF18),0)</f>
        <v>170927</v>
      </c>
      <c r="AI18" s="57">
        <f>ROUND(GEOMEAN(AB18,AA18),0)</f>
        <v>140170</v>
      </c>
      <c r="AJ18" s="57">
        <f t="shared" si="7"/>
        <v>166802</v>
      </c>
      <c r="AK18" s="94">
        <v>100</v>
      </c>
      <c r="AL18" s="55">
        <f t="shared" si="8"/>
        <v>140170</v>
      </c>
      <c r="AM18" s="55">
        <f t="shared" si="9"/>
        <v>166802</v>
      </c>
      <c r="AN18" s="59">
        <f t="shared" si="12"/>
        <v>16680200</v>
      </c>
      <c r="AO18" s="12" t="s">
        <v>111</v>
      </c>
      <c r="AP18" s="3" t="s">
        <v>145</v>
      </c>
      <c r="AQ18" s="1"/>
      <c r="AS18" s="1"/>
      <c r="AT18" s="1"/>
    </row>
    <row r="19" spans="2:46" s="2" customFormat="1" ht="70.5" customHeight="1" x14ac:dyDescent="0.25">
      <c r="B19" s="14">
        <v>15</v>
      </c>
      <c r="C19" s="17" t="s">
        <v>152</v>
      </c>
      <c r="D19" s="14" t="s">
        <v>129</v>
      </c>
      <c r="E19" s="17" t="s">
        <v>19</v>
      </c>
      <c r="F19" s="14">
        <v>1</v>
      </c>
      <c r="G19" s="26"/>
      <c r="H19" s="26"/>
      <c r="I19" s="44"/>
      <c r="J19" s="26"/>
      <c r="K19" s="28"/>
      <c r="L19" s="28"/>
      <c r="M19" s="28"/>
      <c r="N19" s="28"/>
      <c r="O19" s="67">
        <f>ROUND(411764.71,0)</f>
        <v>411765</v>
      </c>
      <c r="P19" s="67">
        <f t="shared" si="1"/>
        <v>78235</v>
      </c>
      <c r="Q19" s="62">
        <v>0.19</v>
      </c>
      <c r="R19" s="67">
        <f t="shared" si="2"/>
        <v>490000</v>
      </c>
      <c r="S19" s="30"/>
      <c r="T19" s="30"/>
      <c r="U19" s="30"/>
      <c r="V19" s="30"/>
      <c r="W19" s="77">
        <f>+ROUND(125210.08,0)</f>
        <v>125210</v>
      </c>
      <c r="X19" s="73">
        <f t="shared" si="5"/>
        <v>149000</v>
      </c>
      <c r="Y19" s="77">
        <f t="shared" si="6"/>
        <v>156748</v>
      </c>
      <c r="Z19" s="80">
        <v>0.19</v>
      </c>
      <c r="AA19" s="55">
        <f t="shared" si="10"/>
        <v>131721</v>
      </c>
      <c r="AB19" s="3"/>
      <c r="AC19" s="48"/>
      <c r="AD19" s="31"/>
      <c r="AE19" s="31"/>
      <c r="AF19" s="56">
        <v>0.19</v>
      </c>
      <c r="AG19" s="57">
        <f>ROUND(AVERAGE(AA19),0)</f>
        <v>131721</v>
      </c>
      <c r="AH19" s="57">
        <f t="shared" si="11"/>
        <v>156748</v>
      </c>
      <c r="AI19" s="57">
        <f>ROUND( GEOMEAN(AA19),0)</f>
        <v>131721</v>
      </c>
      <c r="AJ19" s="57">
        <f t="shared" si="7"/>
        <v>156748</v>
      </c>
      <c r="AK19" s="94">
        <v>8</v>
      </c>
      <c r="AL19" s="55">
        <f t="shared" si="8"/>
        <v>131721</v>
      </c>
      <c r="AM19" s="55">
        <f t="shared" si="9"/>
        <v>156748</v>
      </c>
      <c r="AN19" s="59">
        <f t="shared" si="12"/>
        <v>1253984</v>
      </c>
      <c r="AO19" s="12" t="s">
        <v>111</v>
      </c>
      <c r="AP19" s="3" t="s">
        <v>145</v>
      </c>
      <c r="AQ19" s="1"/>
      <c r="AS19" s="1"/>
      <c r="AT19" s="1"/>
    </row>
    <row r="20" spans="2:46" s="2" customFormat="1" ht="70.5" customHeight="1" x14ac:dyDescent="0.25">
      <c r="B20" s="14">
        <v>16</v>
      </c>
      <c r="C20" s="17" t="s">
        <v>153</v>
      </c>
      <c r="D20" s="14" t="s">
        <v>42</v>
      </c>
      <c r="E20" s="17" t="s">
        <v>19</v>
      </c>
      <c r="F20" s="14">
        <v>1</v>
      </c>
      <c r="G20" s="60">
        <v>21240</v>
      </c>
      <c r="H20" s="61">
        <f>ROUND(G20*0.19,0)</f>
        <v>4036</v>
      </c>
      <c r="I20" s="62">
        <v>0.19</v>
      </c>
      <c r="J20" s="60">
        <f>G20+H20</f>
        <v>25276</v>
      </c>
      <c r="K20" s="28"/>
      <c r="L20" s="28"/>
      <c r="M20" s="28"/>
      <c r="N20" s="28"/>
      <c r="O20" s="67">
        <f>ROUND(21008.4,0)</f>
        <v>21008</v>
      </c>
      <c r="P20" s="67">
        <f t="shared" si="1"/>
        <v>3992</v>
      </c>
      <c r="Q20" s="62">
        <v>0.19</v>
      </c>
      <c r="R20" s="67">
        <f t="shared" si="2"/>
        <v>25000</v>
      </c>
      <c r="S20" s="30"/>
      <c r="T20" s="30"/>
      <c r="U20" s="30"/>
      <c r="V20" s="30"/>
      <c r="W20" s="77">
        <f>+ROUND(7815.73,0)</f>
        <v>7816</v>
      </c>
      <c r="X20" s="73">
        <f t="shared" si="5"/>
        <v>9301</v>
      </c>
      <c r="Y20" s="77">
        <f t="shared" si="6"/>
        <v>9785</v>
      </c>
      <c r="Z20" s="80">
        <v>0.19</v>
      </c>
      <c r="AA20" s="55">
        <f t="shared" si="10"/>
        <v>8223</v>
      </c>
      <c r="AB20" s="86">
        <f>ROUND(AD20/1.19,0)</f>
        <v>9328</v>
      </c>
      <c r="AC20" s="87">
        <f>ROUND(AB20*19%,0)</f>
        <v>1772</v>
      </c>
      <c r="AD20" s="87">
        <v>11100</v>
      </c>
      <c r="AE20" s="47" t="s">
        <v>177</v>
      </c>
      <c r="AF20" s="56">
        <v>0.19</v>
      </c>
      <c r="AG20" s="57">
        <f>ROUND(AVERAGE(AB20,AA20),0)</f>
        <v>8776</v>
      </c>
      <c r="AH20" s="57">
        <f t="shared" si="11"/>
        <v>10443</v>
      </c>
      <c r="AI20" s="57">
        <f>ROUND(GEOMEAN(AA20,AB20),0)</f>
        <v>8758</v>
      </c>
      <c r="AJ20" s="57">
        <f t="shared" si="7"/>
        <v>10422</v>
      </c>
      <c r="AK20" s="94">
        <v>58</v>
      </c>
      <c r="AL20" s="55">
        <f t="shared" si="8"/>
        <v>8758</v>
      </c>
      <c r="AM20" s="55">
        <f t="shared" si="9"/>
        <v>10422</v>
      </c>
      <c r="AN20" s="59">
        <f t="shared" si="12"/>
        <v>604476</v>
      </c>
      <c r="AO20" s="12" t="s">
        <v>112</v>
      </c>
      <c r="AP20" s="3" t="s">
        <v>145</v>
      </c>
      <c r="AQ20" s="1"/>
      <c r="AS20" s="1"/>
      <c r="AT20" s="1"/>
    </row>
    <row r="21" spans="2:46" s="2" customFormat="1" ht="70.5" customHeight="1" x14ac:dyDescent="0.25">
      <c r="B21" s="14">
        <v>17</v>
      </c>
      <c r="C21" s="17" t="s">
        <v>154</v>
      </c>
      <c r="D21" s="14" t="s">
        <v>130</v>
      </c>
      <c r="E21" s="17" t="s">
        <v>19</v>
      </c>
      <c r="F21" s="14">
        <v>1</v>
      </c>
      <c r="G21" s="26"/>
      <c r="H21" s="26"/>
      <c r="I21" s="44"/>
      <c r="J21" s="26"/>
      <c r="K21" s="28"/>
      <c r="L21" s="28"/>
      <c r="M21" s="28"/>
      <c r="N21" s="28"/>
      <c r="O21" s="29">
        <f>ROUND(15126.05,0)</f>
        <v>15126</v>
      </c>
      <c r="P21" s="29">
        <f t="shared" si="1"/>
        <v>2874</v>
      </c>
      <c r="Q21" s="78">
        <v>0.19</v>
      </c>
      <c r="R21" s="29">
        <f t="shared" si="2"/>
        <v>18000</v>
      </c>
      <c r="S21" s="30"/>
      <c r="T21" s="30"/>
      <c r="U21" s="30"/>
      <c r="V21" s="30"/>
      <c r="W21" s="77">
        <f>+ROUND(7226.89,0)</f>
        <v>7227</v>
      </c>
      <c r="X21" s="73">
        <f t="shared" si="5"/>
        <v>8600</v>
      </c>
      <c r="Y21" s="77">
        <f t="shared" si="6"/>
        <v>9047</v>
      </c>
      <c r="Z21" s="80">
        <v>0.19</v>
      </c>
      <c r="AA21" s="55">
        <f t="shared" si="10"/>
        <v>7603</v>
      </c>
      <c r="AB21" s="86">
        <f>ROUND(AD21/1.19,0)</f>
        <v>13437</v>
      </c>
      <c r="AC21" s="87">
        <f>ROUND(AB21*19%,0)</f>
        <v>2553</v>
      </c>
      <c r="AD21" s="87">
        <v>15990</v>
      </c>
      <c r="AE21" s="47" t="s">
        <v>198</v>
      </c>
      <c r="AF21" s="56">
        <v>0.19</v>
      </c>
      <c r="AG21" s="57">
        <f>ROUND(AVERAGE(O21,AB21,AA21),0)</f>
        <v>12055</v>
      </c>
      <c r="AH21" s="57">
        <f t="shared" si="11"/>
        <v>14345</v>
      </c>
      <c r="AI21" s="57">
        <f>ROUND(GEOMEAN(O21,AA21,AB21),0)</f>
        <v>11561</v>
      </c>
      <c r="AJ21" s="57">
        <f t="shared" si="7"/>
        <v>13758</v>
      </c>
      <c r="AK21" s="94">
        <v>62</v>
      </c>
      <c r="AL21" s="55">
        <f t="shared" si="8"/>
        <v>11561</v>
      </c>
      <c r="AM21" s="55">
        <f t="shared" si="9"/>
        <v>13758</v>
      </c>
      <c r="AN21" s="59">
        <f t="shared" si="12"/>
        <v>852996</v>
      </c>
      <c r="AO21" s="12" t="s">
        <v>112</v>
      </c>
      <c r="AP21" s="3" t="s">
        <v>145</v>
      </c>
      <c r="AQ21" s="1"/>
      <c r="AS21" s="1"/>
      <c r="AT21" s="1"/>
    </row>
    <row r="22" spans="2:46" ht="70.5" customHeight="1" x14ac:dyDescent="0.25">
      <c r="B22" s="14">
        <v>18</v>
      </c>
      <c r="C22" s="17" t="s">
        <v>155</v>
      </c>
      <c r="D22" s="14" t="s">
        <v>43</v>
      </c>
      <c r="E22" s="17" t="s">
        <v>19</v>
      </c>
      <c r="F22" s="14">
        <v>1</v>
      </c>
      <c r="G22" s="26"/>
      <c r="H22" s="26"/>
      <c r="I22" s="44"/>
      <c r="J22" s="26"/>
      <c r="K22" s="28"/>
      <c r="L22" s="28"/>
      <c r="M22" s="28"/>
      <c r="N22" s="28"/>
      <c r="O22" s="29">
        <f>ROUND(29411.76,0)</f>
        <v>29412</v>
      </c>
      <c r="P22" s="29">
        <f t="shared" si="1"/>
        <v>5588</v>
      </c>
      <c r="Q22" s="78">
        <v>0.19</v>
      </c>
      <c r="R22" s="29">
        <f t="shared" si="2"/>
        <v>35000</v>
      </c>
      <c r="S22" s="30"/>
      <c r="T22" s="30"/>
      <c r="U22" s="30"/>
      <c r="V22" s="30"/>
      <c r="W22" s="77">
        <f>+ROUND(17142.86,0)</f>
        <v>17143</v>
      </c>
      <c r="X22" s="73">
        <f t="shared" si="5"/>
        <v>20400</v>
      </c>
      <c r="Y22" s="77">
        <f t="shared" si="6"/>
        <v>21461</v>
      </c>
      <c r="Z22" s="80">
        <v>0.19</v>
      </c>
      <c r="AA22" s="55">
        <f t="shared" si="10"/>
        <v>18034</v>
      </c>
      <c r="AB22" s="86">
        <f>ROUND(AD22/1.19,0)</f>
        <v>20084</v>
      </c>
      <c r="AC22" s="87">
        <f>ROUND(AB22*19%,0)</f>
        <v>3816</v>
      </c>
      <c r="AD22" s="87">
        <v>23900</v>
      </c>
      <c r="AE22" s="47" t="s">
        <v>178</v>
      </c>
      <c r="AF22" s="56">
        <v>0.19</v>
      </c>
      <c r="AG22" s="57">
        <f>ROUND(AVERAGE(O22,AB22,AA22),0)</f>
        <v>22510</v>
      </c>
      <c r="AH22" s="57">
        <f t="shared" si="11"/>
        <v>26787</v>
      </c>
      <c r="AI22" s="57">
        <f>ROUND(GEOMEAN(O22,AA22,AB22),0)</f>
        <v>22003</v>
      </c>
      <c r="AJ22" s="57">
        <f t="shared" si="7"/>
        <v>26184</v>
      </c>
      <c r="AK22" s="94">
        <v>50</v>
      </c>
      <c r="AL22" s="55">
        <f t="shared" si="8"/>
        <v>22003</v>
      </c>
      <c r="AM22" s="55">
        <f t="shared" si="9"/>
        <v>26184</v>
      </c>
      <c r="AN22" s="59">
        <f t="shared" si="12"/>
        <v>1309200</v>
      </c>
      <c r="AO22" s="13" t="s">
        <v>112</v>
      </c>
      <c r="AP22" s="3" t="s">
        <v>145</v>
      </c>
    </row>
    <row r="23" spans="2:46" ht="70.5" customHeight="1" x14ac:dyDescent="0.25">
      <c r="B23" s="14">
        <v>19</v>
      </c>
      <c r="C23" s="17" t="s">
        <v>156</v>
      </c>
      <c r="D23" s="14" t="s">
        <v>44</v>
      </c>
      <c r="E23" s="17" t="s">
        <v>19</v>
      </c>
      <c r="F23" s="14">
        <v>1</v>
      </c>
      <c r="G23" s="26"/>
      <c r="H23" s="26"/>
      <c r="I23" s="44"/>
      <c r="J23" s="26"/>
      <c r="K23" s="28"/>
      <c r="L23" s="28"/>
      <c r="M23" s="28"/>
      <c r="N23" s="28"/>
      <c r="O23" s="67">
        <f>ROUND(109243.7,0)</f>
        <v>109244</v>
      </c>
      <c r="P23" s="67">
        <f t="shared" si="1"/>
        <v>20756</v>
      </c>
      <c r="Q23" s="62">
        <v>0.19</v>
      </c>
      <c r="R23" s="67">
        <f t="shared" si="2"/>
        <v>130000</v>
      </c>
      <c r="S23" s="30"/>
      <c r="T23" s="30"/>
      <c r="U23" s="30"/>
      <c r="V23" s="30"/>
      <c r="W23" s="77">
        <f>+ROUND(71546.22,0)</f>
        <v>71546</v>
      </c>
      <c r="X23" s="73">
        <f t="shared" si="5"/>
        <v>85140</v>
      </c>
      <c r="Y23" s="77">
        <f t="shared" si="6"/>
        <v>89567</v>
      </c>
      <c r="Z23" s="80">
        <v>0.19</v>
      </c>
      <c r="AA23" s="55">
        <f t="shared" si="10"/>
        <v>75266</v>
      </c>
      <c r="AB23" s="86">
        <f>ROUND(AD23/1.19,0)</f>
        <v>75546</v>
      </c>
      <c r="AC23" s="87">
        <f>ROUND(AB23*19%,0)</f>
        <v>14354</v>
      </c>
      <c r="AD23" s="87">
        <v>89900</v>
      </c>
      <c r="AE23" s="47" t="s">
        <v>179</v>
      </c>
      <c r="AF23" s="56">
        <v>0.19</v>
      </c>
      <c r="AG23" s="57">
        <f>ROUND(AVERAGE(AB23,AA23),0)</f>
        <v>75406</v>
      </c>
      <c r="AH23" s="57">
        <f t="shared" si="11"/>
        <v>89733</v>
      </c>
      <c r="AI23" s="57">
        <f>ROUND(GEOMEAN(AA23,AB23),0)</f>
        <v>75406</v>
      </c>
      <c r="AJ23" s="57">
        <f t="shared" si="7"/>
        <v>89733</v>
      </c>
      <c r="AK23" s="94">
        <v>28</v>
      </c>
      <c r="AL23" s="55">
        <f t="shared" si="8"/>
        <v>75406</v>
      </c>
      <c r="AM23" s="55">
        <f t="shared" si="9"/>
        <v>89733</v>
      </c>
      <c r="AN23" s="59">
        <f t="shared" si="12"/>
        <v>2512524</v>
      </c>
      <c r="AO23" s="13" t="s">
        <v>112</v>
      </c>
      <c r="AP23" s="3" t="s">
        <v>145</v>
      </c>
    </row>
    <row r="24" spans="2:46" ht="70.5" customHeight="1" x14ac:dyDescent="0.25">
      <c r="B24" s="14">
        <v>20</v>
      </c>
      <c r="C24" s="17" t="s">
        <v>174</v>
      </c>
      <c r="D24" s="14" t="s">
        <v>175</v>
      </c>
      <c r="E24" s="17" t="s">
        <v>19</v>
      </c>
      <c r="F24" s="14">
        <v>1</v>
      </c>
      <c r="G24" s="25">
        <v>156250</v>
      </c>
      <c r="H24" s="23">
        <f>ROUND(G24*0.19,0)</f>
        <v>29688</v>
      </c>
      <c r="I24" s="43">
        <v>0.19</v>
      </c>
      <c r="J24" s="25">
        <f>G24+H24</f>
        <v>185938</v>
      </c>
      <c r="K24" s="28"/>
      <c r="L24" s="28"/>
      <c r="M24" s="28"/>
      <c r="N24" s="28"/>
      <c r="O24" s="29">
        <f>ROUND(243697.48,0)</f>
        <v>243697</v>
      </c>
      <c r="P24" s="29">
        <f t="shared" si="1"/>
        <v>46302</v>
      </c>
      <c r="Q24" s="45">
        <v>0.19</v>
      </c>
      <c r="R24" s="29">
        <f t="shared" si="2"/>
        <v>289999</v>
      </c>
      <c r="S24" s="30"/>
      <c r="T24" s="30"/>
      <c r="U24" s="30"/>
      <c r="V24" s="30"/>
      <c r="W24" s="77">
        <f>+ROUND(164033.61,0)</f>
        <v>164034</v>
      </c>
      <c r="X24" s="73">
        <f t="shared" si="5"/>
        <v>195200</v>
      </c>
      <c r="Y24" s="77">
        <f t="shared" si="6"/>
        <v>205350</v>
      </c>
      <c r="Z24" s="80">
        <v>0.19</v>
      </c>
      <c r="AA24" s="55">
        <f t="shared" si="10"/>
        <v>172563</v>
      </c>
      <c r="AB24" s="81">
        <f t="shared" ref="AB24:AB32" si="13">+AD24-AC24</f>
        <v>0</v>
      </c>
      <c r="AC24" s="48"/>
      <c r="AD24" s="31"/>
      <c r="AE24" s="31"/>
      <c r="AF24" s="56">
        <v>0.19</v>
      </c>
      <c r="AG24" s="57">
        <f>ROUND(AVERAGE(G24,AA24,O24),0)</f>
        <v>190837</v>
      </c>
      <c r="AH24" s="57">
        <f t="shared" si="11"/>
        <v>227096</v>
      </c>
      <c r="AI24" s="57">
        <f>ROUND(GEOMEAN(G24,AA24,O24),0)</f>
        <v>187301</v>
      </c>
      <c r="AJ24" s="57">
        <f t="shared" si="7"/>
        <v>222888</v>
      </c>
      <c r="AK24" s="94">
        <v>17</v>
      </c>
      <c r="AL24" s="55">
        <f t="shared" si="8"/>
        <v>187301</v>
      </c>
      <c r="AM24" s="55">
        <f t="shared" si="9"/>
        <v>222888</v>
      </c>
      <c r="AN24" s="59">
        <f t="shared" si="12"/>
        <v>3789096</v>
      </c>
      <c r="AO24" s="13" t="s">
        <v>112</v>
      </c>
      <c r="AP24" s="3" t="s">
        <v>145</v>
      </c>
    </row>
    <row r="25" spans="2:46" ht="70.5" customHeight="1" x14ac:dyDescent="0.25">
      <c r="B25" s="14">
        <v>21</v>
      </c>
      <c r="C25" s="17" t="s">
        <v>27</v>
      </c>
      <c r="D25" s="14" t="s">
        <v>131</v>
      </c>
      <c r="E25" s="17" t="s">
        <v>19</v>
      </c>
      <c r="F25" s="14">
        <v>1</v>
      </c>
      <c r="G25" s="26"/>
      <c r="H25" s="26"/>
      <c r="I25" s="44"/>
      <c r="J25" s="26"/>
      <c r="K25" s="28"/>
      <c r="L25" s="28"/>
      <c r="M25" s="28"/>
      <c r="N25" s="28"/>
      <c r="O25" s="67">
        <f>ROUND(210084.03,0)</f>
        <v>210084</v>
      </c>
      <c r="P25" s="67">
        <f t="shared" si="1"/>
        <v>39916</v>
      </c>
      <c r="Q25" s="62">
        <v>0.19</v>
      </c>
      <c r="R25" s="67">
        <f t="shared" si="2"/>
        <v>250000</v>
      </c>
      <c r="S25" s="29">
        <v>170130</v>
      </c>
      <c r="T25" s="29">
        <v>32325</v>
      </c>
      <c r="U25" s="78">
        <v>0.19</v>
      </c>
      <c r="V25" s="29">
        <v>202455</v>
      </c>
      <c r="W25" s="77">
        <f>+ROUND(116806.72,0)</f>
        <v>116807</v>
      </c>
      <c r="X25" s="73">
        <f t="shared" si="5"/>
        <v>139000</v>
      </c>
      <c r="Y25" s="77">
        <f t="shared" si="6"/>
        <v>146228</v>
      </c>
      <c r="Z25" s="80">
        <v>0.19</v>
      </c>
      <c r="AA25" s="55">
        <f t="shared" si="10"/>
        <v>122881</v>
      </c>
      <c r="AB25" s="81">
        <f t="shared" si="13"/>
        <v>0</v>
      </c>
      <c r="AC25" s="48"/>
      <c r="AD25" s="31"/>
      <c r="AE25" s="31"/>
      <c r="AF25" s="56">
        <v>0.19</v>
      </c>
      <c r="AG25" s="57">
        <f>ROUND(AVERAGE(S25,AA25),0)</f>
        <v>146506</v>
      </c>
      <c r="AH25" s="57">
        <f t="shared" si="11"/>
        <v>174342</v>
      </c>
      <c r="AI25" s="57">
        <f>ROUND(GEOMEAN(S25,AA25),0)</f>
        <v>144588</v>
      </c>
      <c r="AJ25" s="57">
        <f t="shared" si="7"/>
        <v>172060</v>
      </c>
      <c r="AK25" s="94">
        <v>130</v>
      </c>
      <c r="AL25" s="55">
        <f t="shared" si="8"/>
        <v>144588</v>
      </c>
      <c r="AM25" s="55">
        <f t="shared" si="9"/>
        <v>172060</v>
      </c>
      <c r="AN25" s="59">
        <f t="shared" si="12"/>
        <v>22367800</v>
      </c>
      <c r="AO25" s="13" t="s">
        <v>112</v>
      </c>
      <c r="AP25" s="3" t="s">
        <v>145</v>
      </c>
    </row>
    <row r="26" spans="2:46" ht="70.5" customHeight="1" x14ac:dyDescent="0.25">
      <c r="B26" s="14">
        <v>22</v>
      </c>
      <c r="C26" s="17" t="s">
        <v>28</v>
      </c>
      <c r="D26" s="14" t="s">
        <v>220</v>
      </c>
      <c r="E26" s="17" t="s">
        <v>19</v>
      </c>
      <c r="F26" s="14">
        <v>1</v>
      </c>
      <c r="G26" s="26"/>
      <c r="H26" s="26"/>
      <c r="I26" s="44"/>
      <c r="J26" s="26"/>
      <c r="K26" s="28"/>
      <c r="L26" s="28"/>
      <c r="M26" s="28"/>
      <c r="N26" s="28"/>
      <c r="O26" s="29">
        <f>ROUND(378151.26,0)</f>
        <v>378151</v>
      </c>
      <c r="P26" s="29">
        <f t="shared" si="1"/>
        <v>71849</v>
      </c>
      <c r="Q26" s="78">
        <v>0.19</v>
      </c>
      <c r="R26" s="29">
        <f t="shared" si="2"/>
        <v>450000</v>
      </c>
      <c r="S26" s="29">
        <v>340000</v>
      </c>
      <c r="T26" s="29">
        <v>64600</v>
      </c>
      <c r="U26" s="78">
        <v>0.19</v>
      </c>
      <c r="V26" s="29">
        <v>404600</v>
      </c>
      <c r="W26" s="77">
        <f>+ROUND(301848.74,0)</f>
        <v>301849</v>
      </c>
      <c r="X26" s="73">
        <f t="shared" si="5"/>
        <v>359200</v>
      </c>
      <c r="Y26" s="77">
        <f t="shared" si="6"/>
        <v>377878</v>
      </c>
      <c r="Z26" s="80">
        <v>0.19</v>
      </c>
      <c r="AA26" s="55">
        <f t="shared" si="10"/>
        <v>317545</v>
      </c>
      <c r="AB26" s="81">
        <f t="shared" si="13"/>
        <v>0</v>
      </c>
      <c r="AC26" s="48"/>
      <c r="AD26" s="31"/>
      <c r="AE26" s="31"/>
      <c r="AF26" s="56">
        <v>0.19</v>
      </c>
      <c r="AG26" s="57">
        <f>ROUND(AVERAGE(O26,S26,AA26),0)</f>
        <v>345232</v>
      </c>
      <c r="AH26" s="57">
        <f t="shared" si="11"/>
        <v>410826</v>
      </c>
      <c r="AI26" s="57">
        <f>ROUND(GEOMEAN(O26,S26,AA26),0)</f>
        <v>344337</v>
      </c>
      <c r="AJ26" s="57">
        <f t="shared" si="7"/>
        <v>409761</v>
      </c>
      <c r="AK26" s="94">
        <v>81</v>
      </c>
      <c r="AL26" s="55">
        <f t="shared" si="8"/>
        <v>344337</v>
      </c>
      <c r="AM26" s="55">
        <f t="shared" si="9"/>
        <v>409761</v>
      </c>
      <c r="AN26" s="59">
        <f t="shared" si="12"/>
        <v>33190641</v>
      </c>
      <c r="AO26" s="13" t="s">
        <v>112</v>
      </c>
      <c r="AP26" s="3" t="s">
        <v>145</v>
      </c>
    </row>
    <row r="27" spans="2:46" ht="70.5" customHeight="1" x14ac:dyDescent="0.25">
      <c r="B27" s="14">
        <v>23</v>
      </c>
      <c r="C27" s="17" t="s">
        <v>29</v>
      </c>
      <c r="D27" s="14" t="s">
        <v>132</v>
      </c>
      <c r="E27" s="17" t="s">
        <v>19</v>
      </c>
      <c r="F27" s="14">
        <v>1</v>
      </c>
      <c r="G27" s="25">
        <v>33500</v>
      </c>
      <c r="H27" s="83">
        <f>G27*0.19</f>
        <v>6365</v>
      </c>
      <c r="I27" s="45">
        <v>0.19</v>
      </c>
      <c r="J27" s="25">
        <f>G27+H27</f>
        <v>39865</v>
      </c>
      <c r="K27" s="28"/>
      <c r="L27" s="28"/>
      <c r="M27" s="28"/>
      <c r="N27" s="28"/>
      <c r="O27" s="29">
        <f>ROUND(92436.97,0)</f>
        <v>92437</v>
      </c>
      <c r="P27" s="29">
        <f t="shared" si="1"/>
        <v>17563</v>
      </c>
      <c r="Q27" s="78">
        <v>0.19</v>
      </c>
      <c r="R27" s="29">
        <f t="shared" si="2"/>
        <v>110000</v>
      </c>
      <c r="S27" s="29">
        <v>116360</v>
      </c>
      <c r="T27" s="29">
        <v>22108</v>
      </c>
      <c r="U27" s="78">
        <v>0.19</v>
      </c>
      <c r="V27" s="29">
        <v>138468</v>
      </c>
      <c r="W27" s="77">
        <f>+ROUND(45882.35,0)</f>
        <v>45882</v>
      </c>
      <c r="X27" s="73">
        <f t="shared" si="5"/>
        <v>54600</v>
      </c>
      <c r="Y27" s="77">
        <f t="shared" si="6"/>
        <v>57439</v>
      </c>
      <c r="Z27" s="80">
        <v>0.19</v>
      </c>
      <c r="AA27" s="55">
        <f t="shared" si="10"/>
        <v>48268</v>
      </c>
      <c r="AB27" s="81">
        <f t="shared" si="13"/>
        <v>0</v>
      </c>
      <c r="AC27" s="48"/>
      <c r="AD27" s="31"/>
      <c r="AE27" s="31"/>
      <c r="AF27" s="56">
        <v>0.19</v>
      </c>
      <c r="AG27" s="57">
        <f>ROUND(AVERAGE(O27,S27,AA27,G27),0)</f>
        <v>72641</v>
      </c>
      <c r="AH27" s="57">
        <f>ROUND(AG27*(1+AF27),0)</f>
        <v>86443</v>
      </c>
      <c r="AI27" s="57">
        <f>ROUND(GEOMEAN(O27,S27,AA27,G27),0)</f>
        <v>64579</v>
      </c>
      <c r="AJ27" s="57">
        <f t="shared" si="7"/>
        <v>76849</v>
      </c>
      <c r="AK27" s="94">
        <v>56</v>
      </c>
      <c r="AL27" s="55">
        <f t="shared" si="8"/>
        <v>64579</v>
      </c>
      <c r="AM27" s="55">
        <f t="shared" si="9"/>
        <v>76849</v>
      </c>
      <c r="AN27" s="59">
        <f t="shared" si="12"/>
        <v>4303544</v>
      </c>
      <c r="AO27" s="13" t="s">
        <v>112</v>
      </c>
      <c r="AP27" s="3" t="s">
        <v>145</v>
      </c>
    </row>
    <row r="28" spans="2:46" ht="70.5" customHeight="1" x14ac:dyDescent="0.25">
      <c r="B28" s="14">
        <v>24</v>
      </c>
      <c r="C28" s="17" t="s">
        <v>30</v>
      </c>
      <c r="D28" s="14" t="s">
        <v>133</v>
      </c>
      <c r="E28" s="17" t="s">
        <v>19</v>
      </c>
      <c r="F28" s="14">
        <v>1</v>
      </c>
      <c r="G28" s="25">
        <v>43000</v>
      </c>
      <c r="H28" s="23">
        <f t="shared" ref="H28:H29" si="14">G28*0.19</f>
        <v>8170</v>
      </c>
      <c r="I28" s="43">
        <v>0.19</v>
      </c>
      <c r="J28" s="25">
        <f>G28+H28</f>
        <v>51170</v>
      </c>
      <c r="K28" s="28"/>
      <c r="L28" s="28"/>
      <c r="M28" s="28"/>
      <c r="N28" s="28"/>
      <c r="O28" s="29">
        <f>ROUND(92436.97,0)</f>
        <v>92437</v>
      </c>
      <c r="P28" s="29">
        <f t="shared" si="1"/>
        <v>17563</v>
      </c>
      <c r="Q28" s="78">
        <v>0.19</v>
      </c>
      <c r="R28" s="29">
        <f t="shared" si="2"/>
        <v>110000</v>
      </c>
      <c r="S28" s="29">
        <v>104124</v>
      </c>
      <c r="T28" s="29">
        <v>19784</v>
      </c>
      <c r="U28" s="78">
        <v>0.19</v>
      </c>
      <c r="V28" s="29">
        <v>123908</v>
      </c>
      <c r="W28" s="77">
        <f>+ROUND(66974.79,0)</f>
        <v>66975</v>
      </c>
      <c r="X28" s="73">
        <f t="shared" si="5"/>
        <v>79700</v>
      </c>
      <c r="Y28" s="77">
        <f t="shared" si="6"/>
        <v>83844</v>
      </c>
      <c r="Z28" s="80">
        <v>0.19</v>
      </c>
      <c r="AA28" s="55">
        <f t="shared" si="10"/>
        <v>70457</v>
      </c>
      <c r="AB28" s="81">
        <f t="shared" si="13"/>
        <v>0</v>
      </c>
      <c r="AC28" s="48"/>
      <c r="AD28" s="31"/>
      <c r="AE28" s="31"/>
      <c r="AF28" s="56">
        <v>0.19</v>
      </c>
      <c r="AG28" s="57">
        <f>ROUND(AVERAGE(O28,S28,AA28,G28),0)</f>
        <v>77505</v>
      </c>
      <c r="AH28" s="57">
        <f t="shared" si="11"/>
        <v>92231</v>
      </c>
      <c r="AI28" s="57">
        <f>ROUND(GEOMEAN(O28,S28,AA28,G28),0)</f>
        <v>73485</v>
      </c>
      <c r="AJ28" s="57">
        <f t="shared" si="7"/>
        <v>87447</v>
      </c>
      <c r="AK28" s="94">
        <v>56</v>
      </c>
      <c r="AL28" s="55">
        <f t="shared" si="8"/>
        <v>73485</v>
      </c>
      <c r="AM28" s="55">
        <f t="shared" si="9"/>
        <v>87447</v>
      </c>
      <c r="AN28" s="59">
        <f t="shared" si="12"/>
        <v>4897032</v>
      </c>
      <c r="AO28" s="13" t="s">
        <v>112</v>
      </c>
      <c r="AP28" s="3" t="s">
        <v>145</v>
      </c>
    </row>
    <row r="29" spans="2:46" ht="77.25" customHeight="1" x14ac:dyDescent="0.25">
      <c r="B29" s="14">
        <v>25</v>
      </c>
      <c r="C29" s="17" t="s">
        <v>31</v>
      </c>
      <c r="D29" s="14" t="s">
        <v>45</v>
      </c>
      <c r="E29" s="17" t="s">
        <v>19</v>
      </c>
      <c r="F29" s="14">
        <v>1</v>
      </c>
      <c r="G29" s="25">
        <v>13600</v>
      </c>
      <c r="H29" s="23">
        <f t="shared" si="14"/>
        <v>2584</v>
      </c>
      <c r="I29" s="43">
        <v>0.19</v>
      </c>
      <c r="J29" s="25">
        <f>G29+H29</f>
        <v>16184</v>
      </c>
      <c r="K29" s="28"/>
      <c r="L29" s="28"/>
      <c r="M29" s="28"/>
      <c r="N29" s="28"/>
      <c r="O29" s="29">
        <f>ROUND(21008.4,0)</f>
        <v>21008</v>
      </c>
      <c r="P29" s="29">
        <f t="shared" si="1"/>
        <v>3992</v>
      </c>
      <c r="Q29" s="78">
        <v>0.19</v>
      </c>
      <c r="R29" s="29">
        <f t="shared" si="2"/>
        <v>25000</v>
      </c>
      <c r="S29" s="67">
        <v>11600</v>
      </c>
      <c r="T29" s="67">
        <v>2204</v>
      </c>
      <c r="U29" s="62">
        <v>0.19</v>
      </c>
      <c r="V29" s="67">
        <f>S29+T29</f>
        <v>13804</v>
      </c>
      <c r="W29" s="77">
        <f>+ROUND(16638.66,0)</f>
        <v>16639</v>
      </c>
      <c r="X29" s="73">
        <f t="shared" si="5"/>
        <v>19800</v>
      </c>
      <c r="Y29" s="77">
        <f t="shared" si="6"/>
        <v>20830</v>
      </c>
      <c r="Z29" s="80">
        <v>0.19</v>
      </c>
      <c r="AA29" s="55">
        <f t="shared" si="10"/>
        <v>17504</v>
      </c>
      <c r="AB29" s="81">
        <f t="shared" si="13"/>
        <v>0</v>
      </c>
      <c r="AC29" s="48"/>
      <c r="AD29" s="31"/>
      <c r="AE29" s="31"/>
      <c r="AF29" s="56">
        <v>0.19</v>
      </c>
      <c r="AG29" s="57">
        <f>ROUND(AVERAGE(O29,G29,AA29),0)</f>
        <v>17371</v>
      </c>
      <c r="AH29" s="57">
        <f t="shared" si="11"/>
        <v>20671</v>
      </c>
      <c r="AI29" s="57">
        <f>ROUND(GEOMEAN(G29,O29,AA29),0)</f>
        <v>17101</v>
      </c>
      <c r="AJ29" s="57">
        <f t="shared" si="7"/>
        <v>20350</v>
      </c>
      <c r="AK29" s="94">
        <v>220</v>
      </c>
      <c r="AL29" s="55">
        <f t="shared" si="8"/>
        <v>17101</v>
      </c>
      <c r="AM29" s="55">
        <f t="shared" si="9"/>
        <v>20350</v>
      </c>
      <c r="AN29" s="59">
        <f t="shared" si="12"/>
        <v>4477000</v>
      </c>
      <c r="AO29" s="13" t="s">
        <v>112</v>
      </c>
      <c r="AP29" s="3" t="s">
        <v>145</v>
      </c>
    </row>
    <row r="30" spans="2:46" ht="70.5" customHeight="1" x14ac:dyDescent="0.25">
      <c r="B30" s="14">
        <v>26</v>
      </c>
      <c r="C30" s="17" t="s">
        <v>32</v>
      </c>
      <c r="D30" s="14" t="s">
        <v>46</v>
      </c>
      <c r="E30" s="17" t="s">
        <v>19</v>
      </c>
      <c r="F30" s="14">
        <v>1</v>
      </c>
      <c r="G30" s="26"/>
      <c r="H30" s="26"/>
      <c r="I30" s="44"/>
      <c r="J30" s="26"/>
      <c r="K30" s="28"/>
      <c r="L30" s="28"/>
      <c r="M30" s="28"/>
      <c r="N30" s="28"/>
      <c r="O30" s="29">
        <f>ROUND(21008.4,0)</f>
        <v>21008</v>
      </c>
      <c r="P30" s="29">
        <f t="shared" si="1"/>
        <v>3992</v>
      </c>
      <c r="Q30" s="78">
        <v>0.19</v>
      </c>
      <c r="R30" s="29">
        <f t="shared" si="2"/>
        <v>25000</v>
      </c>
      <c r="S30" s="67">
        <v>12661</v>
      </c>
      <c r="T30" s="67">
        <v>2406</v>
      </c>
      <c r="U30" s="62">
        <v>0.19</v>
      </c>
      <c r="V30" s="67">
        <v>15067</v>
      </c>
      <c r="W30" s="77">
        <f>+ROUND(25126.05,0)</f>
        <v>25126</v>
      </c>
      <c r="X30" s="73">
        <f t="shared" si="5"/>
        <v>29900</v>
      </c>
      <c r="Y30" s="77">
        <f t="shared" si="6"/>
        <v>31455</v>
      </c>
      <c r="Z30" s="80">
        <v>0.19</v>
      </c>
      <c r="AA30" s="55">
        <f t="shared" si="10"/>
        <v>26433</v>
      </c>
      <c r="AB30" s="81">
        <f t="shared" si="13"/>
        <v>0</v>
      </c>
      <c r="AC30" s="48"/>
      <c r="AD30" s="31"/>
      <c r="AE30" s="31"/>
      <c r="AF30" s="56">
        <v>0.19</v>
      </c>
      <c r="AG30" s="57">
        <f>ROUND(AVERAGE(O30,,AA30),0)</f>
        <v>15814</v>
      </c>
      <c r="AH30" s="57">
        <f t="shared" si="11"/>
        <v>18819</v>
      </c>
      <c r="AI30" s="57">
        <f>ROUND(GEOMEAN(O30,AA30),0)</f>
        <v>23565</v>
      </c>
      <c r="AJ30" s="57">
        <f t="shared" si="7"/>
        <v>28042</v>
      </c>
      <c r="AK30" s="94">
        <v>125</v>
      </c>
      <c r="AL30" s="55">
        <f t="shared" si="8"/>
        <v>23565</v>
      </c>
      <c r="AM30" s="55">
        <f>AJ30</f>
        <v>28042</v>
      </c>
      <c r="AN30" s="59">
        <f t="shared" si="12"/>
        <v>3505250</v>
      </c>
      <c r="AO30" s="13" t="s">
        <v>112</v>
      </c>
      <c r="AP30" s="3" t="s">
        <v>145</v>
      </c>
    </row>
    <row r="31" spans="2:46" ht="70.5" customHeight="1" x14ac:dyDescent="0.25">
      <c r="B31" s="14">
        <v>27</v>
      </c>
      <c r="C31" s="17" t="s">
        <v>33</v>
      </c>
      <c r="D31" s="14" t="s">
        <v>47</v>
      </c>
      <c r="E31" s="17" t="s">
        <v>19</v>
      </c>
      <c r="F31" s="14">
        <v>1</v>
      </c>
      <c r="G31" s="26"/>
      <c r="H31" s="26"/>
      <c r="I31" s="44"/>
      <c r="J31" s="26"/>
      <c r="K31" s="28"/>
      <c r="L31" s="28"/>
      <c r="M31" s="28"/>
      <c r="N31" s="28"/>
      <c r="O31" s="29">
        <f>ROUND(29411.76,0)</f>
        <v>29412</v>
      </c>
      <c r="P31" s="29">
        <f t="shared" si="1"/>
        <v>5588</v>
      </c>
      <c r="Q31" s="78">
        <v>0.19</v>
      </c>
      <c r="R31" s="29">
        <f t="shared" ref="R31:R35" si="15">O31+P31</f>
        <v>35000</v>
      </c>
      <c r="S31" s="67">
        <v>16917</v>
      </c>
      <c r="T31" s="67">
        <v>3214</v>
      </c>
      <c r="U31" s="62">
        <v>0.19</v>
      </c>
      <c r="V31" s="67">
        <v>20132</v>
      </c>
      <c r="W31" s="77">
        <f>+ROUND(24369.75,0)</f>
        <v>24370</v>
      </c>
      <c r="X31" s="73">
        <f t="shared" si="5"/>
        <v>29000</v>
      </c>
      <c r="Y31" s="77">
        <f t="shared" si="6"/>
        <v>30508</v>
      </c>
      <c r="Z31" s="80">
        <v>0.19</v>
      </c>
      <c r="AA31" s="55">
        <f t="shared" si="10"/>
        <v>25637</v>
      </c>
      <c r="AB31" s="81">
        <f t="shared" si="13"/>
        <v>0</v>
      </c>
      <c r="AC31" s="48"/>
      <c r="AD31" s="31"/>
      <c r="AE31" s="31"/>
      <c r="AF31" s="56">
        <v>0.19</v>
      </c>
      <c r="AG31" s="57">
        <f>ROUND(AVERAGE(O31,AA31),0)</f>
        <v>27525</v>
      </c>
      <c r="AH31" s="57">
        <f t="shared" si="11"/>
        <v>32755</v>
      </c>
      <c r="AI31" s="57">
        <f>ROUND(GEOMEAN(O31,AA31),0)</f>
        <v>27460</v>
      </c>
      <c r="AJ31" s="57">
        <f t="shared" si="7"/>
        <v>32677</v>
      </c>
      <c r="AK31" s="94">
        <v>160</v>
      </c>
      <c r="AL31" s="55">
        <f t="shared" si="8"/>
        <v>27460</v>
      </c>
      <c r="AM31" s="55">
        <f>+AJ31</f>
        <v>32677</v>
      </c>
      <c r="AN31" s="59">
        <f t="shared" si="12"/>
        <v>5228320</v>
      </c>
      <c r="AO31" s="13" t="s">
        <v>112</v>
      </c>
      <c r="AP31" s="3" t="s">
        <v>145</v>
      </c>
    </row>
    <row r="32" spans="2:46" ht="70.5" customHeight="1" x14ac:dyDescent="0.25">
      <c r="B32" s="14">
        <v>28</v>
      </c>
      <c r="C32" s="17" t="s">
        <v>34</v>
      </c>
      <c r="D32" s="14" t="s">
        <v>134</v>
      </c>
      <c r="E32" s="17" t="s">
        <v>19</v>
      </c>
      <c r="F32" s="14">
        <v>1</v>
      </c>
      <c r="G32" s="26"/>
      <c r="H32" s="26"/>
      <c r="I32" s="44"/>
      <c r="J32" s="26"/>
      <c r="K32" s="28"/>
      <c r="L32" s="28"/>
      <c r="M32" s="28"/>
      <c r="N32" s="28"/>
      <c r="O32" s="67">
        <f>ROUND(117647.06,0)</f>
        <v>117647</v>
      </c>
      <c r="P32" s="67">
        <f t="shared" si="1"/>
        <v>22353</v>
      </c>
      <c r="Q32" s="62">
        <v>0.19</v>
      </c>
      <c r="R32" s="67">
        <f t="shared" si="15"/>
        <v>140000</v>
      </c>
      <c r="S32" s="29">
        <v>59376</v>
      </c>
      <c r="T32" s="29">
        <v>11281</v>
      </c>
      <c r="U32" s="78">
        <v>0.19</v>
      </c>
      <c r="V32" s="29">
        <v>70657</v>
      </c>
      <c r="W32" s="77">
        <f>+ROUND(49579.83,0)</f>
        <v>49580</v>
      </c>
      <c r="X32" s="73">
        <f t="shared" si="5"/>
        <v>59000</v>
      </c>
      <c r="Y32" s="77">
        <f t="shared" si="6"/>
        <v>62068</v>
      </c>
      <c r="Z32" s="80">
        <v>0.19</v>
      </c>
      <c r="AA32" s="55">
        <f t="shared" si="10"/>
        <v>52158</v>
      </c>
      <c r="AB32" s="81">
        <f t="shared" si="13"/>
        <v>0</v>
      </c>
      <c r="AC32" s="48"/>
      <c r="AD32" s="31"/>
      <c r="AE32" s="31"/>
      <c r="AF32" s="56">
        <v>0.19</v>
      </c>
      <c r="AG32" s="57">
        <f>ROUND(AVERAGE(S32,AA32),0)</f>
        <v>55767</v>
      </c>
      <c r="AH32" s="57">
        <f t="shared" si="11"/>
        <v>66363</v>
      </c>
      <c r="AI32" s="57">
        <f>ROUND(GEOMEAN(S32,AA32),0)</f>
        <v>55650</v>
      </c>
      <c r="AJ32" s="57">
        <f t="shared" si="7"/>
        <v>66224</v>
      </c>
      <c r="AK32" s="94">
        <v>85</v>
      </c>
      <c r="AL32" s="55">
        <f t="shared" si="8"/>
        <v>55650</v>
      </c>
      <c r="AM32" s="55">
        <f>+AJ32</f>
        <v>66224</v>
      </c>
      <c r="AN32" s="59">
        <f t="shared" si="12"/>
        <v>5629040</v>
      </c>
      <c r="AO32" s="13" t="s">
        <v>112</v>
      </c>
      <c r="AP32" s="3" t="s">
        <v>145</v>
      </c>
    </row>
    <row r="33" spans="1:46" ht="70.5" customHeight="1" x14ac:dyDescent="0.25">
      <c r="B33" s="14">
        <v>29</v>
      </c>
      <c r="C33" s="17" t="s">
        <v>35</v>
      </c>
      <c r="D33" s="14" t="s">
        <v>176</v>
      </c>
      <c r="E33" s="17" t="s">
        <v>19</v>
      </c>
      <c r="F33" s="14">
        <v>1</v>
      </c>
      <c r="G33" s="26"/>
      <c r="H33" s="26"/>
      <c r="I33" s="44"/>
      <c r="J33" s="26"/>
      <c r="K33" s="28"/>
      <c r="L33" s="28"/>
      <c r="M33" s="28"/>
      <c r="N33" s="28"/>
      <c r="O33" s="29">
        <f>ROUND(159663.87,0)</f>
        <v>159664</v>
      </c>
      <c r="P33" s="29">
        <f t="shared" si="1"/>
        <v>30336</v>
      </c>
      <c r="Q33" s="78">
        <v>0.19</v>
      </c>
      <c r="R33" s="29">
        <f t="shared" si="15"/>
        <v>190000</v>
      </c>
      <c r="S33" s="29">
        <v>84000</v>
      </c>
      <c r="T33" s="29">
        <v>15960</v>
      </c>
      <c r="U33" s="78">
        <v>0.19</v>
      </c>
      <c r="V33" s="29">
        <v>99960</v>
      </c>
      <c r="W33" s="30"/>
      <c r="X33" s="73"/>
      <c r="Y33" s="29"/>
      <c r="Z33" s="56"/>
      <c r="AA33" s="55"/>
      <c r="AB33" s="86">
        <f>ROUND(AD33/1.19,0)</f>
        <v>78655</v>
      </c>
      <c r="AC33" s="87">
        <f>ROUND(AB33*19%,0)</f>
        <v>14944</v>
      </c>
      <c r="AD33" s="87">
        <v>93599</v>
      </c>
      <c r="AE33" s="47" t="s">
        <v>180</v>
      </c>
      <c r="AF33" s="56">
        <v>0.19</v>
      </c>
      <c r="AG33" s="57">
        <f>ROUND(AVERAGE(O33,S33,AB33),0)</f>
        <v>107440</v>
      </c>
      <c r="AH33" s="57">
        <f t="shared" si="11"/>
        <v>127854</v>
      </c>
      <c r="AI33" s="57">
        <f>ROUND(GEOMEAN(O33,S33,AB33),0)</f>
        <v>101798</v>
      </c>
      <c r="AJ33" s="57">
        <f t="shared" si="7"/>
        <v>121140</v>
      </c>
      <c r="AK33" s="94">
        <v>80</v>
      </c>
      <c r="AL33" s="55">
        <f t="shared" si="8"/>
        <v>101798</v>
      </c>
      <c r="AM33" s="55">
        <f>+AJ33</f>
        <v>121140</v>
      </c>
      <c r="AN33" s="59">
        <f t="shared" si="12"/>
        <v>9691200</v>
      </c>
      <c r="AO33" s="13" t="s">
        <v>112</v>
      </c>
      <c r="AP33" s="3" t="s">
        <v>145</v>
      </c>
    </row>
    <row r="34" spans="1:46" s="2" customFormat="1" ht="70.5" customHeight="1" x14ac:dyDescent="0.25">
      <c r="B34" s="14">
        <v>30</v>
      </c>
      <c r="C34" s="17" t="s">
        <v>15</v>
      </c>
      <c r="D34" s="14" t="s">
        <v>210</v>
      </c>
      <c r="E34" s="17" t="s">
        <v>19</v>
      </c>
      <c r="F34" s="14">
        <v>1</v>
      </c>
      <c r="G34" s="60">
        <v>42500</v>
      </c>
      <c r="H34" s="61">
        <f>G34*0.19</f>
        <v>8075</v>
      </c>
      <c r="I34" s="62">
        <v>0.19</v>
      </c>
      <c r="J34" s="60">
        <f>G34+H34</f>
        <v>50575</v>
      </c>
      <c r="K34" s="28"/>
      <c r="L34" s="28"/>
      <c r="M34" s="28"/>
      <c r="N34" s="28"/>
      <c r="O34" s="29">
        <f>ROUND(159663.87,0)</f>
        <v>159664</v>
      </c>
      <c r="P34" s="29">
        <f t="shared" si="1"/>
        <v>30336</v>
      </c>
      <c r="Q34" s="78">
        <v>0.19</v>
      </c>
      <c r="R34" s="29">
        <f t="shared" si="15"/>
        <v>190000</v>
      </c>
      <c r="S34" s="30"/>
      <c r="T34" s="30"/>
      <c r="U34" s="30"/>
      <c r="V34" s="30"/>
      <c r="W34" s="30"/>
      <c r="X34" s="73"/>
      <c r="Y34" s="29"/>
      <c r="Z34" s="56"/>
      <c r="AA34" s="55"/>
      <c r="AB34" s="86">
        <f>ROUND(AD34/1.19,0)</f>
        <v>103361</v>
      </c>
      <c r="AC34" s="87">
        <f>ROUND(AB34*19%,0)</f>
        <v>19639</v>
      </c>
      <c r="AD34" s="87">
        <v>123000</v>
      </c>
      <c r="AE34" s="66" t="s">
        <v>138</v>
      </c>
      <c r="AF34" s="68">
        <v>0.19</v>
      </c>
      <c r="AG34" s="57">
        <f>ROUND(AVERAGE(O34,AB34),0)</f>
        <v>131513</v>
      </c>
      <c r="AH34" s="57">
        <f t="shared" si="11"/>
        <v>156500</v>
      </c>
      <c r="AI34" s="57">
        <f>ROUND(GEOMEAN(O34,AB34),0)</f>
        <v>128464</v>
      </c>
      <c r="AJ34" s="57">
        <f t="shared" si="7"/>
        <v>152872</v>
      </c>
      <c r="AK34" s="94">
        <v>2</v>
      </c>
      <c r="AL34" s="55">
        <f t="shared" si="8"/>
        <v>128464</v>
      </c>
      <c r="AM34" s="55">
        <f>AJ34</f>
        <v>152872</v>
      </c>
      <c r="AN34" s="59">
        <f>ROUND(AM34*AK34,0)</f>
        <v>305744</v>
      </c>
      <c r="AO34" s="12" t="s">
        <v>111</v>
      </c>
      <c r="AP34" s="3" t="s">
        <v>145</v>
      </c>
      <c r="AQ34" s="1"/>
      <c r="AS34" s="1"/>
      <c r="AT34" s="1"/>
    </row>
    <row r="35" spans="1:46" s="2" customFormat="1" ht="70.5" customHeight="1" x14ac:dyDescent="0.25">
      <c r="B35" s="14">
        <v>31</v>
      </c>
      <c r="C35" s="17" t="s">
        <v>157</v>
      </c>
      <c r="D35" s="14" t="s">
        <v>135</v>
      </c>
      <c r="E35" s="17" t="s">
        <v>19</v>
      </c>
      <c r="F35" s="14">
        <v>1</v>
      </c>
      <c r="G35" s="25">
        <v>66500</v>
      </c>
      <c r="H35" s="23">
        <f>G35*0.19</f>
        <v>12635</v>
      </c>
      <c r="I35" s="43">
        <v>0.19</v>
      </c>
      <c r="J35" s="25">
        <f>G35+H35</f>
        <v>79135</v>
      </c>
      <c r="K35" s="28"/>
      <c r="L35" s="28"/>
      <c r="M35" s="28"/>
      <c r="N35" s="28"/>
      <c r="O35" s="29">
        <f>ROUND(134453.78,0)</f>
        <v>134454</v>
      </c>
      <c r="P35" s="29">
        <f t="shared" si="1"/>
        <v>25546</v>
      </c>
      <c r="Q35" s="78">
        <v>0.19</v>
      </c>
      <c r="R35" s="29">
        <f t="shared" si="15"/>
        <v>160000</v>
      </c>
      <c r="S35" s="30"/>
      <c r="T35" s="30"/>
      <c r="U35" s="30"/>
      <c r="V35" s="30"/>
      <c r="W35" s="30"/>
      <c r="X35" s="73"/>
      <c r="Y35" s="29"/>
      <c r="Z35" s="56"/>
      <c r="AA35" s="55"/>
      <c r="AB35" s="86">
        <f>ROUND(AD35/1.19,0)</f>
        <v>67227</v>
      </c>
      <c r="AC35" s="87">
        <f>ROUND(AB35*19%,0)</f>
        <v>12773</v>
      </c>
      <c r="AD35" s="48">
        <v>80000</v>
      </c>
      <c r="AE35" s="66" t="s">
        <v>181</v>
      </c>
      <c r="AF35" s="68">
        <v>0.19</v>
      </c>
      <c r="AG35" s="57">
        <f>ROUND(AVERAGE(O35,G35,AB35),0)</f>
        <v>89394</v>
      </c>
      <c r="AH35" s="57">
        <f t="shared" si="11"/>
        <v>106379</v>
      </c>
      <c r="AI35" s="57">
        <f>ROUND(GEOMEAN(G35,O35,AB35),0)</f>
        <v>84394</v>
      </c>
      <c r="AJ35" s="57">
        <f t="shared" si="7"/>
        <v>100429</v>
      </c>
      <c r="AK35" s="94">
        <v>4</v>
      </c>
      <c r="AL35" s="55">
        <f t="shared" si="8"/>
        <v>84394</v>
      </c>
      <c r="AM35" s="55">
        <f>+AJ35</f>
        <v>100429</v>
      </c>
      <c r="AN35" s="59">
        <f t="shared" si="12"/>
        <v>401716</v>
      </c>
      <c r="AO35" s="12" t="s">
        <v>111</v>
      </c>
      <c r="AP35" s="3" t="s">
        <v>145</v>
      </c>
      <c r="AQ35" s="1"/>
      <c r="AS35" s="1"/>
      <c r="AT35" s="1"/>
    </row>
    <row r="36" spans="1:46" x14ac:dyDescent="0.25">
      <c r="B36" s="105" t="s">
        <v>17</v>
      </c>
      <c r="C36" s="105"/>
      <c r="D36" s="105"/>
      <c r="E36" s="105"/>
      <c r="F36" s="105"/>
      <c r="G36" s="105"/>
      <c r="H36" s="105"/>
      <c r="I36" s="105"/>
      <c r="J36" s="105"/>
      <c r="K36" s="105"/>
      <c r="L36" s="105"/>
      <c r="M36" s="105"/>
      <c r="N36" s="105"/>
      <c r="O36" s="105"/>
      <c r="P36" s="105"/>
      <c r="Q36" s="105"/>
      <c r="R36" s="105"/>
      <c r="S36" s="105"/>
      <c r="T36" s="105"/>
      <c r="U36" s="105"/>
      <c r="V36" s="105"/>
      <c r="W36" s="105"/>
      <c r="X36" s="105"/>
      <c r="Y36" s="105"/>
      <c r="Z36" s="105"/>
      <c r="AA36" s="105"/>
      <c r="AB36" s="105"/>
      <c r="AC36" s="105"/>
      <c r="AD36" s="105"/>
      <c r="AE36" s="105"/>
      <c r="AF36" s="105"/>
      <c r="AG36" s="105"/>
      <c r="AH36" s="105"/>
      <c r="AI36" s="53"/>
      <c r="AJ36" s="53"/>
      <c r="AK36" s="18"/>
      <c r="AL36" s="18"/>
      <c r="AM36" s="18"/>
      <c r="AN36" s="32">
        <f>SUM(AN5:AN35)</f>
        <v>346105472</v>
      </c>
      <c r="AO36" s="21"/>
    </row>
    <row r="38" spans="1:46" x14ac:dyDescent="0.25">
      <c r="AN38" s="92">
        <f>+AN36+'Grupo 2-Epp y AEM'!AG38</f>
        <v>404183740</v>
      </c>
    </row>
    <row r="39" spans="1:46" ht="15" customHeight="1" x14ac:dyDescent="0.25">
      <c r="B39" s="97" t="s">
        <v>193</v>
      </c>
      <c r="C39" s="98"/>
      <c r="D39" s="98"/>
      <c r="E39" s="98"/>
      <c r="F39" s="99"/>
      <c r="AN39" s="92">
        <f>+AN36+'Grupo 2-Epp y AEM'!AG38</f>
        <v>404183740</v>
      </c>
    </row>
    <row r="40" spans="1:46" ht="63.75" customHeight="1" x14ac:dyDescent="0.25">
      <c r="A40" s="19"/>
      <c r="B40" s="35" t="s">
        <v>194</v>
      </c>
      <c r="C40" s="95" t="s">
        <v>199</v>
      </c>
      <c r="D40" s="95"/>
      <c r="E40" s="95"/>
      <c r="F40" s="95"/>
    </row>
    <row r="41" spans="1:46" ht="103.5" customHeight="1" x14ac:dyDescent="0.25">
      <c r="A41" s="19"/>
      <c r="B41" s="35" t="s">
        <v>195</v>
      </c>
      <c r="C41" s="95" t="s">
        <v>204</v>
      </c>
      <c r="D41" s="95"/>
      <c r="E41" s="95"/>
      <c r="F41" s="95"/>
    </row>
    <row r="42" spans="1:46" ht="51" customHeight="1" x14ac:dyDescent="0.25">
      <c r="B42" s="3">
        <v>3</v>
      </c>
      <c r="C42" s="96" t="s">
        <v>200</v>
      </c>
      <c r="D42" s="96"/>
      <c r="E42" s="96"/>
      <c r="F42" s="96"/>
    </row>
  </sheetData>
  <autoFilter ref="A4:AQ36" xr:uid="{B3B80019-94F0-40E3-95CF-5BE00D67D1A8}"/>
  <mergeCells count="31">
    <mergeCell ref="AG3:AG4"/>
    <mergeCell ref="AN3:AN4"/>
    <mergeCell ref="AP3:AP4"/>
    <mergeCell ref="AD3:AD4"/>
    <mergeCell ref="AC3:AC4"/>
    <mergeCell ref="AH3:AH4"/>
    <mergeCell ref="AJ3:AJ4"/>
    <mergeCell ref="AL3:AL4"/>
    <mergeCell ref="AM3:AM4"/>
    <mergeCell ref="C3:C4"/>
    <mergeCell ref="D3:D4"/>
    <mergeCell ref="F3:F4"/>
    <mergeCell ref="E3:E4"/>
    <mergeCell ref="AF3:AF4"/>
    <mergeCell ref="W3:AA3"/>
    <mergeCell ref="C40:F40"/>
    <mergeCell ref="C41:F41"/>
    <mergeCell ref="C42:F42"/>
    <mergeCell ref="B39:F39"/>
    <mergeCell ref="B2:AO2"/>
    <mergeCell ref="AK3:AK4"/>
    <mergeCell ref="G3:J3"/>
    <mergeCell ref="K3:N3"/>
    <mergeCell ref="O3:R3"/>
    <mergeCell ref="S3:V3"/>
    <mergeCell ref="AB3:AB4"/>
    <mergeCell ref="AE3:AE4"/>
    <mergeCell ref="AO3:AO4"/>
    <mergeCell ref="AI3:AI4"/>
    <mergeCell ref="B36:AH36"/>
    <mergeCell ref="B3:B4"/>
  </mergeCells>
  <hyperlinks>
    <hyperlink ref="AE34" r:id="rId1" xr:uid="{41B5302A-2404-433D-B2A5-E8BF2D722373}"/>
    <hyperlink ref="AE35" r:id="rId2" xr:uid="{9F23FF0B-8DC9-4E21-92EE-BE2D0EEA3477}"/>
    <hyperlink ref="AE18" r:id="rId3" xr:uid="{9DA83837-4C80-4EDB-95E4-FBAE9D749B6E}"/>
    <hyperlink ref="AE33" r:id="rId4" xr:uid="{A7CC8EB3-EE0E-4D6B-8758-A01E6B01CB30}"/>
    <hyperlink ref="AE20" r:id="rId5" xr:uid="{901B8F92-04F8-42D6-86A1-2154EC347322}"/>
    <hyperlink ref="AE21" r:id="rId6" xr:uid="{A5FB6546-6494-4778-928C-A48FCB0BA178}"/>
    <hyperlink ref="AE22" r:id="rId7" xr:uid="{0EE6E527-4549-497A-846B-F05E89562027}"/>
    <hyperlink ref="AE23" r:id="rId8" xr:uid="{54003160-60F8-4CC4-BEAF-D8FF2548D6A2}"/>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7222E-817A-4FCC-8C8D-C1D75A486CED}">
  <dimension ref="C2:AI43"/>
  <sheetViews>
    <sheetView tabSelected="1" topLeftCell="B1" zoomScaleNormal="100" workbookViewId="0">
      <pane xSplit="3" ySplit="4" topLeftCell="E7" activePane="bottomRight" state="frozen"/>
      <selection activeCell="AE5" sqref="AE5:AE38"/>
      <selection pane="topRight" activeCell="AE5" sqref="AE5:AE38"/>
      <selection pane="bottomLeft" activeCell="AE5" sqref="AE5:AE38"/>
      <selection pane="bottomRight" activeCell="E7" sqref="E7"/>
    </sheetView>
  </sheetViews>
  <sheetFormatPr baseColWidth="10" defaultRowHeight="15" outlineLevelCol="1" x14ac:dyDescent="0.25"/>
  <cols>
    <col min="1" max="1" width="11.42578125" style="20"/>
    <col min="2" max="2" width="9.42578125" style="20" customWidth="1"/>
    <col min="3" max="3" width="3.85546875" style="20" customWidth="1"/>
    <col min="4" max="4" width="13.5703125" style="20" customWidth="1"/>
    <col min="5" max="5" width="72.140625" style="20" customWidth="1"/>
    <col min="6" max="6" width="12.7109375" style="20" customWidth="1"/>
    <col min="7" max="7" width="6.85546875" style="20" customWidth="1"/>
    <col min="8" max="8" width="11.28515625" style="20" customWidth="1"/>
    <col min="9" max="10" width="10.5703125" style="20" customWidth="1" outlineLevel="1"/>
    <col min="11" max="11" width="12.140625" style="20" customWidth="1" outlineLevel="1"/>
    <col min="12" max="12" width="11.28515625" style="20" customWidth="1"/>
    <col min="13" max="14" width="10" style="20" customWidth="1" outlineLevel="1"/>
    <col min="15" max="15" width="11.28515625" style="20" customWidth="1" outlineLevel="1"/>
    <col min="16" max="17" width="13.85546875" style="20" customWidth="1" outlineLevel="1"/>
    <col min="18" max="19" width="18.5703125" style="20" customWidth="1" outlineLevel="1"/>
    <col min="20" max="20" width="15.140625" style="20" customWidth="1"/>
    <col min="21" max="24" width="13.85546875" style="20" customWidth="1"/>
    <col min="25" max="29" width="13.85546875" style="69" customWidth="1"/>
    <col min="30" max="30" width="13.28515625" style="20" customWidth="1"/>
    <col min="31" max="32" width="13.28515625" style="90" customWidth="1"/>
    <col min="33" max="33" width="20.28515625" style="20" customWidth="1"/>
    <col min="34" max="35" width="11.42578125" style="20" customWidth="1"/>
    <col min="36" max="16384" width="11.42578125" style="20"/>
  </cols>
  <sheetData>
    <row r="2" spans="3:35" ht="24" customHeight="1" x14ac:dyDescent="0.25">
      <c r="C2" s="112" t="s">
        <v>48</v>
      </c>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row>
    <row r="3" spans="3:35" ht="53.25" customHeight="1" x14ac:dyDescent="0.25">
      <c r="C3" s="101" t="s">
        <v>12</v>
      </c>
      <c r="D3" s="101" t="s">
        <v>5</v>
      </c>
      <c r="E3" s="101" t="s">
        <v>4</v>
      </c>
      <c r="F3" s="101" t="s">
        <v>4</v>
      </c>
      <c r="G3" s="101" t="s">
        <v>14</v>
      </c>
      <c r="H3" s="109" t="s">
        <v>104</v>
      </c>
      <c r="I3" s="110"/>
      <c r="J3" s="110"/>
      <c r="K3" s="111"/>
      <c r="L3" s="109" t="s">
        <v>106</v>
      </c>
      <c r="M3" s="110"/>
      <c r="N3" s="110"/>
      <c r="O3" s="111"/>
      <c r="P3" s="107" t="s">
        <v>208</v>
      </c>
      <c r="Q3" s="107"/>
      <c r="R3" s="107"/>
      <c r="S3" s="107"/>
      <c r="T3" s="107"/>
      <c r="U3" s="101" t="s">
        <v>202</v>
      </c>
      <c r="V3" s="103" t="s">
        <v>147</v>
      </c>
      <c r="W3" s="103" t="s">
        <v>196</v>
      </c>
      <c r="X3" s="103" t="s">
        <v>139</v>
      </c>
      <c r="Y3" s="114" t="s">
        <v>205</v>
      </c>
      <c r="Z3" s="103" t="s">
        <v>165</v>
      </c>
      <c r="AA3" s="103" t="s">
        <v>167</v>
      </c>
      <c r="AB3" s="103" t="s">
        <v>166</v>
      </c>
      <c r="AC3" s="103" t="s">
        <v>168</v>
      </c>
      <c r="AD3" s="101" t="s">
        <v>109</v>
      </c>
      <c r="AE3" s="113" t="s">
        <v>169</v>
      </c>
      <c r="AF3" s="113" t="s">
        <v>206</v>
      </c>
      <c r="AG3" s="101" t="s">
        <v>16</v>
      </c>
      <c r="AH3" s="101" t="s">
        <v>110</v>
      </c>
      <c r="AI3" s="101" t="s">
        <v>144</v>
      </c>
    </row>
    <row r="4" spans="3:35" ht="61.5" customHeight="1" x14ac:dyDescent="0.25">
      <c r="C4" s="101"/>
      <c r="D4" s="101"/>
      <c r="E4" s="101"/>
      <c r="F4" s="101"/>
      <c r="G4" s="101"/>
      <c r="H4" s="71" t="s">
        <v>189</v>
      </c>
      <c r="I4" s="72" t="s">
        <v>147</v>
      </c>
      <c r="J4" s="71" t="s">
        <v>188</v>
      </c>
      <c r="K4" s="71" t="s">
        <v>187</v>
      </c>
      <c r="L4" s="71" t="s">
        <v>189</v>
      </c>
      <c r="M4" s="72" t="s">
        <v>147</v>
      </c>
      <c r="N4" s="71" t="s">
        <v>188</v>
      </c>
      <c r="O4" s="71" t="s">
        <v>187</v>
      </c>
      <c r="P4" s="54" t="s">
        <v>190</v>
      </c>
      <c r="Q4" s="54" t="s">
        <v>191</v>
      </c>
      <c r="R4" s="71" t="s">
        <v>113</v>
      </c>
      <c r="S4" s="93" t="s">
        <v>164</v>
      </c>
      <c r="T4" s="54" t="s">
        <v>201</v>
      </c>
      <c r="U4" s="101"/>
      <c r="V4" s="104"/>
      <c r="W4" s="104"/>
      <c r="X4" s="104"/>
      <c r="Y4" s="114"/>
      <c r="Z4" s="104"/>
      <c r="AA4" s="104"/>
      <c r="AB4" s="104"/>
      <c r="AC4" s="104"/>
      <c r="AD4" s="101"/>
      <c r="AE4" s="113"/>
      <c r="AF4" s="113"/>
      <c r="AG4" s="101"/>
      <c r="AH4" s="101"/>
      <c r="AI4" s="101"/>
    </row>
    <row r="5" spans="3:35" ht="37.5" customHeight="1" x14ac:dyDescent="0.25">
      <c r="C5" s="35">
        <v>1</v>
      </c>
      <c r="D5" s="51" t="s">
        <v>49</v>
      </c>
      <c r="E5" s="16" t="s">
        <v>212</v>
      </c>
      <c r="F5" s="36" t="s">
        <v>21</v>
      </c>
      <c r="G5" s="35">
        <v>1</v>
      </c>
      <c r="H5" s="79">
        <v>31533</v>
      </c>
      <c r="I5" s="79">
        <f>ROUND(H5*0.19,0)</f>
        <v>5991</v>
      </c>
      <c r="J5" s="78">
        <v>0.19</v>
      </c>
      <c r="K5" s="33">
        <f t="shared" ref="K5:K10" si="0">H5+I5</f>
        <v>37524</v>
      </c>
      <c r="L5" s="70">
        <v>61560</v>
      </c>
      <c r="M5" s="70">
        <f>ROUND(L5*0.19,0)</f>
        <v>11696</v>
      </c>
      <c r="N5" s="62">
        <v>0.19</v>
      </c>
      <c r="O5" s="70">
        <f t="shared" ref="O5:O37" si="1">L5+M5</f>
        <v>73256</v>
      </c>
      <c r="P5" s="79">
        <f>+ROUND(25378.15,0)</f>
        <v>25378</v>
      </c>
      <c r="Q5" s="79">
        <f>+(P5*19%)+P5</f>
        <v>30199.82</v>
      </c>
      <c r="R5" s="79">
        <f>ROUND(Q5*1.052,0)</f>
        <v>31770</v>
      </c>
      <c r="S5" s="78">
        <v>0.19</v>
      </c>
      <c r="T5" s="55">
        <f>ROUND(R5/(1+S5),0)</f>
        <v>26697</v>
      </c>
      <c r="U5" s="41"/>
      <c r="V5" s="34"/>
      <c r="W5" s="34"/>
      <c r="X5" s="34"/>
      <c r="Y5" s="45">
        <v>0.19</v>
      </c>
      <c r="Z5" s="74">
        <f>ROUND(AVERAGE(H5,T5),0)</f>
        <v>29115</v>
      </c>
      <c r="AA5" s="74">
        <f t="shared" ref="AA5:AA37" si="2">ROUND(Z5*(1+Y5),0)</f>
        <v>34647</v>
      </c>
      <c r="AB5" s="57">
        <f>ROUND(GEOMEAN(H5,T5),0)</f>
        <v>29014</v>
      </c>
      <c r="AC5" s="74">
        <f t="shared" ref="AC5:AC26" si="3">ROUND(AB5*(1+Y5),0)</f>
        <v>34527</v>
      </c>
      <c r="AD5" s="37">
        <v>100</v>
      </c>
      <c r="AE5" s="88">
        <f>+AB5</f>
        <v>29014</v>
      </c>
      <c r="AF5" s="88">
        <f>+AC5</f>
        <v>34527</v>
      </c>
      <c r="AG5" s="33">
        <f>+AF5*AD5</f>
        <v>3452700</v>
      </c>
      <c r="AH5" s="38" t="s">
        <v>112</v>
      </c>
      <c r="AI5" s="50" t="s">
        <v>145</v>
      </c>
    </row>
    <row r="6" spans="3:35" ht="37.5" customHeight="1" x14ac:dyDescent="0.25">
      <c r="C6" s="35">
        <v>2</v>
      </c>
      <c r="D6" s="51" t="s">
        <v>50</v>
      </c>
      <c r="E6" s="16" t="s">
        <v>221</v>
      </c>
      <c r="F6" s="36" t="s">
        <v>51</v>
      </c>
      <c r="G6" s="35">
        <v>1</v>
      </c>
      <c r="H6" s="79">
        <v>17800</v>
      </c>
      <c r="I6" s="79">
        <f>H6*0.19</f>
        <v>3382</v>
      </c>
      <c r="J6" s="78">
        <v>0.19</v>
      </c>
      <c r="K6" s="33">
        <f t="shared" si="0"/>
        <v>21182</v>
      </c>
      <c r="L6" s="33">
        <v>20700</v>
      </c>
      <c r="M6" s="33">
        <f>L6*0.19</f>
        <v>3933</v>
      </c>
      <c r="N6" s="78">
        <v>0.19</v>
      </c>
      <c r="O6" s="33">
        <f t="shared" si="1"/>
        <v>24633</v>
      </c>
      <c r="P6" s="79">
        <f>+ROUND(31596.64,0)</f>
        <v>31597</v>
      </c>
      <c r="Q6" s="79">
        <f>+(P6*19%)+P6</f>
        <v>37600.43</v>
      </c>
      <c r="R6" s="79">
        <f>ROUND(Q6*1.052,0)</f>
        <v>39556</v>
      </c>
      <c r="S6" s="78">
        <v>0.19</v>
      </c>
      <c r="T6" s="55">
        <f>ROUND(R6/(1+S6),0)</f>
        <v>33240</v>
      </c>
      <c r="U6" s="41"/>
      <c r="V6" s="34"/>
      <c r="W6" s="34"/>
      <c r="X6" s="34"/>
      <c r="Y6" s="45">
        <v>0.19</v>
      </c>
      <c r="Z6" s="74">
        <f>ROUND(AVERAGE(H6,L6,T6),0)</f>
        <v>23913</v>
      </c>
      <c r="AA6" s="74">
        <f t="shared" si="2"/>
        <v>28456</v>
      </c>
      <c r="AB6" s="57">
        <f>ROUND(GEOMEAN(H6,L6,T6),0)</f>
        <v>23051</v>
      </c>
      <c r="AC6" s="74">
        <f t="shared" si="3"/>
        <v>27431</v>
      </c>
      <c r="AD6" s="37">
        <v>80</v>
      </c>
      <c r="AE6" s="88">
        <f t="shared" ref="AE6:AE37" si="4">+AB6</f>
        <v>23051</v>
      </c>
      <c r="AF6" s="88">
        <f t="shared" ref="AF6:AF37" si="5">+AC6</f>
        <v>27431</v>
      </c>
      <c r="AG6" s="33">
        <f t="shared" ref="AG6:AG37" si="6">+AF6*AD6</f>
        <v>2194480</v>
      </c>
      <c r="AH6" s="38" t="s">
        <v>112</v>
      </c>
      <c r="AI6" s="50" t="s">
        <v>145</v>
      </c>
    </row>
    <row r="7" spans="3:35" ht="51" customHeight="1" x14ac:dyDescent="0.25">
      <c r="C7" s="35">
        <v>3</v>
      </c>
      <c r="D7" s="52" t="s">
        <v>158</v>
      </c>
      <c r="E7" s="16" t="s">
        <v>52</v>
      </c>
      <c r="F7" s="36" t="s">
        <v>19</v>
      </c>
      <c r="G7" s="35">
        <v>1</v>
      </c>
      <c r="H7" s="79">
        <v>16800</v>
      </c>
      <c r="I7" s="79">
        <f>H7*0.19</f>
        <v>3192</v>
      </c>
      <c r="J7" s="78">
        <v>0.19</v>
      </c>
      <c r="K7" s="33">
        <f t="shared" si="0"/>
        <v>19992</v>
      </c>
      <c r="L7" s="33">
        <v>60282</v>
      </c>
      <c r="M7" s="33">
        <f>ROUND(L7*0.19,0)</f>
        <v>11454</v>
      </c>
      <c r="N7" s="45">
        <v>0.19</v>
      </c>
      <c r="O7" s="33">
        <f t="shared" si="1"/>
        <v>71736</v>
      </c>
      <c r="P7" s="79">
        <f>+ROUND(23193.28,0)</f>
        <v>23193</v>
      </c>
      <c r="Q7" s="79">
        <f>+(P7*19%)+P7</f>
        <v>27599.67</v>
      </c>
      <c r="R7" s="79">
        <f>ROUND(Q7*1.052,0)</f>
        <v>29035</v>
      </c>
      <c r="S7" s="78">
        <v>0.19</v>
      </c>
      <c r="T7" s="55">
        <f>ROUND(R7/(1+S7),0)</f>
        <v>24399</v>
      </c>
      <c r="U7" s="41"/>
      <c r="V7" s="34"/>
      <c r="W7" s="34"/>
      <c r="X7" s="34"/>
      <c r="Y7" s="45">
        <v>0.19</v>
      </c>
      <c r="Z7" s="74">
        <f>ROUND(AVERAGE(H7,T7,L7),0)</f>
        <v>33827</v>
      </c>
      <c r="AA7" s="74">
        <f t="shared" si="2"/>
        <v>40254</v>
      </c>
      <c r="AB7" s="57">
        <f>ROUND(GEOMEAN(H7,T7,L7),0)</f>
        <v>29127</v>
      </c>
      <c r="AC7" s="74">
        <f t="shared" si="3"/>
        <v>34661</v>
      </c>
      <c r="AD7" s="37">
        <v>150</v>
      </c>
      <c r="AE7" s="88">
        <f t="shared" si="4"/>
        <v>29127</v>
      </c>
      <c r="AF7" s="88">
        <f t="shared" si="5"/>
        <v>34661</v>
      </c>
      <c r="AG7" s="33">
        <f t="shared" si="6"/>
        <v>5199150</v>
      </c>
      <c r="AH7" s="38" t="s">
        <v>112</v>
      </c>
      <c r="AI7" s="50" t="s">
        <v>145</v>
      </c>
    </row>
    <row r="8" spans="3:35" ht="37.5" customHeight="1" x14ac:dyDescent="0.25">
      <c r="C8" s="35">
        <v>4</v>
      </c>
      <c r="D8" s="52" t="s">
        <v>159</v>
      </c>
      <c r="E8" s="16" t="s">
        <v>213</v>
      </c>
      <c r="F8" s="36" t="s">
        <v>53</v>
      </c>
      <c r="G8" s="35">
        <v>1</v>
      </c>
      <c r="H8" s="79">
        <v>135600</v>
      </c>
      <c r="I8" s="79">
        <f>H8*0.19</f>
        <v>25764</v>
      </c>
      <c r="J8" s="78">
        <v>0.19</v>
      </c>
      <c r="K8" s="33">
        <f t="shared" si="0"/>
        <v>161364</v>
      </c>
      <c r="L8" s="70">
        <v>71640</v>
      </c>
      <c r="M8" s="70">
        <f>ROUND(L8*0.19,0)</f>
        <v>13612</v>
      </c>
      <c r="N8" s="62">
        <v>0.19</v>
      </c>
      <c r="O8" s="70">
        <f t="shared" si="1"/>
        <v>85252</v>
      </c>
      <c r="P8" s="79">
        <f>+ROUND(134453.78,0)</f>
        <v>134454</v>
      </c>
      <c r="Q8" s="79">
        <f>+(P8*19%)+P8</f>
        <v>160000.26</v>
      </c>
      <c r="R8" s="79">
        <f t="shared" ref="R8:R27" si="7">ROUND(Q8*1.052,0)</f>
        <v>168320</v>
      </c>
      <c r="S8" s="78">
        <v>0.19</v>
      </c>
      <c r="T8" s="55">
        <f>ROUND(R8/(1+S8),0)</f>
        <v>141445</v>
      </c>
      <c r="U8" s="41"/>
      <c r="V8" s="34"/>
      <c r="W8" s="34"/>
      <c r="X8" s="34"/>
      <c r="Y8" s="45">
        <v>0.19</v>
      </c>
      <c r="Z8" s="74">
        <f>ROUND(AVERAGE(H8,T8),0)</f>
        <v>138523</v>
      </c>
      <c r="AA8" s="74">
        <f t="shared" si="2"/>
        <v>164842</v>
      </c>
      <c r="AB8" s="57">
        <f>ROUND(GEOMEAN(H8,T8),0)</f>
        <v>138492</v>
      </c>
      <c r="AC8" s="74">
        <f t="shared" si="3"/>
        <v>164805</v>
      </c>
      <c r="AD8" s="37">
        <v>26</v>
      </c>
      <c r="AE8" s="88">
        <f t="shared" si="4"/>
        <v>138492</v>
      </c>
      <c r="AF8" s="88">
        <f t="shared" si="5"/>
        <v>164805</v>
      </c>
      <c r="AG8" s="33">
        <f t="shared" si="6"/>
        <v>4284930</v>
      </c>
      <c r="AH8" s="38" t="s">
        <v>112</v>
      </c>
      <c r="AI8" s="50" t="s">
        <v>145</v>
      </c>
    </row>
    <row r="9" spans="3:35" ht="37.5" customHeight="1" x14ac:dyDescent="0.25">
      <c r="C9" s="35">
        <v>5</v>
      </c>
      <c r="D9" s="51" t="s">
        <v>160</v>
      </c>
      <c r="E9" s="16" t="s">
        <v>214</v>
      </c>
      <c r="F9" s="36" t="s">
        <v>54</v>
      </c>
      <c r="G9" s="35">
        <v>1</v>
      </c>
      <c r="H9" s="79">
        <v>8400</v>
      </c>
      <c r="I9" s="79">
        <f>H9*0.19</f>
        <v>1596</v>
      </c>
      <c r="J9" s="78">
        <v>0.19</v>
      </c>
      <c r="K9" s="33">
        <f t="shared" si="0"/>
        <v>9996</v>
      </c>
      <c r="L9" s="33">
        <v>11790</v>
      </c>
      <c r="M9" s="33">
        <f>ROUND(L9*0.19,0)</f>
        <v>2240</v>
      </c>
      <c r="N9" s="78">
        <v>0.19</v>
      </c>
      <c r="O9" s="33">
        <f t="shared" si="1"/>
        <v>14030</v>
      </c>
      <c r="P9" s="79">
        <f>+ROUND(11512.61,0)</f>
        <v>11513</v>
      </c>
      <c r="Q9" s="79">
        <f>+(P9*19%)+P9</f>
        <v>13700.47</v>
      </c>
      <c r="R9" s="79">
        <f>ROUND(Q9*1.052,0)</f>
        <v>14413</v>
      </c>
      <c r="S9" s="78">
        <v>0.19</v>
      </c>
      <c r="T9" s="55">
        <f>ROUND(R9/(1+S9),0)</f>
        <v>12112</v>
      </c>
      <c r="U9" s="41"/>
      <c r="V9" s="34"/>
      <c r="W9" s="34"/>
      <c r="X9" s="34"/>
      <c r="Y9" s="45">
        <v>0.19</v>
      </c>
      <c r="Z9" s="74">
        <f>ROUND(AVERAGE(H9, L9,T9),0)</f>
        <v>10767</v>
      </c>
      <c r="AA9" s="74">
        <f t="shared" si="2"/>
        <v>12813</v>
      </c>
      <c r="AB9" s="57">
        <f>ROUND(GEOMEAN(H9,L9,T9),0)</f>
        <v>10625</v>
      </c>
      <c r="AC9" s="74">
        <f t="shared" si="3"/>
        <v>12644</v>
      </c>
      <c r="AD9" s="37">
        <v>39</v>
      </c>
      <c r="AE9" s="88">
        <f t="shared" si="4"/>
        <v>10625</v>
      </c>
      <c r="AF9" s="88">
        <f t="shared" si="5"/>
        <v>12644</v>
      </c>
      <c r="AG9" s="33">
        <f t="shared" si="6"/>
        <v>493116</v>
      </c>
      <c r="AH9" s="38" t="s">
        <v>112</v>
      </c>
      <c r="AI9" s="50" t="s">
        <v>145</v>
      </c>
    </row>
    <row r="10" spans="3:35" ht="37.5" customHeight="1" x14ac:dyDescent="0.25">
      <c r="C10" s="35">
        <v>6</v>
      </c>
      <c r="D10" s="51" t="s">
        <v>55</v>
      </c>
      <c r="E10" s="16" t="s">
        <v>56</v>
      </c>
      <c r="F10" s="36" t="s">
        <v>57</v>
      </c>
      <c r="G10" s="35">
        <v>1</v>
      </c>
      <c r="H10" s="79">
        <v>119400</v>
      </c>
      <c r="I10" s="79">
        <f>H10*0.19</f>
        <v>22686</v>
      </c>
      <c r="J10" s="78">
        <v>0.19</v>
      </c>
      <c r="K10" s="33">
        <f t="shared" si="0"/>
        <v>142086</v>
      </c>
      <c r="L10" s="70">
        <v>612000</v>
      </c>
      <c r="M10" s="70">
        <f>L10*0.19</f>
        <v>116280</v>
      </c>
      <c r="N10" s="62">
        <v>0.19</v>
      </c>
      <c r="O10" s="70">
        <f t="shared" si="1"/>
        <v>728280</v>
      </c>
      <c r="P10" s="79"/>
      <c r="Q10" s="79"/>
      <c r="R10" s="79"/>
      <c r="S10" s="78"/>
      <c r="T10" s="55"/>
      <c r="U10" s="86">
        <f>ROUND(W10/1.19,0)</f>
        <v>162298</v>
      </c>
      <c r="V10" s="87">
        <f>ROUND(U10*19%,0)</f>
        <v>30837</v>
      </c>
      <c r="W10" s="46">
        <v>193135</v>
      </c>
      <c r="X10" s="47" t="s">
        <v>140</v>
      </c>
      <c r="Y10" s="45">
        <v>0.19</v>
      </c>
      <c r="Z10" s="74">
        <f>ROUND(AVERAGE(H10,U10),0)</f>
        <v>140849</v>
      </c>
      <c r="AA10" s="74">
        <f t="shared" si="2"/>
        <v>167610</v>
      </c>
      <c r="AB10" s="57">
        <f>ROUND(GEOMEAN(H10,U10),0)</f>
        <v>139206</v>
      </c>
      <c r="AC10" s="74">
        <f t="shared" si="3"/>
        <v>165655</v>
      </c>
      <c r="AD10" s="37">
        <v>50</v>
      </c>
      <c r="AE10" s="88">
        <f t="shared" si="4"/>
        <v>139206</v>
      </c>
      <c r="AF10" s="88">
        <f t="shared" si="5"/>
        <v>165655</v>
      </c>
      <c r="AG10" s="33">
        <f t="shared" si="6"/>
        <v>8282750</v>
      </c>
      <c r="AH10" s="38" t="s">
        <v>111</v>
      </c>
      <c r="AI10" s="50" t="s">
        <v>145</v>
      </c>
    </row>
    <row r="11" spans="3:35" ht="37.5" customHeight="1" x14ac:dyDescent="0.25">
      <c r="C11" s="35">
        <v>7</v>
      </c>
      <c r="D11" s="52" t="s">
        <v>7</v>
      </c>
      <c r="E11" s="16" t="s">
        <v>58</v>
      </c>
      <c r="F11" s="36" t="s">
        <v>59</v>
      </c>
      <c r="G11" s="35">
        <v>1</v>
      </c>
      <c r="H11" s="79"/>
      <c r="I11" s="79"/>
      <c r="J11" s="78"/>
      <c r="K11" s="33"/>
      <c r="L11" s="70">
        <f>ROUND(104711.4,0)</f>
        <v>104711</v>
      </c>
      <c r="M11" s="70">
        <f>ROUND(L11*0.19,0)</f>
        <v>19895</v>
      </c>
      <c r="N11" s="62">
        <v>0.19</v>
      </c>
      <c r="O11" s="70">
        <f t="shared" si="1"/>
        <v>124606</v>
      </c>
      <c r="P11" s="79">
        <f>+ROUND(48200,0)</f>
        <v>48200</v>
      </c>
      <c r="Q11" s="79">
        <f>+P11</f>
        <v>48200</v>
      </c>
      <c r="R11" s="79">
        <f>ROUND(Q11*1.052,0)</f>
        <v>50706</v>
      </c>
      <c r="S11" s="78">
        <v>0</v>
      </c>
      <c r="T11" s="55">
        <f>ROUND(R11/(1+S11),0)</f>
        <v>50706</v>
      </c>
      <c r="U11" s="86">
        <f>ROUND(W11/1.19,0)</f>
        <v>44039</v>
      </c>
      <c r="V11" s="87">
        <f>ROUND(U11*19%,0)</f>
        <v>8367</v>
      </c>
      <c r="W11" s="46">
        <v>52406</v>
      </c>
      <c r="X11" s="49" t="s">
        <v>186</v>
      </c>
      <c r="Y11" s="45">
        <v>0.19</v>
      </c>
      <c r="Z11" s="74">
        <f>ROUND(AVERAGE(U11,T11),0)</f>
        <v>47373</v>
      </c>
      <c r="AA11" s="74">
        <f t="shared" si="2"/>
        <v>56374</v>
      </c>
      <c r="AB11" s="57">
        <f>ROUND(GEOMEAN(U11,T11),0)</f>
        <v>47255</v>
      </c>
      <c r="AC11" s="74">
        <f t="shared" si="3"/>
        <v>56233</v>
      </c>
      <c r="AD11" s="37">
        <v>26</v>
      </c>
      <c r="AE11" s="88">
        <f t="shared" si="4"/>
        <v>47255</v>
      </c>
      <c r="AF11" s="88">
        <f t="shared" si="5"/>
        <v>56233</v>
      </c>
      <c r="AG11" s="33">
        <f t="shared" si="6"/>
        <v>1462058</v>
      </c>
      <c r="AH11" s="38" t="s">
        <v>112</v>
      </c>
      <c r="AI11" s="50" t="s">
        <v>145</v>
      </c>
    </row>
    <row r="12" spans="3:35" ht="37.5" customHeight="1" x14ac:dyDescent="0.25">
      <c r="C12" s="35">
        <v>8</v>
      </c>
      <c r="D12" s="51" t="s">
        <v>60</v>
      </c>
      <c r="E12" s="16" t="s">
        <v>61</v>
      </c>
      <c r="F12" s="36" t="s">
        <v>19</v>
      </c>
      <c r="G12" s="35">
        <v>1</v>
      </c>
      <c r="H12" s="79">
        <v>8509</v>
      </c>
      <c r="I12" s="79">
        <f>ROUND(H12*0.19,0)</f>
        <v>1617</v>
      </c>
      <c r="J12" s="78">
        <v>0.19</v>
      </c>
      <c r="K12" s="33">
        <f>H12+I12</f>
        <v>10126</v>
      </c>
      <c r="L12" s="33">
        <v>10863</v>
      </c>
      <c r="M12" s="33">
        <f>ROUND(L12*0.19,0)</f>
        <v>2064</v>
      </c>
      <c r="N12" s="78">
        <v>0.19</v>
      </c>
      <c r="O12" s="33">
        <f t="shared" si="1"/>
        <v>12927</v>
      </c>
      <c r="P12" s="79"/>
      <c r="Q12" s="79"/>
      <c r="R12" s="79"/>
      <c r="S12" s="78"/>
      <c r="T12" s="55"/>
      <c r="U12" s="41"/>
      <c r="V12" s="34"/>
      <c r="W12" s="34"/>
      <c r="X12" s="34"/>
      <c r="Y12" s="45">
        <v>0.19</v>
      </c>
      <c r="Z12" s="74">
        <f>ROUND(AVERAGE(H12,L12),0)</f>
        <v>9686</v>
      </c>
      <c r="AA12" s="74">
        <f t="shared" si="2"/>
        <v>11526</v>
      </c>
      <c r="AB12" s="57">
        <f>ROUND(GEOMEAN(H12,L12),0)</f>
        <v>9614</v>
      </c>
      <c r="AC12" s="74">
        <f t="shared" si="3"/>
        <v>11441</v>
      </c>
      <c r="AD12" s="37">
        <v>40</v>
      </c>
      <c r="AE12" s="88">
        <f t="shared" si="4"/>
        <v>9614</v>
      </c>
      <c r="AF12" s="88">
        <f t="shared" si="5"/>
        <v>11441</v>
      </c>
      <c r="AG12" s="33">
        <f t="shared" si="6"/>
        <v>457640</v>
      </c>
      <c r="AH12" s="38" t="s">
        <v>112</v>
      </c>
      <c r="AI12" s="50" t="s">
        <v>145</v>
      </c>
    </row>
    <row r="13" spans="3:35" ht="37.5" customHeight="1" x14ac:dyDescent="0.25">
      <c r="C13" s="35">
        <v>9</v>
      </c>
      <c r="D13" s="51" t="s">
        <v>161</v>
      </c>
      <c r="E13" s="16" t="s">
        <v>62</v>
      </c>
      <c r="F13" s="36" t="s">
        <v>19</v>
      </c>
      <c r="G13" s="35">
        <v>1</v>
      </c>
      <c r="H13" s="70">
        <v>20400</v>
      </c>
      <c r="I13" s="70">
        <f>H13*0</f>
        <v>0</v>
      </c>
      <c r="J13" s="62" t="s">
        <v>118</v>
      </c>
      <c r="K13" s="70">
        <v>20400</v>
      </c>
      <c r="L13" s="33">
        <f>ROUND(59742.54,0)</f>
        <v>59743</v>
      </c>
      <c r="M13" s="33">
        <v>0</v>
      </c>
      <c r="N13" s="78" t="s">
        <v>118</v>
      </c>
      <c r="O13" s="33">
        <f t="shared" si="1"/>
        <v>59743</v>
      </c>
      <c r="P13" s="79">
        <f>+ROUND(45042.02,0)</f>
        <v>45042</v>
      </c>
      <c r="Q13" s="79">
        <f>+(P13*19%)+P13</f>
        <v>53599.979999999996</v>
      </c>
      <c r="R13" s="79">
        <f>ROUND(Q13*1.052,0)</f>
        <v>56387</v>
      </c>
      <c r="S13" s="78">
        <v>0.19</v>
      </c>
      <c r="T13" s="55">
        <f t="shared" ref="T13:T26" si="8">ROUND(R13/(1+S13),0)</f>
        <v>47384</v>
      </c>
      <c r="U13" s="41"/>
      <c r="V13" s="34"/>
      <c r="W13" s="34"/>
      <c r="X13" s="34"/>
      <c r="Y13" s="45">
        <v>0</v>
      </c>
      <c r="Z13" s="74">
        <f>ROUND(AVERAGE(T13,L13),0)</f>
        <v>53564</v>
      </c>
      <c r="AA13" s="74">
        <f t="shared" si="2"/>
        <v>53564</v>
      </c>
      <c r="AB13" s="57">
        <f>ROUND(GEOMEAN(L13,T13),0)</f>
        <v>53206</v>
      </c>
      <c r="AC13" s="74">
        <f t="shared" si="3"/>
        <v>53206</v>
      </c>
      <c r="AD13" s="37">
        <v>28</v>
      </c>
      <c r="AE13" s="88">
        <f>+AB13</f>
        <v>53206</v>
      </c>
      <c r="AF13" s="88">
        <f>+AC13</f>
        <v>53206</v>
      </c>
      <c r="AG13" s="33">
        <f>+AF13*AD13</f>
        <v>1489768</v>
      </c>
      <c r="AH13" s="38" t="s">
        <v>111</v>
      </c>
      <c r="AI13" s="50" t="s">
        <v>145</v>
      </c>
    </row>
    <row r="14" spans="3:35" ht="37.5" customHeight="1" x14ac:dyDescent="0.25">
      <c r="C14" s="35">
        <v>10</v>
      </c>
      <c r="D14" s="52" t="s">
        <v>63</v>
      </c>
      <c r="E14" s="16" t="s">
        <v>64</v>
      </c>
      <c r="F14" s="36" t="s">
        <v>19</v>
      </c>
      <c r="G14" s="35">
        <v>1</v>
      </c>
      <c r="H14" s="70">
        <v>25920</v>
      </c>
      <c r="I14" s="70">
        <f>H14*0</f>
        <v>0</v>
      </c>
      <c r="J14" s="62" t="s">
        <v>119</v>
      </c>
      <c r="K14" s="70">
        <v>25920</v>
      </c>
      <c r="L14" s="79">
        <f>ROUND(63568.8,0)</f>
        <v>63569</v>
      </c>
      <c r="M14" s="33">
        <v>0</v>
      </c>
      <c r="N14" s="78" t="s">
        <v>118</v>
      </c>
      <c r="O14" s="33">
        <f t="shared" si="1"/>
        <v>63569</v>
      </c>
      <c r="P14" s="79">
        <v>41000</v>
      </c>
      <c r="Q14" s="79">
        <f>+P14</f>
        <v>41000</v>
      </c>
      <c r="R14" s="79">
        <f>ROUND(Q14*1.052,0)</f>
        <v>43132</v>
      </c>
      <c r="S14" s="78">
        <v>0</v>
      </c>
      <c r="T14" s="55">
        <f t="shared" ref="T14:T25" si="9">ROUND(R14/(1+S14),0)</f>
        <v>43132</v>
      </c>
      <c r="U14" s="41"/>
      <c r="V14" s="34"/>
      <c r="W14" s="34"/>
      <c r="X14" s="34"/>
      <c r="Y14" s="45">
        <v>0</v>
      </c>
      <c r="Z14" s="74">
        <f>ROUND(AVERAGE(L14,T14),0)</f>
        <v>53351</v>
      </c>
      <c r="AA14" s="74">
        <f t="shared" si="2"/>
        <v>53351</v>
      </c>
      <c r="AB14" s="57">
        <f>ROUND(GEOMEAN(L14,T14),0)</f>
        <v>52363</v>
      </c>
      <c r="AC14" s="74">
        <f t="shared" si="3"/>
        <v>52363</v>
      </c>
      <c r="AD14" s="37">
        <v>37</v>
      </c>
      <c r="AE14" s="88">
        <f>+AB14</f>
        <v>52363</v>
      </c>
      <c r="AF14" s="88">
        <f>+AC14</f>
        <v>52363</v>
      </c>
      <c r="AG14" s="33">
        <f t="shared" si="6"/>
        <v>1937431</v>
      </c>
      <c r="AH14" s="38" t="s">
        <v>111</v>
      </c>
      <c r="AI14" s="50" t="s">
        <v>145</v>
      </c>
    </row>
    <row r="15" spans="3:35" ht="37.5" customHeight="1" x14ac:dyDescent="0.25">
      <c r="C15" s="35">
        <v>11</v>
      </c>
      <c r="D15" s="51" t="s">
        <v>11</v>
      </c>
      <c r="E15" s="16" t="s">
        <v>65</v>
      </c>
      <c r="F15" s="36" t="s">
        <v>19</v>
      </c>
      <c r="G15" s="35">
        <v>1</v>
      </c>
      <c r="H15" s="33"/>
      <c r="I15" s="33"/>
      <c r="J15" s="45"/>
      <c r="K15" s="33"/>
      <c r="L15" s="70">
        <v>21600</v>
      </c>
      <c r="M15" s="70">
        <f>L15*0.19</f>
        <v>4104</v>
      </c>
      <c r="N15" s="62">
        <v>0.19</v>
      </c>
      <c r="O15" s="70">
        <f t="shared" si="1"/>
        <v>25704</v>
      </c>
      <c r="P15" s="79">
        <f>+ROUND(11764.71,0)</f>
        <v>11765</v>
      </c>
      <c r="Q15" s="79">
        <f>+(P15*19%)+P15</f>
        <v>14000.35</v>
      </c>
      <c r="R15" s="79">
        <f>ROUND(Q15*1.052,0)</f>
        <v>14728</v>
      </c>
      <c r="S15" s="78">
        <v>0.19</v>
      </c>
      <c r="T15" s="55">
        <f t="shared" si="9"/>
        <v>12376</v>
      </c>
      <c r="U15" s="86">
        <f>ROUND(W15/1.19,0)</f>
        <v>8487</v>
      </c>
      <c r="V15" s="87">
        <f>ROUND(U15*19%,0)</f>
        <v>1613</v>
      </c>
      <c r="W15" s="46">
        <v>10100</v>
      </c>
      <c r="X15" s="47" t="s">
        <v>185</v>
      </c>
      <c r="Y15" s="45">
        <v>0.19</v>
      </c>
      <c r="Z15" s="74">
        <f>ROUND(AVERAGE(U15,T15),0)</f>
        <v>10432</v>
      </c>
      <c r="AA15" s="74">
        <f t="shared" si="2"/>
        <v>12414</v>
      </c>
      <c r="AB15" s="57">
        <f>ROUND(GEOMEAN(U15,T15),0)</f>
        <v>10249</v>
      </c>
      <c r="AC15" s="74">
        <f t="shared" si="3"/>
        <v>12196</v>
      </c>
      <c r="AD15" s="37">
        <v>152</v>
      </c>
      <c r="AE15" s="88">
        <f t="shared" si="4"/>
        <v>10249</v>
      </c>
      <c r="AF15" s="88">
        <f t="shared" si="5"/>
        <v>12196</v>
      </c>
      <c r="AG15" s="33">
        <f t="shared" si="6"/>
        <v>1853792</v>
      </c>
      <c r="AH15" s="38" t="s">
        <v>112</v>
      </c>
      <c r="AI15" s="50" t="s">
        <v>145</v>
      </c>
    </row>
    <row r="16" spans="3:35" ht="37.5" customHeight="1" x14ac:dyDescent="0.25">
      <c r="C16" s="35">
        <v>12</v>
      </c>
      <c r="D16" s="51" t="s">
        <v>162</v>
      </c>
      <c r="E16" s="16" t="s">
        <v>66</v>
      </c>
      <c r="F16" s="36" t="s">
        <v>19</v>
      </c>
      <c r="G16" s="35">
        <v>1</v>
      </c>
      <c r="H16" s="33"/>
      <c r="I16" s="33"/>
      <c r="J16" s="45"/>
      <c r="K16" s="33"/>
      <c r="L16" s="70">
        <v>17748</v>
      </c>
      <c r="M16" s="70">
        <f>ROUND(L16*0.19,0)</f>
        <v>3372</v>
      </c>
      <c r="N16" s="62">
        <v>0.19</v>
      </c>
      <c r="O16" s="70">
        <f t="shared" si="1"/>
        <v>21120</v>
      </c>
      <c r="P16" s="79">
        <f>+ROUND(8991.6,0)</f>
        <v>8992</v>
      </c>
      <c r="Q16" s="79">
        <f>+(P16*19%)+P16</f>
        <v>10700.48</v>
      </c>
      <c r="R16" s="79">
        <f t="shared" si="7"/>
        <v>11257</v>
      </c>
      <c r="S16" s="78">
        <v>0.19</v>
      </c>
      <c r="T16" s="55">
        <f t="shared" si="9"/>
        <v>9460</v>
      </c>
      <c r="U16" s="86">
        <f>ROUND(W16/1.19,0)</f>
        <v>16849</v>
      </c>
      <c r="V16" s="87">
        <f>ROUND(U16*19%,0)</f>
        <v>3201</v>
      </c>
      <c r="W16" s="91">
        <v>20050</v>
      </c>
      <c r="X16" s="47" t="s">
        <v>184</v>
      </c>
      <c r="Y16" s="45">
        <v>0.19</v>
      </c>
      <c r="Z16" s="74">
        <f>ROUND(AVERAGE(U16,T16),0)</f>
        <v>13155</v>
      </c>
      <c r="AA16" s="74">
        <f>ROUND(Z16*(1+Y16),0)</f>
        <v>15654</v>
      </c>
      <c r="AB16" s="57">
        <f>ROUND(GEOMEAN(U16,T16),0)</f>
        <v>12625</v>
      </c>
      <c r="AC16" s="74">
        <f t="shared" si="3"/>
        <v>15024</v>
      </c>
      <c r="AD16" s="37">
        <v>149</v>
      </c>
      <c r="AE16" s="88">
        <f t="shared" si="4"/>
        <v>12625</v>
      </c>
      <c r="AF16" s="88">
        <f t="shared" si="5"/>
        <v>15024</v>
      </c>
      <c r="AG16" s="33">
        <f t="shared" si="6"/>
        <v>2238576</v>
      </c>
      <c r="AH16" s="38" t="s">
        <v>112</v>
      </c>
      <c r="AI16" s="50" t="s">
        <v>145</v>
      </c>
    </row>
    <row r="17" spans="3:35" ht="37.5" customHeight="1" x14ac:dyDescent="0.25">
      <c r="C17" s="35">
        <v>13</v>
      </c>
      <c r="D17" s="51" t="s">
        <v>163</v>
      </c>
      <c r="E17" s="16" t="s">
        <v>67</v>
      </c>
      <c r="F17" s="36" t="s">
        <v>68</v>
      </c>
      <c r="G17" s="35">
        <v>1</v>
      </c>
      <c r="H17" s="33"/>
      <c r="I17" s="33"/>
      <c r="J17" s="45"/>
      <c r="K17" s="33"/>
      <c r="L17" s="33">
        <v>18900</v>
      </c>
      <c r="M17" s="33">
        <v>0</v>
      </c>
      <c r="N17" s="78" t="s">
        <v>118</v>
      </c>
      <c r="O17" s="33">
        <f t="shared" si="1"/>
        <v>18900</v>
      </c>
      <c r="P17" s="79">
        <v>21200</v>
      </c>
      <c r="Q17" s="79">
        <f>+P17</f>
        <v>21200</v>
      </c>
      <c r="R17" s="79">
        <f t="shared" si="7"/>
        <v>22302</v>
      </c>
      <c r="S17" s="78">
        <v>0</v>
      </c>
      <c r="T17" s="55">
        <f t="shared" si="9"/>
        <v>22302</v>
      </c>
      <c r="U17" s="41"/>
      <c r="V17" s="34"/>
      <c r="W17" s="34"/>
      <c r="X17" s="34"/>
      <c r="Y17" s="45">
        <v>0.19</v>
      </c>
      <c r="Z17" s="74">
        <f>ROUND(AVERAGE(L17,T17),0)</f>
        <v>20601</v>
      </c>
      <c r="AA17" s="74">
        <f t="shared" si="2"/>
        <v>24515</v>
      </c>
      <c r="AB17" s="57">
        <f>ROUND(GEOMEAN(L17,T17),0)</f>
        <v>20531</v>
      </c>
      <c r="AC17" s="74">
        <f t="shared" si="3"/>
        <v>24432</v>
      </c>
      <c r="AD17" s="37">
        <v>85</v>
      </c>
      <c r="AE17" s="88">
        <f t="shared" si="4"/>
        <v>20531</v>
      </c>
      <c r="AF17" s="88">
        <f t="shared" si="5"/>
        <v>24432</v>
      </c>
      <c r="AG17" s="33">
        <f t="shared" si="6"/>
        <v>2076720</v>
      </c>
      <c r="AH17" s="38" t="s">
        <v>112</v>
      </c>
      <c r="AI17" s="50" t="s">
        <v>145</v>
      </c>
    </row>
    <row r="18" spans="3:35" ht="37.5" customHeight="1" x14ac:dyDescent="0.25">
      <c r="C18" s="35">
        <v>14</v>
      </c>
      <c r="D18" s="51" t="s">
        <v>69</v>
      </c>
      <c r="E18" s="16" t="s">
        <v>70</v>
      </c>
      <c r="F18" s="36" t="s">
        <v>183</v>
      </c>
      <c r="G18" s="35">
        <v>1</v>
      </c>
      <c r="H18" s="33"/>
      <c r="I18" s="33"/>
      <c r="J18" s="45"/>
      <c r="K18" s="33"/>
      <c r="L18" s="33">
        <v>16200</v>
      </c>
      <c r="M18" s="33">
        <f>L18*0.19</f>
        <v>3078</v>
      </c>
      <c r="N18" s="78">
        <v>0.19</v>
      </c>
      <c r="O18" s="33">
        <f t="shared" si="1"/>
        <v>19278</v>
      </c>
      <c r="P18" s="79">
        <v>72600</v>
      </c>
      <c r="Q18" s="79">
        <f>+P18</f>
        <v>72600</v>
      </c>
      <c r="R18" s="79">
        <f t="shared" si="7"/>
        <v>76375</v>
      </c>
      <c r="S18" s="78">
        <v>0</v>
      </c>
      <c r="T18" s="55">
        <f t="shared" si="9"/>
        <v>76375</v>
      </c>
      <c r="U18" s="41"/>
      <c r="V18" s="34"/>
      <c r="W18" s="34"/>
      <c r="X18" s="34"/>
      <c r="Y18" s="45">
        <v>0.19</v>
      </c>
      <c r="Z18" s="74">
        <f>ROUND(AVERAGE(L18,T18),0)</f>
        <v>46288</v>
      </c>
      <c r="AA18" s="74">
        <f t="shared" si="2"/>
        <v>55083</v>
      </c>
      <c r="AB18" s="57">
        <f>ROUND(GEOMEAN(L18,T18),0)</f>
        <v>35175</v>
      </c>
      <c r="AC18" s="74">
        <f t="shared" si="3"/>
        <v>41858</v>
      </c>
      <c r="AD18" s="37">
        <v>54</v>
      </c>
      <c r="AE18" s="88">
        <f t="shared" si="4"/>
        <v>35175</v>
      </c>
      <c r="AF18" s="88">
        <f t="shared" si="5"/>
        <v>41858</v>
      </c>
      <c r="AG18" s="33">
        <f t="shared" si="6"/>
        <v>2260332</v>
      </c>
      <c r="AH18" s="38" t="s">
        <v>112</v>
      </c>
      <c r="AI18" s="50" t="s">
        <v>145</v>
      </c>
    </row>
    <row r="19" spans="3:35" ht="37.5" customHeight="1" x14ac:dyDescent="0.25">
      <c r="C19" s="35">
        <v>15</v>
      </c>
      <c r="D19" s="51" t="s">
        <v>2</v>
      </c>
      <c r="E19" s="16" t="s">
        <v>72</v>
      </c>
      <c r="F19" s="36" t="s">
        <v>71</v>
      </c>
      <c r="G19" s="35">
        <v>1</v>
      </c>
      <c r="H19" s="33"/>
      <c r="I19" s="33"/>
      <c r="J19" s="45"/>
      <c r="K19" s="33"/>
      <c r="L19" s="33">
        <v>97020</v>
      </c>
      <c r="M19" s="33">
        <v>0</v>
      </c>
      <c r="N19" s="78" t="s">
        <v>118</v>
      </c>
      <c r="O19" s="33">
        <f t="shared" si="1"/>
        <v>97020</v>
      </c>
      <c r="P19" s="79">
        <v>127900</v>
      </c>
      <c r="Q19" s="79">
        <f>+P19</f>
        <v>127900</v>
      </c>
      <c r="R19" s="79">
        <f t="shared" si="7"/>
        <v>134551</v>
      </c>
      <c r="S19" s="78">
        <v>0</v>
      </c>
      <c r="T19" s="55">
        <f t="shared" si="9"/>
        <v>134551</v>
      </c>
      <c r="U19" s="41"/>
      <c r="V19" s="34"/>
      <c r="W19" s="34"/>
      <c r="X19" s="34"/>
      <c r="Y19" s="45">
        <v>0</v>
      </c>
      <c r="Z19" s="74">
        <f>ROUND(AVERAGE(L19,T19),0)</f>
        <v>115786</v>
      </c>
      <c r="AA19" s="74">
        <f t="shared" si="2"/>
        <v>115786</v>
      </c>
      <c r="AB19" s="57">
        <f>ROUND(GEOMEAN(L19,T19),0)</f>
        <v>114255</v>
      </c>
      <c r="AC19" s="74">
        <f t="shared" si="3"/>
        <v>114255</v>
      </c>
      <c r="AD19" s="37">
        <v>66</v>
      </c>
      <c r="AE19" s="88">
        <f>+AB19</f>
        <v>114255</v>
      </c>
      <c r="AF19" s="88">
        <f>+AC19</f>
        <v>114255</v>
      </c>
      <c r="AG19" s="33">
        <f t="shared" si="6"/>
        <v>7540830</v>
      </c>
      <c r="AH19" s="38" t="s">
        <v>112</v>
      </c>
      <c r="AI19" s="50" t="s">
        <v>145</v>
      </c>
    </row>
    <row r="20" spans="3:35" ht="37.5" customHeight="1" x14ac:dyDescent="0.25">
      <c r="C20" s="35">
        <v>16</v>
      </c>
      <c r="D20" s="51" t="s">
        <v>73</v>
      </c>
      <c r="E20" s="16" t="s">
        <v>74</v>
      </c>
      <c r="F20" s="36" t="s">
        <v>19</v>
      </c>
      <c r="G20" s="35">
        <v>1</v>
      </c>
      <c r="H20" s="33">
        <v>13000</v>
      </c>
      <c r="I20" s="33">
        <f>H20*0</f>
        <v>0</v>
      </c>
      <c r="J20" s="78" t="s">
        <v>119</v>
      </c>
      <c r="K20" s="33">
        <v>13000</v>
      </c>
      <c r="L20" s="70">
        <v>181800</v>
      </c>
      <c r="M20" s="70">
        <v>0</v>
      </c>
      <c r="N20" s="62" t="s">
        <v>118</v>
      </c>
      <c r="O20" s="70">
        <f t="shared" si="1"/>
        <v>181800</v>
      </c>
      <c r="P20" s="79">
        <v>26800</v>
      </c>
      <c r="Q20" s="79">
        <f>+P20</f>
        <v>26800</v>
      </c>
      <c r="R20" s="79">
        <f t="shared" si="7"/>
        <v>28194</v>
      </c>
      <c r="S20" s="78">
        <v>0</v>
      </c>
      <c r="T20" s="55">
        <f t="shared" si="9"/>
        <v>28194</v>
      </c>
      <c r="U20" s="41"/>
      <c r="V20" s="34"/>
      <c r="W20" s="34"/>
      <c r="X20" s="34"/>
      <c r="Y20" s="45">
        <v>0</v>
      </c>
      <c r="Z20" s="74">
        <f>ROUND(AVERAGE(H20,T20),0)</f>
        <v>20597</v>
      </c>
      <c r="AA20" s="74">
        <f t="shared" si="2"/>
        <v>20597</v>
      </c>
      <c r="AB20" s="57">
        <f>ROUND(GEOMEAN(H20,T20),0)</f>
        <v>19145</v>
      </c>
      <c r="AC20" s="74">
        <f>ROUND(AB20*(1+Y20),0)</f>
        <v>19145</v>
      </c>
      <c r="AD20" s="37">
        <v>39</v>
      </c>
      <c r="AE20" s="88">
        <f>+AB20</f>
        <v>19145</v>
      </c>
      <c r="AF20" s="88">
        <f t="shared" si="5"/>
        <v>19145</v>
      </c>
      <c r="AG20" s="33">
        <f t="shared" si="6"/>
        <v>746655</v>
      </c>
      <c r="AH20" s="38" t="s">
        <v>112</v>
      </c>
      <c r="AI20" s="50" t="s">
        <v>145</v>
      </c>
    </row>
    <row r="21" spans="3:35" ht="37.5" customHeight="1" x14ac:dyDescent="0.25">
      <c r="C21" s="35">
        <v>17</v>
      </c>
      <c r="D21" s="52" t="s">
        <v>1</v>
      </c>
      <c r="E21" s="16" t="s">
        <v>75</v>
      </c>
      <c r="F21" s="36" t="s">
        <v>19</v>
      </c>
      <c r="G21" s="35">
        <v>1</v>
      </c>
      <c r="H21" s="70">
        <v>2600</v>
      </c>
      <c r="I21" s="70">
        <f>H21*0</f>
        <v>0</v>
      </c>
      <c r="J21" s="62" t="s">
        <v>119</v>
      </c>
      <c r="K21" s="70">
        <v>2600</v>
      </c>
      <c r="L21" s="33">
        <v>9000</v>
      </c>
      <c r="M21" s="33">
        <v>0</v>
      </c>
      <c r="N21" s="78" t="s">
        <v>118</v>
      </c>
      <c r="O21" s="33">
        <f t="shared" si="1"/>
        <v>9000</v>
      </c>
      <c r="P21" s="79">
        <v>8500</v>
      </c>
      <c r="Q21" s="79">
        <f>+P21</f>
        <v>8500</v>
      </c>
      <c r="R21" s="79">
        <f t="shared" si="7"/>
        <v>8942</v>
      </c>
      <c r="S21" s="78">
        <v>0</v>
      </c>
      <c r="T21" s="55">
        <f t="shared" si="9"/>
        <v>8942</v>
      </c>
      <c r="U21" s="41"/>
      <c r="V21" s="34"/>
      <c r="W21" s="34"/>
      <c r="X21" s="34"/>
      <c r="Y21" s="45">
        <v>0</v>
      </c>
      <c r="Z21" s="74">
        <f>ROUND(AVERAGE(L21,T21),0)</f>
        <v>8971</v>
      </c>
      <c r="AA21" s="74">
        <f t="shared" si="2"/>
        <v>8971</v>
      </c>
      <c r="AB21" s="57">
        <f>ROUND(GEOMEAN(L21,T21),0)</f>
        <v>8971</v>
      </c>
      <c r="AC21" s="74">
        <f t="shared" si="3"/>
        <v>8971</v>
      </c>
      <c r="AD21" s="37">
        <v>66</v>
      </c>
      <c r="AE21" s="88">
        <f>+AB21</f>
        <v>8971</v>
      </c>
      <c r="AF21" s="88">
        <f t="shared" si="5"/>
        <v>8971</v>
      </c>
      <c r="AG21" s="33">
        <f t="shared" si="6"/>
        <v>592086</v>
      </c>
      <c r="AH21" s="38" t="s">
        <v>112</v>
      </c>
      <c r="AI21" s="50" t="s">
        <v>145</v>
      </c>
    </row>
    <row r="22" spans="3:35" ht="37.5" customHeight="1" x14ac:dyDescent="0.25">
      <c r="C22" s="35">
        <v>18</v>
      </c>
      <c r="D22" s="52" t="s">
        <v>76</v>
      </c>
      <c r="E22" s="16" t="s">
        <v>77</v>
      </c>
      <c r="F22" s="36" t="s">
        <v>78</v>
      </c>
      <c r="G22" s="35">
        <v>1</v>
      </c>
      <c r="H22" s="33"/>
      <c r="I22" s="33"/>
      <c r="J22" s="45"/>
      <c r="K22" s="33"/>
      <c r="L22" s="33">
        <v>39420</v>
      </c>
      <c r="M22" s="33">
        <f>ROUND(L22*0.19,0)</f>
        <v>7490</v>
      </c>
      <c r="N22" s="78">
        <v>0.19</v>
      </c>
      <c r="O22" s="33">
        <f t="shared" si="1"/>
        <v>46910</v>
      </c>
      <c r="P22" s="79">
        <f>+ROUND(17210.08,0)</f>
        <v>17210</v>
      </c>
      <c r="Q22" s="79">
        <f t="shared" ref="Q22" si="10">+(P22*19%)+P22</f>
        <v>20479.900000000001</v>
      </c>
      <c r="R22" s="79">
        <f t="shared" si="7"/>
        <v>21545</v>
      </c>
      <c r="S22" s="78">
        <v>0.19</v>
      </c>
      <c r="T22" s="55">
        <f t="shared" si="9"/>
        <v>18105</v>
      </c>
      <c r="U22" s="86">
        <f>ROUND(W22/1.19,0)</f>
        <v>16723</v>
      </c>
      <c r="V22" s="87">
        <f>ROUND(U22*19%,0)</f>
        <v>3177</v>
      </c>
      <c r="W22" s="34">
        <v>19900</v>
      </c>
      <c r="X22" s="47" t="s">
        <v>182</v>
      </c>
      <c r="Y22" s="45">
        <v>0.19</v>
      </c>
      <c r="Z22" s="74">
        <f>ROUND(AVERAGE(T22,U22,L22),0)</f>
        <v>24749</v>
      </c>
      <c r="AA22" s="74">
        <f t="shared" si="2"/>
        <v>29451</v>
      </c>
      <c r="AB22" s="57">
        <f>ROUND(GEOMEAN(T22,U22, L22),0)</f>
        <v>22853</v>
      </c>
      <c r="AC22" s="74">
        <f t="shared" si="3"/>
        <v>27195</v>
      </c>
      <c r="AD22" s="37">
        <v>30</v>
      </c>
      <c r="AE22" s="88">
        <f t="shared" si="4"/>
        <v>22853</v>
      </c>
      <c r="AF22" s="88">
        <f t="shared" si="5"/>
        <v>27195</v>
      </c>
      <c r="AG22" s="33">
        <f t="shared" si="6"/>
        <v>815850</v>
      </c>
      <c r="AH22" s="38" t="s">
        <v>112</v>
      </c>
      <c r="AI22" s="50" t="s">
        <v>145</v>
      </c>
    </row>
    <row r="23" spans="3:35" ht="37.5" customHeight="1" x14ac:dyDescent="0.25">
      <c r="C23" s="35">
        <v>19</v>
      </c>
      <c r="D23" s="52" t="s">
        <v>6</v>
      </c>
      <c r="E23" s="16" t="s">
        <v>215</v>
      </c>
      <c r="F23" s="36" t="s">
        <v>114</v>
      </c>
      <c r="G23" s="35">
        <v>1</v>
      </c>
      <c r="H23" s="33">
        <v>2350</v>
      </c>
      <c r="I23" s="33">
        <f>H23*0</f>
        <v>0</v>
      </c>
      <c r="J23" s="78" t="s">
        <v>119</v>
      </c>
      <c r="K23" s="33">
        <v>2350</v>
      </c>
      <c r="L23" s="33">
        <v>24480</v>
      </c>
      <c r="M23" s="33">
        <v>0</v>
      </c>
      <c r="N23" s="45" t="s">
        <v>118</v>
      </c>
      <c r="O23" s="33">
        <f t="shared" si="1"/>
        <v>24480</v>
      </c>
      <c r="P23" s="79">
        <v>6200</v>
      </c>
      <c r="Q23" s="79">
        <f>+P23</f>
        <v>6200</v>
      </c>
      <c r="R23" s="79">
        <f t="shared" si="7"/>
        <v>6522</v>
      </c>
      <c r="S23" s="78">
        <v>0</v>
      </c>
      <c r="T23" s="55">
        <f t="shared" si="9"/>
        <v>6522</v>
      </c>
      <c r="U23" s="41"/>
      <c r="V23" s="34"/>
      <c r="W23" s="34"/>
      <c r="X23" s="34"/>
      <c r="Y23" s="45">
        <v>0</v>
      </c>
      <c r="Z23" s="74">
        <f>ROUND(AVERAGE(H23,T23,L23),0)</f>
        <v>11117</v>
      </c>
      <c r="AA23" s="74">
        <f t="shared" si="2"/>
        <v>11117</v>
      </c>
      <c r="AB23" s="57">
        <f>ROUND(GEOMEAN(H23,T23,L23),0)</f>
        <v>7213</v>
      </c>
      <c r="AC23" s="74">
        <f t="shared" si="3"/>
        <v>7213</v>
      </c>
      <c r="AD23" s="37">
        <v>110</v>
      </c>
      <c r="AE23" s="88">
        <f>+AB23</f>
        <v>7213</v>
      </c>
      <c r="AF23" s="88">
        <f t="shared" si="5"/>
        <v>7213</v>
      </c>
      <c r="AG23" s="33">
        <f t="shared" si="6"/>
        <v>793430</v>
      </c>
      <c r="AH23" s="38" t="s">
        <v>112</v>
      </c>
      <c r="AI23" s="50" t="s">
        <v>145</v>
      </c>
    </row>
    <row r="24" spans="3:35" ht="37.5" customHeight="1" x14ac:dyDescent="0.25">
      <c r="C24" s="35">
        <v>20</v>
      </c>
      <c r="D24" s="52" t="s">
        <v>80</v>
      </c>
      <c r="E24" s="16" t="s">
        <v>81</v>
      </c>
      <c r="F24" s="36" t="s">
        <v>19</v>
      </c>
      <c r="G24" s="35">
        <v>1</v>
      </c>
      <c r="H24" s="33"/>
      <c r="I24" s="33"/>
      <c r="J24" s="45"/>
      <c r="K24" s="33"/>
      <c r="L24" s="33">
        <v>8100</v>
      </c>
      <c r="M24" s="33">
        <f>L24*0.19</f>
        <v>1539</v>
      </c>
      <c r="N24" s="78">
        <v>0.19</v>
      </c>
      <c r="O24" s="33">
        <f t="shared" si="1"/>
        <v>9639</v>
      </c>
      <c r="P24" s="79">
        <f>+ROUND(6890.76,0)</f>
        <v>6891</v>
      </c>
      <c r="Q24" s="79">
        <f>+(P24*19%)+P24</f>
        <v>8200.2900000000009</v>
      </c>
      <c r="R24" s="79">
        <f t="shared" si="7"/>
        <v>8627</v>
      </c>
      <c r="S24" s="78">
        <v>0.19</v>
      </c>
      <c r="T24" s="55">
        <f t="shared" si="9"/>
        <v>7250</v>
      </c>
      <c r="U24" s="41"/>
      <c r="V24" s="34"/>
      <c r="W24" s="34"/>
      <c r="X24" s="34"/>
      <c r="Y24" s="45">
        <v>0.19</v>
      </c>
      <c r="Z24" s="74">
        <f>ROUND(AVERAGE(L24,T24),0)</f>
        <v>7675</v>
      </c>
      <c r="AA24" s="74">
        <f t="shared" si="2"/>
        <v>9133</v>
      </c>
      <c r="AB24" s="57">
        <f>ROUND(GEOMEAN(L24,T24),0)</f>
        <v>7663</v>
      </c>
      <c r="AC24" s="74">
        <f t="shared" si="3"/>
        <v>9119</v>
      </c>
      <c r="AD24" s="37">
        <v>335</v>
      </c>
      <c r="AE24" s="88">
        <f t="shared" si="4"/>
        <v>7663</v>
      </c>
      <c r="AF24" s="88">
        <f t="shared" si="5"/>
        <v>9119</v>
      </c>
      <c r="AG24" s="33">
        <f t="shared" si="6"/>
        <v>3054865</v>
      </c>
      <c r="AH24" s="38" t="s">
        <v>112</v>
      </c>
      <c r="AI24" s="50" t="s">
        <v>145</v>
      </c>
    </row>
    <row r="25" spans="3:35" ht="37.5" customHeight="1" x14ac:dyDescent="0.25">
      <c r="C25" s="35">
        <v>21</v>
      </c>
      <c r="D25" s="52" t="s">
        <v>82</v>
      </c>
      <c r="E25" s="16" t="s">
        <v>83</v>
      </c>
      <c r="F25" s="36" t="s">
        <v>84</v>
      </c>
      <c r="G25" s="35">
        <v>1</v>
      </c>
      <c r="H25" s="33"/>
      <c r="I25" s="33"/>
      <c r="J25" s="45"/>
      <c r="K25" s="33"/>
      <c r="L25" s="33">
        <v>27000</v>
      </c>
      <c r="M25" s="33">
        <f>L25*0.19</f>
        <v>5130</v>
      </c>
      <c r="N25" s="78">
        <v>0.19</v>
      </c>
      <c r="O25" s="33">
        <f t="shared" si="1"/>
        <v>32130</v>
      </c>
      <c r="P25" s="79">
        <f>+ROUND(18302.52,0)</f>
        <v>18303</v>
      </c>
      <c r="Q25" s="79">
        <f>+(P25*19%)+P25</f>
        <v>21780.57</v>
      </c>
      <c r="R25" s="79">
        <f t="shared" si="7"/>
        <v>22913</v>
      </c>
      <c r="S25" s="78">
        <v>0.19</v>
      </c>
      <c r="T25" s="55">
        <f t="shared" si="9"/>
        <v>19255</v>
      </c>
      <c r="U25" s="41"/>
      <c r="V25" s="34"/>
      <c r="W25" s="34"/>
      <c r="X25" s="34"/>
      <c r="Y25" s="45">
        <v>0.19</v>
      </c>
      <c r="Z25" s="74">
        <f>ROUND(AVERAGE(L25,T25),0)</f>
        <v>23128</v>
      </c>
      <c r="AA25" s="74">
        <f t="shared" si="2"/>
        <v>27522</v>
      </c>
      <c r="AB25" s="57">
        <f>ROUND(GEOMEAN(L25,T25),0)</f>
        <v>22801</v>
      </c>
      <c r="AC25" s="74">
        <f t="shared" si="3"/>
        <v>27133</v>
      </c>
      <c r="AD25" s="37">
        <v>86</v>
      </c>
      <c r="AE25" s="88">
        <f t="shared" si="4"/>
        <v>22801</v>
      </c>
      <c r="AF25" s="88">
        <f t="shared" si="5"/>
        <v>27133</v>
      </c>
      <c r="AG25" s="33">
        <f t="shared" si="6"/>
        <v>2333438</v>
      </c>
      <c r="AH25" s="38" t="s">
        <v>112</v>
      </c>
      <c r="AI25" s="50" t="s">
        <v>145</v>
      </c>
    </row>
    <row r="26" spans="3:35" ht="37.5" customHeight="1" x14ac:dyDescent="0.25">
      <c r="C26" s="35">
        <v>22</v>
      </c>
      <c r="D26" s="52" t="s">
        <v>85</v>
      </c>
      <c r="E26" s="16" t="s">
        <v>86</v>
      </c>
      <c r="F26" s="36" t="s">
        <v>19</v>
      </c>
      <c r="G26" s="35">
        <v>1</v>
      </c>
      <c r="H26" s="70">
        <v>2860</v>
      </c>
      <c r="I26" s="70">
        <f>H26*0</f>
        <v>0</v>
      </c>
      <c r="J26" s="62" t="s">
        <v>119</v>
      </c>
      <c r="K26" s="70">
        <v>2860</v>
      </c>
      <c r="L26" s="33">
        <f>ROUND(17787.78,0)</f>
        <v>17788</v>
      </c>
      <c r="M26" s="33">
        <v>0</v>
      </c>
      <c r="N26" s="78" t="s">
        <v>118</v>
      </c>
      <c r="O26" s="33">
        <f t="shared" si="1"/>
        <v>17788</v>
      </c>
      <c r="P26" s="79">
        <v>13600</v>
      </c>
      <c r="Q26" s="79">
        <f>+P26</f>
        <v>13600</v>
      </c>
      <c r="R26" s="79">
        <f t="shared" si="7"/>
        <v>14307</v>
      </c>
      <c r="S26" s="78">
        <v>0</v>
      </c>
      <c r="T26" s="55">
        <f t="shared" si="8"/>
        <v>14307</v>
      </c>
      <c r="U26" s="41"/>
      <c r="V26" s="34"/>
      <c r="W26" s="34"/>
      <c r="X26" s="34"/>
      <c r="Y26" s="45">
        <v>0</v>
      </c>
      <c r="Z26" s="74">
        <f>ROUND(AVERAGE(L26,T26),0)</f>
        <v>16048</v>
      </c>
      <c r="AA26" s="74">
        <f t="shared" si="2"/>
        <v>16048</v>
      </c>
      <c r="AB26" s="57">
        <f>ROUND(GEOMEAN(L26,T26),0)</f>
        <v>15953</v>
      </c>
      <c r="AC26" s="74">
        <f t="shared" si="3"/>
        <v>15953</v>
      </c>
      <c r="AD26" s="37">
        <v>90</v>
      </c>
      <c r="AE26" s="88">
        <f>+AB26</f>
        <v>15953</v>
      </c>
      <c r="AF26" s="88">
        <f t="shared" si="5"/>
        <v>15953</v>
      </c>
      <c r="AG26" s="33">
        <f t="shared" si="6"/>
        <v>1435770</v>
      </c>
      <c r="AH26" s="38" t="s">
        <v>112</v>
      </c>
      <c r="AI26" s="50" t="s">
        <v>145</v>
      </c>
    </row>
    <row r="27" spans="3:35" ht="37.5" customHeight="1" x14ac:dyDescent="0.25">
      <c r="C27" s="35">
        <v>23</v>
      </c>
      <c r="D27" s="52" t="s">
        <v>3</v>
      </c>
      <c r="E27" s="16" t="s">
        <v>216</v>
      </c>
      <c r="F27" s="36" t="s">
        <v>79</v>
      </c>
      <c r="G27" s="35">
        <v>1</v>
      </c>
      <c r="H27" s="70">
        <v>6500</v>
      </c>
      <c r="I27" s="70">
        <f>H27*0</f>
        <v>0</v>
      </c>
      <c r="J27" s="62" t="s">
        <v>119</v>
      </c>
      <c r="K27" s="70">
        <v>6500</v>
      </c>
      <c r="L27" s="33">
        <f>ROUND(12124.8,0)</f>
        <v>12125</v>
      </c>
      <c r="M27" s="33">
        <v>0</v>
      </c>
      <c r="N27" s="78" t="s">
        <v>118</v>
      </c>
      <c r="O27" s="33">
        <f t="shared" si="1"/>
        <v>12125</v>
      </c>
      <c r="P27" s="79">
        <v>10100</v>
      </c>
      <c r="Q27" s="79">
        <f>+P27</f>
        <v>10100</v>
      </c>
      <c r="R27" s="79">
        <f t="shared" si="7"/>
        <v>10625</v>
      </c>
      <c r="S27" s="78">
        <v>0</v>
      </c>
      <c r="T27" s="55">
        <f>ROUND(R27/(1+S27),0)</f>
        <v>10625</v>
      </c>
      <c r="U27" s="41"/>
      <c r="V27" s="34"/>
      <c r="W27" s="34"/>
      <c r="X27" s="34"/>
      <c r="Y27" s="45">
        <v>0</v>
      </c>
      <c r="Z27" s="74">
        <f>ROUND(AVERAGE(L27,T27),0)</f>
        <v>11375</v>
      </c>
      <c r="AA27" s="74">
        <f t="shared" si="2"/>
        <v>11375</v>
      </c>
      <c r="AB27" s="57">
        <f>ROUND(GEOMEAN(L27,T27),0)</f>
        <v>11350</v>
      </c>
      <c r="AC27" s="74">
        <f t="shared" ref="AC27:AC30" si="11">ROUND(AB27*(1+Y27),0)</f>
        <v>11350</v>
      </c>
      <c r="AD27" s="37">
        <v>48</v>
      </c>
      <c r="AE27" s="88">
        <f>+AB27</f>
        <v>11350</v>
      </c>
      <c r="AF27" s="88">
        <f t="shared" si="5"/>
        <v>11350</v>
      </c>
      <c r="AG27" s="33">
        <f t="shared" si="6"/>
        <v>544800</v>
      </c>
      <c r="AH27" s="38" t="s">
        <v>112</v>
      </c>
      <c r="AI27" s="50" t="s">
        <v>145</v>
      </c>
    </row>
    <row r="28" spans="3:35" ht="37.5" customHeight="1" x14ac:dyDescent="0.25">
      <c r="C28" s="35">
        <v>24</v>
      </c>
      <c r="D28" s="52" t="s">
        <v>87</v>
      </c>
      <c r="E28" s="16" t="s">
        <v>88</v>
      </c>
      <c r="F28" s="36" t="s">
        <v>19</v>
      </c>
      <c r="G28" s="35">
        <v>1</v>
      </c>
      <c r="H28" s="33"/>
      <c r="I28" s="33"/>
      <c r="J28" s="45"/>
      <c r="K28" s="33"/>
      <c r="L28" s="33">
        <v>9000</v>
      </c>
      <c r="M28" s="33">
        <f>L28*0.19</f>
        <v>1710</v>
      </c>
      <c r="N28" s="78">
        <v>0.19</v>
      </c>
      <c r="O28" s="33">
        <f t="shared" si="1"/>
        <v>10710</v>
      </c>
      <c r="P28" s="79"/>
      <c r="Q28" s="79"/>
      <c r="R28" s="79"/>
      <c r="S28" s="78"/>
      <c r="T28" s="55"/>
      <c r="U28" s="86">
        <f>ROUND(W28/1.19,0)</f>
        <v>4622</v>
      </c>
      <c r="V28" s="87">
        <f>ROUND(U28*19%,0)</f>
        <v>878</v>
      </c>
      <c r="W28" s="46">
        <v>5500</v>
      </c>
      <c r="X28" s="47" t="s">
        <v>141</v>
      </c>
      <c r="Y28" s="45">
        <v>0.19</v>
      </c>
      <c r="Z28" s="74">
        <f>ROUND(AVERAGE(L28,U28),0)</f>
        <v>6811</v>
      </c>
      <c r="AA28" s="74">
        <f t="shared" si="2"/>
        <v>8105</v>
      </c>
      <c r="AB28" s="57">
        <f>ROUND(GEOMEAN(L28,U28),0)</f>
        <v>6450</v>
      </c>
      <c r="AC28" s="74">
        <f>ROUND(AB28*(1+Y28),0)</f>
        <v>7676</v>
      </c>
      <c r="AD28" s="37">
        <v>40</v>
      </c>
      <c r="AE28" s="88">
        <f t="shared" si="4"/>
        <v>6450</v>
      </c>
      <c r="AF28" s="88">
        <f t="shared" si="5"/>
        <v>7676</v>
      </c>
      <c r="AG28" s="33">
        <f t="shared" si="6"/>
        <v>307040</v>
      </c>
      <c r="AH28" s="38" t="s">
        <v>112</v>
      </c>
      <c r="AI28" s="50" t="s">
        <v>145</v>
      </c>
    </row>
    <row r="29" spans="3:35" ht="37.5" customHeight="1" x14ac:dyDescent="0.25">
      <c r="C29" s="35">
        <v>25</v>
      </c>
      <c r="D29" s="52" t="s">
        <v>89</v>
      </c>
      <c r="E29" s="16" t="s">
        <v>90</v>
      </c>
      <c r="F29" s="36" t="s">
        <v>21</v>
      </c>
      <c r="G29" s="35">
        <v>1</v>
      </c>
      <c r="H29" s="33"/>
      <c r="I29" s="33"/>
      <c r="J29" s="45"/>
      <c r="K29" s="33"/>
      <c r="L29" s="33">
        <v>40122</v>
      </c>
      <c r="M29" s="33">
        <f>ROUND(L29*0.19,0)</f>
        <v>7623</v>
      </c>
      <c r="N29" s="78">
        <v>0.19</v>
      </c>
      <c r="O29" s="33">
        <f t="shared" si="1"/>
        <v>47745</v>
      </c>
      <c r="P29" s="79"/>
      <c r="Q29" s="79"/>
      <c r="R29" s="79"/>
      <c r="S29" s="78"/>
      <c r="T29" s="55"/>
      <c r="U29" s="86">
        <f>ROUND(W29/1.19,0)</f>
        <v>30756</v>
      </c>
      <c r="V29" s="87">
        <f>ROUND(U29*19%,0)</f>
        <v>5844</v>
      </c>
      <c r="W29" s="46">
        <f>18300*2</f>
        <v>36600</v>
      </c>
      <c r="X29" s="47" t="s">
        <v>142</v>
      </c>
      <c r="Y29" s="45">
        <v>0.19</v>
      </c>
      <c r="Z29" s="74">
        <f>ROUND(AVERAGE(L29,U29),0)</f>
        <v>35439</v>
      </c>
      <c r="AA29" s="74">
        <f t="shared" si="2"/>
        <v>42172</v>
      </c>
      <c r="AB29" s="57">
        <f>ROUND(GEOMEAN(L29,U29),0)</f>
        <v>35128</v>
      </c>
      <c r="AC29" s="74">
        <f>ROUND(AB29*(1+Y29),0)</f>
        <v>41802</v>
      </c>
      <c r="AD29" s="37">
        <v>15</v>
      </c>
      <c r="AE29" s="88">
        <f t="shared" si="4"/>
        <v>35128</v>
      </c>
      <c r="AF29" s="88">
        <f t="shared" si="5"/>
        <v>41802</v>
      </c>
      <c r="AG29" s="33">
        <f t="shared" si="6"/>
        <v>627030</v>
      </c>
      <c r="AH29" s="38" t="s">
        <v>111</v>
      </c>
      <c r="AI29" s="50" t="s">
        <v>145</v>
      </c>
    </row>
    <row r="30" spans="3:35" ht="37.5" customHeight="1" x14ac:dyDescent="0.25">
      <c r="C30" s="35">
        <v>26</v>
      </c>
      <c r="D30" s="52" t="s">
        <v>91</v>
      </c>
      <c r="E30" s="16" t="s">
        <v>92</v>
      </c>
      <c r="F30" s="36" t="s">
        <v>19</v>
      </c>
      <c r="G30" s="35">
        <v>1</v>
      </c>
      <c r="H30" s="33"/>
      <c r="I30" s="33"/>
      <c r="J30" s="45"/>
      <c r="K30" s="33"/>
      <c r="L30" s="33">
        <f>ROUND(72874.8,0)</f>
        <v>72875</v>
      </c>
      <c r="M30" s="33">
        <f>ROUND(L30*0.19,0)</f>
        <v>13846</v>
      </c>
      <c r="N30" s="78">
        <v>0.19</v>
      </c>
      <c r="O30" s="33">
        <f t="shared" si="1"/>
        <v>86721</v>
      </c>
      <c r="P30" s="79"/>
      <c r="Q30" s="79"/>
      <c r="R30" s="79"/>
      <c r="S30" s="78"/>
      <c r="T30" s="55"/>
      <c r="U30" s="86">
        <f>ROUND(W30/1.19,0)</f>
        <v>64957</v>
      </c>
      <c r="V30" s="87">
        <f>ROUND(U30*19%,0)</f>
        <v>12342</v>
      </c>
      <c r="W30" s="46">
        <v>77299</v>
      </c>
      <c r="X30" s="47" t="s">
        <v>143</v>
      </c>
      <c r="Y30" s="45">
        <v>0.19</v>
      </c>
      <c r="Z30" s="74">
        <f>ROUND(AVERAGE(L30,U30),0)</f>
        <v>68916</v>
      </c>
      <c r="AA30" s="74">
        <f t="shared" si="2"/>
        <v>82010</v>
      </c>
      <c r="AB30" s="57">
        <f>ROUND(GEOMEAN(L30,U30),0)</f>
        <v>68802</v>
      </c>
      <c r="AC30" s="74">
        <f t="shared" si="11"/>
        <v>81874</v>
      </c>
      <c r="AD30" s="37">
        <v>5</v>
      </c>
      <c r="AE30" s="88">
        <f t="shared" si="4"/>
        <v>68802</v>
      </c>
      <c r="AF30" s="88">
        <f t="shared" si="5"/>
        <v>81874</v>
      </c>
      <c r="AG30" s="33">
        <f t="shared" si="6"/>
        <v>409370</v>
      </c>
      <c r="AH30" s="38" t="s">
        <v>112</v>
      </c>
      <c r="AI30" s="50" t="s">
        <v>145</v>
      </c>
    </row>
    <row r="31" spans="3:35" ht="37.5" customHeight="1" x14ac:dyDescent="0.25">
      <c r="C31" s="35">
        <v>27</v>
      </c>
      <c r="D31" s="52" t="s">
        <v>93</v>
      </c>
      <c r="E31" s="16" t="s">
        <v>94</v>
      </c>
      <c r="F31" s="36" t="s">
        <v>19</v>
      </c>
      <c r="G31" s="35">
        <v>1</v>
      </c>
      <c r="H31" s="76">
        <v>8500</v>
      </c>
      <c r="I31" s="33">
        <f>H31*0.19</f>
        <v>1615</v>
      </c>
      <c r="J31" s="75">
        <v>0.19</v>
      </c>
      <c r="K31" s="33">
        <f>H31+I31</f>
        <v>10115</v>
      </c>
      <c r="L31" s="33">
        <f>ROUND(28504.8,0)</f>
        <v>28505</v>
      </c>
      <c r="M31" s="33">
        <f>ROUND(L31*0.19,0)</f>
        <v>5416</v>
      </c>
      <c r="N31" s="78">
        <v>0.19</v>
      </c>
      <c r="O31" s="33">
        <f t="shared" si="1"/>
        <v>33921</v>
      </c>
      <c r="P31" s="79"/>
      <c r="Q31" s="79"/>
      <c r="R31" s="79"/>
      <c r="S31" s="78"/>
      <c r="T31" s="55"/>
      <c r="U31" s="41"/>
      <c r="V31" s="34"/>
      <c r="W31" s="34"/>
      <c r="X31" s="34"/>
      <c r="Y31" s="45">
        <v>0.19</v>
      </c>
      <c r="Z31" s="74">
        <f>ROUND(AVERAGE(H31,L31),0)</f>
        <v>18503</v>
      </c>
      <c r="AA31" s="74">
        <f t="shared" si="2"/>
        <v>22019</v>
      </c>
      <c r="AB31" s="57">
        <f>ROUND(GEOMEAN(H31,L31),0)</f>
        <v>15566</v>
      </c>
      <c r="AC31" s="74">
        <f t="shared" ref="AC31:AC37" si="12">ROUND(AB31*(1+Y31),0)</f>
        <v>18524</v>
      </c>
      <c r="AD31" s="37">
        <v>10</v>
      </c>
      <c r="AE31" s="88">
        <f t="shared" si="4"/>
        <v>15566</v>
      </c>
      <c r="AF31" s="88">
        <f t="shared" si="5"/>
        <v>18524</v>
      </c>
      <c r="AG31" s="33">
        <f t="shared" si="6"/>
        <v>185240</v>
      </c>
      <c r="AH31" s="38" t="s">
        <v>111</v>
      </c>
      <c r="AI31" s="50" t="s">
        <v>145</v>
      </c>
    </row>
    <row r="32" spans="3:35" ht="37.5" customHeight="1" x14ac:dyDescent="0.25">
      <c r="C32" s="35">
        <v>28</v>
      </c>
      <c r="D32" s="52" t="s">
        <v>95</v>
      </c>
      <c r="E32" s="16" t="s">
        <v>217</v>
      </c>
      <c r="F32" s="36" t="s">
        <v>19</v>
      </c>
      <c r="G32" s="35">
        <v>1</v>
      </c>
      <c r="H32" s="79">
        <v>6720</v>
      </c>
      <c r="I32" s="79">
        <f>H32*0</f>
        <v>0</v>
      </c>
      <c r="J32" s="78" t="s">
        <v>119</v>
      </c>
      <c r="K32" s="33">
        <v>6720</v>
      </c>
      <c r="L32" s="33">
        <v>3690</v>
      </c>
      <c r="M32" s="33">
        <v>0</v>
      </c>
      <c r="N32" s="78" t="s">
        <v>118</v>
      </c>
      <c r="O32" s="33">
        <f t="shared" si="1"/>
        <v>3690</v>
      </c>
      <c r="P32" s="79"/>
      <c r="Q32" s="79"/>
      <c r="R32" s="79"/>
      <c r="S32" s="78"/>
      <c r="T32" s="55"/>
      <c r="U32" s="41"/>
      <c r="V32" s="34"/>
      <c r="W32" s="34"/>
      <c r="X32" s="34"/>
      <c r="Y32" s="45">
        <v>0</v>
      </c>
      <c r="Z32" s="74">
        <f>ROUND(AVERAGE(H32,L32),0)</f>
        <v>5205</v>
      </c>
      <c r="AA32" s="74">
        <f t="shared" si="2"/>
        <v>5205</v>
      </c>
      <c r="AB32" s="57">
        <f>ROUND(GEOMEAN(H32,L32),0)</f>
        <v>4980</v>
      </c>
      <c r="AC32" s="74">
        <f t="shared" si="12"/>
        <v>4980</v>
      </c>
      <c r="AD32" s="37">
        <v>26</v>
      </c>
      <c r="AE32" s="88">
        <f>+AB32</f>
        <v>4980</v>
      </c>
      <c r="AF32" s="88">
        <f t="shared" si="5"/>
        <v>4980</v>
      </c>
      <c r="AG32" s="33">
        <f t="shared" si="6"/>
        <v>129480</v>
      </c>
      <c r="AH32" s="38" t="s">
        <v>112</v>
      </c>
      <c r="AI32" s="50" t="s">
        <v>145</v>
      </c>
    </row>
    <row r="33" spans="3:35" ht="37.5" customHeight="1" x14ac:dyDescent="0.25">
      <c r="C33" s="35">
        <v>29</v>
      </c>
      <c r="D33" s="52" t="s">
        <v>115</v>
      </c>
      <c r="E33" s="16" t="s">
        <v>218</v>
      </c>
      <c r="F33" s="36" t="s">
        <v>19</v>
      </c>
      <c r="G33" s="35">
        <v>1</v>
      </c>
      <c r="H33" s="79">
        <v>7540</v>
      </c>
      <c r="I33" s="79">
        <f>H33*0</f>
        <v>0</v>
      </c>
      <c r="J33" s="78" t="s">
        <v>119</v>
      </c>
      <c r="K33" s="33">
        <v>7540</v>
      </c>
      <c r="L33" s="33">
        <v>8208</v>
      </c>
      <c r="M33" s="33">
        <v>0</v>
      </c>
      <c r="N33" s="78" t="s">
        <v>118</v>
      </c>
      <c r="O33" s="33">
        <f t="shared" si="1"/>
        <v>8208</v>
      </c>
      <c r="P33" s="79"/>
      <c r="Q33" s="79"/>
      <c r="R33" s="79"/>
      <c r="S33" s="78"/>
      <c r="T33" s="55"/>
      <c r="U33" s="41"/>
      <c r="V33" s="34"/>
      <c r="W33" s="34"/>
      <c r="X33" s="34"/>
      <c r="Y33" s="45">
        <v>0</v>
      </c>
      <c r="Z33" s="74">
        <f>ROUND(AVERAGE(H33,L33),0)</f>
        <v>7874</v>
      </c>
      <c r="AA33" s="74">
        <f t="shared" si="2"/>
        <v>7874</v>
      </c>
      <c r="AB33" s="57">
        <f>ROUND(GEOMEAN(H33,L33),0)</f>
        <v>7867</v>
      </c>
      <c r="AC33" s="74">
        <f t="shared" si="12"/>
        <v>7867</v>
      </c>
      <c r="AD33" s="37">
        <v>24</v>
      </c>
      <c r="AE33" s="88">
        <f>+AB33</f>
        <v>7867</v>
      </c>
      <c r="AF33" s="88">
        <f t="shared" si="5"/>
        <v>7867</v>
      </c>
      <c r="AG33" s="33">
        <f t="shared" si="6"/>
        <v>188808</v>
      </c>
      <c r="AH33" s="38" t="s">
        <v>112</v>
      </c>
      <c r="AI33" s="50" t="s">
        <v>145</v>
      </c>
    </row>
    <row r="34" spans="3:35" ht="37.5" customHeight="1" x14ac:dyDescent="0.25">
      <c r="C34" s="35">
        <v>30</v>
      </c>
      <c r="D34" s="51" t="s">
        <v>116</v>
      </c>
      <c r="E34" s="16" t="s">
        <v>219</v>
      </c>
      <c r="F34" s="36" t="s">
        <v>19</v>
      </c>
      <c r="G34" s="35">
        <v>1</v>
      </c>
      <c r="H34" s="79">
        <v>7280</v>
      </c>
      <c r="I34" s="79">
        <f>H34*0</f>
        <v>0</v>
      </c>
      <c r="J34" s="78" t="s">
        <v>119</v>
      </c>
      <c r="K34" s="33">
        <v>7280</v>
      </c>
      <c r="L34" s="33">
        <v>9000</v>
      </c>
      <c r="M34" s="33">
        <v>0</v>
      </c>
      <c r="N34" s="78" t="s">
        <v>118</v>
      </c>
      <c r="O34" s="33">
        <f t="shared" si="1"/>
        <v>9000</v>
      </c>
      <c r="P34" s="79"/>
      <c r="Q34" s="79"/>
      <c r="R34" s="79"/>
      <c r="S34" s="78"/>
      <c r="T34" s="55"/>
      <c r="U34" s="41"/>
      <c r="V34" s="34"/>
      <c r="W34" s="34"/>
      <c r="X34" s="34"/>
      <c r="Y34" s="45">
        <v>0</v>
      </c>
      <c r="Z34" s="74">
        <f>ROUND(AVERAGE(H34,L34),0)</f>
        <v>8140</v>
      </c>
      <c r="AA34" s="74">
        <f t="shared" si="2"/>
        <v>8140</v>
      </c>
      <c r="AB34" s="57">
        <f>ROUND(GEOMEAN(H34,L34),0)</f>
        <v>8094</v>
      </c>
      <c r="AC34" s="74">
        <f t="shared" si="12"/>
        <v>8094</v>
      </c>
      <c r="AD34" s="37">
        <v>24</v>
      </c>
      <c r="AE34" s="88">
        <f>+AB34</f>
        <v>8094</v>
      </c>
      <c r="AF34" s="88">
        <f t="shared" si="5"/>
        <v>8094</v>
      </c>
      <c r="AG34" s="33">
        <f t="shared" si="6"/>
        <v>194256</v>
      </c>
      <c r="AH34" s="38" t="s">
        <v>112</v>
      </c>
      <c r="AI34" s="50" t="s">
        <v>145</v>
      </c>
    </row>
    <row r="35" spans="3:35" ht="37.5" customHeight="1" x14ac:dyDescent="0.25">
      <c r="C35" s="35">
        <v>31</v>
      </c>
      <c r="D35" s="51" t="s">
        <v>96</v>
      </c>
      <c r="E35" s="16" t="s">
        <v>97</v>
      </c>
      <c r="F35" s="36" t="s">
        <v>19</v>
      </c>
      <c r="G35" s="35">
        <v>1</v>
      </c>
      <c r="H35" s="79">
        <v>6787</v>
      </c>
      <c r="I35" s="79">
        <f>ROUND(H35*0.19,0)</f>
        <v>1290</v>
      </c>
      <c r="J35" s="78">
        <v>0.19</v>
      </c>
      <c r="K35" s="33">
        <f>H35+I35</f>
        <v>8077</v>
      </c>
      <c r="L35" s="33">
        <v>8820</v>
      </c>
      <c r="M35" s="33">
        <f>ROUND(L35*0.19,0)</f>
        <v>1676</v>
      </c>
      <c r="N35" s="78">
        <v>0.19</v>
      </c>
      <c r="O35" s="33">
        <f t="shared" si="1"/>
        <v>10496</v>
      </c>
      <c r="P35" s="79"/>
      <c r="Q35" s="79"/>
      <c r="R35" s="79"/>
      <c r="S35" s="78"/>
      <c r="T35" s="55"/>
      <c r="U35" s="41"/>
      <c r="V35" s="34"/>
      <c r="W35" s="34"/>
      <c r="X35" s="34"/>
      <c r="Y35" s="45">
        <v>0.19</v>
      </c>
      <c r="Z35" s="74">
        <f>ROUND(AVERAGE(H35,L35),0)</f>
        <v>7804</v>
      </c>
      <c r="AA35" s="74">
        <f t="shared" si="2"/>
        <v>9287</v>
      </c>
      <c r="AB35" s="57">
        <f>ROUND(GEOMEAN(H35,L35),0)</f>
        <v>7737</v>
      </c>
      <c r="AC35" s="74">
        <f t="shared" si="12"/>
        <v>9207</v>
      </c>
      <c r="AD35" s="37">
        <v>4</v>
      </c>
      <c r="AE35" s="88">
        <f t="shared" si="4"/>
        <v>7737</v>
      </c>
      <c r="AF35" s="88">
        <f t="shared" si="5"/>
        <v>9207</v>
      </c>
      <c r="AG35" s="33">
        <f t="shared" si="6"/>
        <v>36828</v>
      </c>
      <c r="AH35" s="38" t="s">
        <v>112</v>
      </c>
      <c r="AI35" s="50" t="s">
        <v>145</v>
      </c>
    </row>
    <row r="36" spans="3:35" ht="37.5" customHeight="1" x14ac:dyDescent="0.25">
      <c r="C36" s="35">
        <v>32</v>
      </c>
      <c r="D36" s="51" t="s">
        <v>98</v>
      </c>
      <c r="E36" s="16" t="s">
        <v>99</v>
      </c>
      <c r="F36" s="36" t="s">
        <v>121</v>
      </c>
      <c r="G36" s="35">
        <v>1</v>
      </c>
      <c r="H36" s="79"/>
      <c r="I36" s="79"/>
      <c r="J36" s="78"/>
      <c r="K36" s="33"/>
      <c r="L36" s="33">
        <v>37350</v>
      </c>
      <c r="M36" s="33">
        <f>ROUND(L36*0.19,0)</f>
        <v>7097</v>
      </c>
      <c r="N36" s="78">
        <v>0.19</v>
      </c>
      <c r="O36" s="33">
        <f t="shared" si="1"/>
        <v>44447</v>
      </c>
      <c r="P36" s="79"/>
      <c r="Q36" s="79"/>
      <c r="R36" s="79"/>
      <c r="S36" s="78"/>
      <c r="T36" s="55"/>
      <c r="U36" s="86">
        <f>ROUND(W36/1.19,0)</f>
        <v>33529</v>
      </c>
      <c r="V36" s="87">
        <f>ROUND(U36*19%,0)</f>
        <v>6371</v>
      </c>
      <c r="W36" s="34">
        <v>39900</v>
      </c>
      <c r="X36" s="47" t="s">
        <v>192</v>
      </c>
      <c r="Y36" s="45">
        <v>0.19</v>
      </c>
      <c r="Z36" s="74">
        <f>ROUND(AVERAGE(L36,U36),0)</f>
        <v>35440</v>
      </c>
      <c r="AA36" s="74">
        <f t="shared" si="2"/>
        <v>42174</v>
      </c>
      <c r="AB36" s="57">
        <f>ROUND(GEOMEAN(L36,U36),0)</f>
        <v>35388</v>
      </c>
      <c r="AC36" s="74">
        <f t="shared" si="12"/>
        <v>42112</v>
      </c>
      <c r="AD36" s="37">
        <v>10</v>
      </c>
      <c r="AE36" s="88">
        <f t="shared" si="4"/>
        <v>35388</v>
      </c>
      <c r="AF36" s="88">
        <f t="shared" si="5"/>
        <v>42112</v>
      </c>
      <c r="AG36" s="33">
        <f t="shared" si="6"/>
        <v>421120</v>
      </c>
      <c r="AH36" s="38" t="s">
        <v>112</v>
      </c>
      <c r="AI36" s="50" t="s">
        <v>145</v>
      </c>
    </row>
    <row r="37" spans="3:35" ht="37.5" customHeight="1" x14ac:dyDescent="0.25">
      <c r="C37" s="35">
        <v>33</v>
      </c>
      <c r="D37" s="51" t="s">
        <v>100</v>
      </c>
      <c r="E37" s="16" t="s">
        <v>101</v>
      </c>
      <c r="F37" s="36" t="s">
        <v>102</v>
      </c>
      <c r="G37" s="35">
        <v>1</v>
      </c>
      <c r="H37" s="79">
        <v>8250</v>
      </c>
      <c r="I37" s="79">
        <f>H37*0</f>
        <v>0</v>
      </c>
      <c r="J37" s="78" t="s">
        <v>119</v>
      </c>
      <c r="K37" s="33">
        <v>8250</v>
      </c>
      <c r="L37" s="33">
        <v>13680</v>
      </c>
      <c r="M37" s="33">
        <f>ROUND(L37*0.19,0)</f>
        <v>2599</v>
      </c>
      <c r="N37" s="78">
        <v>0.19</v>
      </c>
      <c r="O37" s="33">
        <f t="shared" si="1"/>
        <v>16279</v>
      </c>
      <c r="P37" s="79"/>
      <c r="Q37" s="79"/>
      <c r="R37" s="79"/>
      <c r="S37" s="78"/>
      <c r="T37" s="55"/>
      <c r="U37" s="41"/>
      <c r="V37" s="34"/>
      <c r="W37" s="34"/>
      <c r="X37" s="34"/>
      <c r="Y37" s="45">
        <v>0.19</v>
      </c>
      <c r="Z37" s="74">
        <f>ROUND(AVERAGE(H37,L37),0)</f>
        <v>10965</v>
      </c>
      <c r="AA37" s="74">
        <f t="shared" si="2"/>
        <v>13048</v>
      </c>
      <c r="AB37" s="57">
        <f>ROUND(GEOMEAN(H37,L37),0)</f>
        <v>10624</v>
      </c>
      <c r="AC37" s="74">
        <f t="shared" si="12"/>
        <v>12643</v>
      </c>
      <c r="AD37" s="37">
        <v>3</v>
      </c>
      <c r="AE37" s="88">
        <f t="shared" si="4"/>
        <v>10624</v>
      </c>
      <c r="AF37" s="88">
        <f t="shared" si="5"/>
        <v>12643</v>
      </c>
      <c r="AG37" s="33">
        <f t="shared" si="6"/>
        <v>37929</v>
      </c>
      <c r="AH37" s="38" t="s">
        <v>112</v>
      </c>
      <c r="AI37" s="50" t="s">
        <v>145</v>
      </c>
    </row>
    <row r="38" spans="3:35" x14ac:dyDescent="0.25">
      <c r="C38" s="108" t="s">
        <v>17</v>
      </c>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c r="AD38" s="39"/>
      <c r="AE38" s="89"/>
      <c r="AF38" s="89"/>
      <c r="AG38" s="40">
        <f>ROUND(SUM(AG5:AG37),0)</f>
        <v>58078268</v>
      </c>
      <c r="AH38" s="41"/>
    </row>
    <row r="39" spans="3:35" x14ac:dyDescent="0.25">
      <c r="AG39" s="42"/>
    </row>
    <row r="40" spans="3:35" ht="39" customHeight="1" x14ac:dyDescent="0.25">
      <c r="C40" s="97" t="s">
        <v>193</v>
      </c>
      <c r="D40" s="98"/>
      <c r="E40" s="98"/>
      <c r="F40" s="98"/>
      <c r="G40" s="99"/>
      <c r="AG40" s="42">
        <f>+AG38+'Grupo 1-Epp y AEM'!AN36</f>
        <v>404183740</v>
      </c>
    </row>
    <row r="41" spans="3:35" ht="39" customHeight="1" x14ac:dyDescent="0.25">
      <c r="C41" s="35" t="s">
        <v>194</v>
      </c>
      <c r="D41" s="95" t="s">
        <v>199</v>
      </c>
      <c r="E41" s="95"/>
      <c r="F41" s="95"/>
      <c r="G41" s="95"/>
      <c r="AG41" s="42"/>
    </row>
    <row r="42" spans="3:35" ht="39" customHeight="1" x14ac:dyDescent="0.25">
      <c r="C42" s="35" t="s">
        <v>195</v>
      </c>
      <c r="D42" s="95" t="s">
        <v>204</v>
      </c>
      <c r="E42" s="95"/>
      <c r="F42" s="95"/>
      <c r="G42" s="95"/>
    </row>
    <row r="43" spans="3:35" ht="39" customHeight="1" x14ac:dyDescent="0.25">
      <c r="C43" s="35">
        <v>3</v>
      </c>
      <c r="D43" s="96" t="s">
        <v>200</v>
      </c>
      <c r="E43" s="96"/>
      <c r="F43" s="96"/>
      <c r="G43" s="96"/>
    </row>
  </sheetData>
  <autoFilter ref="C4:AI38" xr:uid="{60B7222E-817A-4FCC-8C8D-C1D75A486CED}"/>
  <mergeCells count="29">
    <mergeCell ref="AI3:AI4"/>
    <mergeCell ref="AH3:AH4"/>
    <mergeCell ref="C2:AH2"/>
    <mergeCell ref="AE3:AE4"/>
    <mergeCell ref="AF3:AF4"/>
    <mergeCell ref="X3:X4"/>
    <mergeCell ref="Y3:Y4"/>
    <mergeCell ref="U3:U4"/>
    <mergeCell ref="H3:K3"/>
    <mergeCell ref="AC3:AC4"/>
    <mergeCell ref="V3:V4"/>
    <mergeCell ref="W3:W4"/>
    <mergeCell ref="AG3:AG4"/>
    <mergeCell ref="C3:C4"/>
    <mergeCell ref="D3:D4"/>
    <mergeCell ref="E3:E4"/>
    <mergeCell ref="F3:F4"/>
    <mergeCell ref="G3:G4"/>
    <mergeCell ref="AD3:AD4"/>
    <mergeCell ref="L3:O3"/>
    <mergeCell ref="P3:T3"/>
    <mergeCell ref="Z3:Z4"/>
    <mergeCell ref="AA3:AA4"/>
    <mergeCell ref="AB3:AB4"/>
    <mergeCell ref="D41:G41"/>
    <mergeCell ref="D42:G42"/>
    <mergeCell ref="D43:G43"/>
    <mergeCell ref="C38:AC38"/>
    <mergeCell ref="C40:G40"/>
  </mergeCells>
  <hyperlinks>
    <hyperlink ref="X10" r:id="rId1" location="polycard_client=search-nordic&amp;searchVariation=64324957297&amp;position=24&amp;search_layout=stack&amp;type=item&amp;tracking_id=7ceb80e9-301b-4e23-8e33-b7d5156cb474" display="https://articulo.mercadolibre.com.co/MCO-583376059-protector-auditivo-3m-1100-espuma-caja-x-200-pares-_JM?searchVariation=64324957297#polycard_client=search-nordic&amp;searchVariation=64324957297&amp;position=24&amp;search_layout=stack&amp;type=item&amp;tracking_id=7ceb80e9-301b-4e23-8e33-b7d5156cb474" xr:uid="{1B631346-EF15-4D3B-BE12-0C200F96F756}"/>
    <hyperlink ref="X11" r:id="rId2" xr:uid="{54CA91C3-92A0-42CD-9CAE-EB33008211BA}"/>
    <hyperlink ref="X28" r:id="rId3" location="polycard_client=search-nordic&amp;searchVariation=MCO22230562&amp;position=42&amp;search_layout=grid&amp;type=product&amp;tracking_id=b1e3590f-060d-4e9e-9caf-10deed75e72d&amp;wid=MCO1588948451&amp;sid=search" display="https://www.mercadolibre.com.co/cepillo-de-dientes-colgate-cepillos-dentales-cepillo-adulto-value-medio/p/MCO22230562#polycard_client=search-nordic&amp;searchVariation=MCO22230562&amp;position=42&amp;search_layout=grid&amp;type=product&amp;tracking_id=b1e3590f-060d-4e9e-9caf-10deed75e72d&amp;wid=MCO1588948451&amp;sid=search" xr:uid="{16CFD516-6441-4A22-8407-92A902AAA2F0}"/>
    <hyperlink ref="X29" r:id="rId4" xr:uid="{6CFBCD2A-7C61-4B78-9C69-7AF68ABA6BCF}"/>
    <hyperlink ref="X30" r:id="rId5" xr:uid="{DE175951-BD30-4E2E-AAC0-DD04E067FB93}"/>
    <hyperlink ref="X16" r:id="rId6" xr:uid="{43F00784-1451-465D-99AA-F3DF03205BBF}"/>
    <hyperlink ref="X22" r:id="rId7" xr:uid="{DAAD83ED-2C88-43EF-8AAA-00DB8D68754D}"/>
    <hyperlink ref="X36" r:id="rId8" xr:uid="{7775AEEB-89F8-4454-B759-355FC1920EC6}"/>
    <hyperlink ref="X15" r:id="rId9" xr:uid="{B58B66B9-DD63-4D77-92E5-EE50BB004997}"/>
  </hyperlinks>
  <pageMargins left="0.7" right="0.7" top="0.75" bottom="0.75" header="0.3" footer="0.3"/>
  <pageSetup paperSize="9" orientation="portrait" horizontalDpi="1200" verticalDpi="1200" r:id="rId1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6A7B99AA0494E429022487311EA2C7F" ma:contentTypeVersion="14" ma:contentTypeDescription="Crear nuevo documento." ma:contentTypeScope="" ma:versionID="f25c8e88fc60e28d840ad0ec56eeeee5">
  <xsd:schema xmlns:xsd="http://www.w3.org/2001/XMLSchema" xmlns:xs="http://www.w3.org/2001/XMLSchema" xmlns:p="http://schemas.microsoft.com/office/2006/metadata/properties" xmlns:ns3="4bc32f29-b2e3-44dc-bdb2-ba273a037ef9" xmlns:ns4="ab3d1e39-64f8-477c-b0c5-b602f922ec12" targetNamespace="http://schemas.microsoft.com/office/2006/metadata/properties" ma:root="true" ma:fieldsID="f45faffc1d971a85d477dab6eb68efbd" ns3:_="" ns4:_="">
    <xsd:import namespace="4bc32f29-b2e3-44dc-bdb2-ba273a037ef9"/>
    <xsd:import namespace="ab3d1e39-64f8-477c-b0c5-b602f922ec12"/>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LengthInSecond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c32f29-b2e3-44dc-bdb2-ba273a037e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b3d1e39-64f8-477c-b0c5-b602f922ec1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b3d1e39-64f8-477c-b0c5-b602f922ec12">
      <UserInfo>
        <DisplayName>William Perez Cardenas</DisplayName>
        <AccountId>303</AccountId>
        <AccountType/>
      </UserInfo>
      <UserInfo>
        <DisplayName>Javier Alonso Pineda Valencia</DisplayName>
        <AccountId>257</AccountId>
        <AccountType/>
      </UserInfo>
      <UserInfo>
        <DisplayName>Piter Alexander Sanabria Giron</DisplayName>
        <AccountId>3508</AccountId>
        <AccountType/>
      </UserInfo>
      <UserInfo>
        <DisplayName>Luis Giovanny Cepeda Barrera</DisplayName>
        <AccountId>307</AccountId>
        <AccountType/>
      </UserInfo>
      <UserInfo>
        <DisplayName>Leidy Patricia Almanza Castro</DisplayName>
        <AccountId>286</AccountId>
        <AccountType/>
      </UserInfo>
      <UserInfo>
        <DisplayName>Henry Alejandro Salazar Perez</DisplayName>
        <AccountId>4109</AccountId>
        <AccountType/>
      </UserInfo>
    </SharedWithUsers>
    <_activity xmlns="4bc32f29-b2e3-44dc-bdb2-ba273a037ef9" xsi:nil="true"/>
  </documentManagement>
</p:properties>
</file>

<file path=customXml/itemProps1.xml><?xml version="1.0" encoding="utf-8"?>
<ds:datastoreItem xmlns:ds="http://schemas.openxmlformats.org/officeDocument/2006/customXml" ds:itemID="{E96F5E44-C8D7-4F2B-96AE-F8822E60E4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c32f29-b2e3-44dc-bdb2-ba273a037ef9"/>
    <ds:schemaRef ds:uri="ab3d1e39-64f8-477c-b0c5-b602f922ec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44B153-BAFA-4BC7-A8B4-2C9EE575C182}">
  <ds:schemaRefs>
    <ds:schemaRef ds:uri="http://schemas.microsoft.com/sharepoint/v3/contenttype/forms"/>
  </ds:schemaRefs>
</ds:datastoreItem>
</file>

<file path=customXml/itemProps3.xml><?xml version="1.0" encoding="utf-8"?>
<ds:datastoreItem xmlns:ds="http://schemas.openxmlformats.org/officeDocument/2006/customXml" ds:itemID="{8E212592-6BAE-4063-A9C0-A428640F0D62}">
  <ds:schemaRefs>
    <ds:schemaRef ds:uri="http://purl.org/dc/elements/1.1/"/>
    <ds:schemaRef ds:uri="ab3d1e39-64f8-477c-b0c5-b602f922ec12"/>
    <ds:schemaRef ds:uri="http://schemas.openxmlformats.org/package/2006/metadata/core-properties"/>
    <ds:schemaRef ds:uri="http://www.w3.org/XML/1998/namespace"/>
    <ds:schemaRef ds:uri="http://purl.org/dc/dcmitype/"/>
    <ds:schemaRef ds:uri="http://schemas.microsoft.com/office/2006/documentManagement/types"/>
    <ds:schemaRef ds:uri="4bc32f29-b2e3-44dc-bdb2-ba273a037ef9"/>
    <ds:schemaRef ds:uri="http://schemas.microsoft.com/office/infopath/2007/PartnerControl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1-Epp y AEM</vt:lpstr>
      <vt:lpstr>Grupo 2-Epp y AEM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1081403176</dc:creator>
  <cp:keywords/>
  <dc:description/>
  <cp:lastModifiedBy>natalia morales</cp:lastModifiedBy>
  <cp:revision/>
  <dcterms:created xsi:type="dcterms:W3CDTF">2018-08-02T17:01:29Z</dcterms:created>
  <dcterms:modified xsi:type="dcterms:W3CDTF">2025-10-08T18:20:11Z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0x01010036A7B99AA0494E429022487311EA2C7F</vt:lpwstr>
  </property>
  <property fmtid="{D5CDD505-2E9C-101B-9397-08002B2CF9AE}" pid="3" name="MediaServiceImageTags">
    <vt:lpwstr/>
  </property>
</Properties>
</file>