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d.docs.live.net/95dc62f0bfa608d5/Documentos/Antonio Nariño/0. 2025/13. FORMULACIÓN 1/"/>
    </mc:Choice>
  </mc:AlternateContent>
  <xr:revisionPtr revIDLastSave="9" documentId="8_{F02BAAE2-FDAB-4C22-BD68-FC2FECEE3F1F}" xr6:coauthVersionLast="47" xr6:coauthVersionMax="47" xr10:uidLastSave="{D5BC09C4-9FF5-4BF7-80F6-8B03F351E45E}"/>
  <bookViews>
    <workbookView xWindow="-90" yWindow="0" windowWidth="12980" windowHeight="16090" activeTab="2" xr2:uid="{4D4D9EC1-99C1-4383-9CED-1EAA8C0428AF}"/>
  </bookViews>
  <sheets>
    <sheet name="DEPORTE" sheetId="3" r:id="rId1"/>
    <sheet name="EMPRENDIMIENTO" sheetId="2" r:id="rId2"/>
    <sheet name="AMBIENTE " sheetId="4" r:id="rId3"/>
    <sheet name="TICS" sheetId="5" r:id="rId4"/>
    <sheet name="Coordinador" sheetId="8" r:id="rId5"/>
    <sheet name="Resumen" sheetId="6" r:id="rId6"/>
  </sheets>
  <definedNames>
    <definedName name="_xlnm._FilterDatabase" localSheetId="2" hidden="1">'AMBIENTE '!$A$6:$N$121</definedName>
    <definedName name="_xlnm._FilterDatabase" localSheetId="0" hidden="1">DEPORTE!$A$5:$M$77</definedName>
    <definedName name="_xlnm._FilterDatabase" localSheetId="1" hidden="1">EMPRENDIMIENTO!$B$6:$P$97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 i="4" l="1"/>
  <c r="L23" i="4"/>
  <c r="L17" i="4"/>
  <c r="L18" i="4"/>
  <c r="L19" i="4"/>
  <c r="L20" i="4"/>
  <c r="L21" i="4"/>
  <c r="L13" i="4"/>
  <c r="L14" i="4"/>
  <c r="L15" i="4"/>
  <c r="L16" i="4"/>
  <c r="L10" i="4"/>
  <c r="L11" i="4"/>
  <c r="L12" i="4"/>
  <c r="L9" i="4"/>
  <c r="K10" i="4"/>
  <c r="K11" i="4"/>
  <c r="K12" i="4"/>
  <c r="K13" i="4"/>
  <c r="K14" i="4"/>
  <c r="K15" i="4"/>
  <c r="K16" i="4"/>
  <c r="K17" i="4"/>
  <c r="K18" i="4"/>
  <c r="K19" i="4"/>
  <c r="K20" i="4"/>
  <c r="K21" i="4"/>
  <c r="K22" i="4"/>
  <c r="K23" i="4"/>
  <c r="J16" i="4"/>
  <c r="J17" i="4"/>
  <c r="J18" i="4"/>
  <c r="J19" i="4"/>
  <c r="J20" i="4"/>
  <c r="J21" i="4"/>
  <c r="L96" i="2"/>
  <c r="I34" i="4"/>
  <c r="I101" i="4"/>
  <c r="K20" i="5"/>
  <c r="I93" i="2"/>
  <c r="L31" i="2"/>
  <c r="L32" i="2"/>
  <c r="L21" i="2"/>
  <c r="L20" i="2"/>
  <c r="L19" i="2"/>
  <c r="L18" i="2"/>
  <c r="L17" i="2"/>
  <c r="L16" i="2"/>
  <c r="L15" i="2"/>
  <c r="L14" i="2"/>
  <c r="L12" i="2"/>
  <c r="L13" i="2"/>
  <c r="L7" i="2"/>
  <c r="L95" i="2"/>
  <c r="F96" i="2"/>
  <c r="L84" i="2"/>
  <c r="L85" i="2"/>
  <c r="L86" i="2"/>
  <c r="L87" i="2"/>
  <c r="L89" i="2"/>
  <c r="L90" i="2"/>
  <c r="L91" i="2"/>
  <c r="L92" i="2"/>
  <c r="L76" i="2"/>
  <c r="L70" i="2"/>
  <c r="L69" i="2"/>
  <c r="L68" i="2"/>
  <c r="L67" i="2"/>
  <c r="L65" i="2"/>
  <c r="L64" i="2"/>
  <c r="L63" i="2"/>
  <c r="L62" i="2"/>
  <c r="L61" i="2"/>
  <c r="L60" i="2"/>
  <c r="L59" i="2"/>
  <c r="L58" i="2"/>
  <c r="L57" i="2"/>
  <c r="L56" i="2"/>
  <c r="L55" i="2"/>
  <c r="L39" i="2"/>
  <c r="L41" i="2"/>
  <c r="L42" i="2"/>
  <c r="L43" i="2"/>
  <c r="L44" i="2"/>
  <c r="L45" i="2"/>
  <c r="L46" i="2"/>
  <c r="L47" i="2"/>
  <c r="K47" i="2"/>
  <c r="L48" i="2"/>
  <c r="L49" i="2"/>
  <c r="L52" i="2"/>
  <c r="K53" i="2" l="1"/>
  <c r="J53" i="2"/>
  <c r="L38" i="2"/>
  <c r="L22" i="2"/>
  <c r="K22" i="2"/>
  <c r="J22" i="2"/>
  <c r="J28" i="3"/>
  <c r="K43" i="3"/>
  <c r="K15" i="3"/>
  <c r="J15" i="3"/>
  <c r="I119" i="4"/>
  <c r="J119" i="4" s="1"/>
  <c r="K119" i="4" s="1"/>
  <c r="L119" i="4" s="1"/>
  <c r="M119" i="4" s="1"/>
  <c r="I96" i="2"/>
  <c r="K13" i="3"/>
  <c r="H13" i="3"/>
  <c r="K47" i="3"/>
  <c r="K31" i="3"/>
  <c r="K18" i="3"/>
  <c r="K19" i="3"/>
  <c r="L16" i="3"/>
  <c r="K16" i="3"/>
  <c r="L11" i="3"/>
  <c r="L93" i="2"/>
  <c r="L8" i="3"/>
  <c r="L7" i="3"/>
  <c r="H19" i="5"/>
  <c r="J19" i="5" s="1"/>
  <c r="K19" i="5" s="1"/>
  <c r="H18" i="5"/>
  <c r="I9" i="8"/>
  <c r="H8" i="8"/>
  <c r="I8" i="8" s="1"/>
  <c r="I54" i="4"/>
  <c r="I55" i="4"/>
  <c r="J55" i="4" s="1"/>
  <c r="K55" i="4" s="1"/>
  <c r="J56" i="4"/>
  <c r="K56" i="4" s="1"/>
  <c r="L56" i="4" s="1"/>
  <c r="M56" i="4" s="1"/>
  <c r="J58" i="4"/>
  <c r="K58" i="4" s="1"/>
  <c r="L58" i="4" s="1"/>
  <c r="M58" i="4" s="1"/>
  <c r="J57" i="4"/>
  <c r="K57" i="4" s="1"/>
  <c r="L55" i="4" l="1"/>
  <c r="M55" i="4" s="1"/>
  <c r="J54" i="4"/>
  <c r="K54" i="4" s="1"/>
  <c r="L54" i="4" s="1"/>
  <c r="M54" i="4" s="1"/>
  <c r="L57" i="4"/>
  <c r="M57" i="4" s="1"/>
  <c r="J18" i="5"/>
  <c r="K18" i="5" s="1"/>
  <c r="J9" i="5"/>
  <c r="K9" i="5"/>
  <c r="J42" i="2"/>
  <c r="K42" i="2" s="1"/>
  <c r="I42" i="2"/>
  <c r="I77" i="2"/>
  <c r="J37" i="2"/>
  <c r="K37" i="2" s="1"/>
  <c r="L37" i="2" s="1"/>
  <c r="L81" i="2"/>
  <c r="J73" i="2"/>
  <c r="K73" i="2" s="1"/>
  <c r="L73" i="2" s="1"/>
  <c r="J72" i="2"/>
  <c r="K72" i="2" s="1"/>
  <c r="L72" i="2" s="1"/>
  <c r="J67" i="2"/>
  <c r="K67" i="2" s="1"/>
  <c r="L53" i="2"/>
  <c r="J51" i="2"/>
  <c r="K51" i="2" s="1"/>
  <c r="L51" i="2" s="1"/>
  <c r="J44" i="2"/>
  <c r="K44" i="2" s="1"/>
  <c r="J34" i="2"/>
  <c r="J33" i="2"/>
  <c r="K33" i="2" s="1"/>
  <c r="K34" i="2" l="1"/>
  <c r="L34" i="2" s="1"/>
  <c r="L33" i="2"/>
  <c r="I71" i="2"/>
  <c r="J71" i="2" s="1"/>
  <c r="K71" i="2" s="1"/>
  <c r="L71" i="2" s="1"/>
  <c r="I64" i="2"/>
  <c r="J64" i="2" s="1"/>
  <c r="K64" i="2" s="1"/>
  <c r="J27" i="2"/>
  <c r="K27" i="2" s="1"/>
  <c r="L27" i="2" s="1"/>
  <c r="K27" i="4"/>
  <c r="L27" i="4" s="1"/>
  <c r="M27" i="4" s="1"/>
  <c r="K28" i="4"/>
  <c r="L28" i="4" s="1"/>
  <c r="M28" i="4" s="1"/>
  <c r="K63" i="4"/>
  <c r="L63" i="4" s="1"/>
  <c r="M63" i="4" s="1"/>
  <c r="K91" i="4"/>
  <c r="L91" i="4" s="1"/>
  <c r="M91" i="4" s="1"/>
  <c r="K26" i="4"/>
  <c r="L26" i="4" s="1"/>
  <c r="M26" i="4" s="1"/>
  <c r="K92" i="4"/>
  <c r="L92" i="4" s="1"/>
  <c r="M92" i="4" s="1"/>
  <c r="K62" i="4"/>
  <c r="L62" i="4" s="1"/>
  <c r="M62" i="4" s="1"/>
  <c r="K61" i="4"/>
  <c r="L61" i="4" s="1"/>
  <c r="M61" i="4" s="1"/>
  <c r="H12" i="3"/>
  <c r="J76" i="3"/>
  <c r="K76" i="3" s="1"/>
  <c r="L76" i="3" s="1"/>
  <c r="J88" i="4" l="1"/>
  <c r="J74" i="4"/>
  <c r="K74" i="4" s="1"/>
  <c r="L74" i="4" s="1"/>
  <c r="M74" i="4" s="1"/>
  <c r="H8" i="5"/>
  <c r="J8" i="5" s="1"/>
  <c r="K8" i="5" s="1"/>
  <c r="H20" i="5"/>
  <c r="J20" i="5" s="1"/>
  <c r="J17" i="5"/>
  <c r="K17" i="5" s="1"/>
  <c r="J16" i="5"/>
  <c r="K16" i="5" s="1"/>
  <c r="J15" i="5"/>
  <c r="K15" i="5" s="1"/>
  <c r="J14" i="5"/>
  <c r="K14" i="5" s="1"/>
  <c r="J13" i="5"/>
  <c r="K13" i="5" s="1"/>
  <c r="J12" i="5"/>
  <c r="K12" i="5" s="1"/>
  <c r="J11" i="5"/>
  <c r="K11" i="5" s="1"/>
  <c r="J10" i="5"/>
  <c r="K10" i="5" s="1"/>
  <c r="J7" i="5"/>
  <c r="K7" i="5" s="1"/>
  <c r="K21" i="5" s="1"/>
  <c r="B5" i="6" l="1"/>
  <c r="K88" i="4"/>
  <c r="L88" i="4" s="1"/>
  <c r="M88" i="4" s="1"/>
  <c r="J9" i="4"/>
  <c r="K9" i="4" s="1"/>
  <c r="J10" i="4"/>
  <c r="J11" i="4"/>
  <c r="J12" i="4"/>
  <c r="J13" i="4"/>
  <c r="J14" i="4"/>
  <c r="J15" i="4"/>
  <c r="J29" i="4"/>
  <c r="K29" i="4" s="1"/>
  <c r="L29" i="4" s="1"/>
  <c r="M29" i="4" s="1"/>
  <c r="J30" i="4"/>
  <c r="K30" i="4" s="1"/>
  <c r="L30" i="4" s="1"/>
  <c r="M30" i="4" s="1"/>
  <c r="J31" i="4"/>
  <c r="K31" i="4" s="1"/>
  <c r="L31" i="4" s="1"/>
  <c r="M31" i="4" s="1"/>
  <c r="J32" i="4"/>
  <c r="K32" i="4" s="1"/>
  <c r="L32" i="4" s="1"/>
  <c r="M32" i="4" s="1"/>
  <c r="J33" i="4"/>
  <c r="K33" i="4" s="1"/>
  <c r="L33" i="4" s="1"/>
  <c r="M33" i="4" s="1"/>
  <c r="J34" i="4"/>
  <c r="K34" i="4" s="1"/>
  <c r="L34" i="4" s="1"/>
  <c r="M34" i="4" s="1"/>
  <c r="J35" i="4"/>
  <c r="K35" i="4" s="1"/>
  <c r="L35" i="4" s="1"/>
  <c r="M35" i="4" s="1"/>
  <c r="J36" i="4"/>
  <c r="K36" i="4" s="1"/>
  <c r="L36" i="4" s="1"/>
  <c r="M36" i="4" s="1"/>
  <c r="J37" i="4"/>
  <c r="K37" i="4" s="1"/>
  <c r="L37" i="4" s="1"/>
  <c r="M37" i="4" s="1"/>
  <c r="J38" i="4"/>
  <c r="K38" i="4" s="1"/>
  <c r="L38" i="4" s="1"/>
  <c r="M38" i="4" s="1"/>
  <c r="J39" i="4"/>
  <c r="K39" i="4" s="1"/>
  <c r="L39" i="4" s="1"/>
  <c r="M39" i="4" s="1"/>
  <c r="J40" i="4"/>
  <c r="K40" i="4" s="1"/>
  <c r="L40" i="4" s="1"/>
  <c r="M40" i="4" s="1"/>
  <c r="J41" i="4"/>
  <c r="K41" i="4" s="1"/>
  <c r="L41" i="4" s="1"/>
  <c r="M41" i="4" s="1"/>
  <c r="J42" i="4"/>
  <c r="K42" i="4" s="1"/>
  <c r="L42" i="4" s="1"/>
  <c r="M42" i="4" s="1"/>
  <c r="J43" i="4"/>
  <c r="K43" i="4" s="1"/>
  <c r="L43" i="4" s="1"/>
  <c r="M43" i="4" s="1"/>
  <c r="J44" i="4"/>
  <c r="K44" i="4" s="1"/>
  <c r="L44" i="4" s="1"/>
  <c r="M44" i="4" s="1"/>
  <c r="J45" i="4"/>
  <c r="K45" i="4" s="1"/>
  <c r="L45" i="4" s="1"/>
  <c r="M45" i="4" s="1"/>
  <c r="J46" i="4"/>
  <c r="K46" i="4" s="1"/>
  <c r="L46" i="4" s="1"/>
  <c r="M46" i="4" s="1"/>
  <c r="J47" i="4"/>
  <c r="K47" i="4" s="1"/>
  <c r="L47" i="4" s="1"/>
  <c r="M47" i="4" s="1"/>
  <c r="J48" i="4"/>
  <c r="K48" i="4" s="1"/>
  <c r="L48" i="4" s="1"/>
  <c r="M48" i="4" s="1"/>
  <c r="J49" i="4"/>
  <c r="K49" i="4" s="1"/>
  <c r="L49" i="4" s="1"/>
  <c r="M49" i="4" s="1"/>
  <c r="J50" i="4"/>
  <c r="K50" i="4" s="1"/>
  <c r="L50" i="4" s="1"/>
  <c r="M50" i="4" s="1"/>
  <c r="J51" i="4"/>
  <c r="K51" i="4" s="1"/>
  <c r="L51" i="4" s="1"/>
  <c r="M51" i="4" s="1"/>
  <c r="J52" i="4"/>
  <c r="K52" i="4" s="1"/>
  <c r="L52" i="4" s="1"/>
  <c r="M52" i="4" s="1"/>
  <c r="J53" i="4"/>
  <c r="K53" i="4" s="1"/>
  <c r="L53" i="4" s="1"/>
  <c r="M53" i="4" s="1"/>
  <c r="J64" i="4"/>
  <c r="K64" i="4" s="1"/>
  <c r="L64" i="4" s="1"/>
  <c r="M64" i="4" s="1"/>
  <c r="J65" i="4"/>
  <c r="K65" i="4" s="1"/>
  <c r="L65" i="4" s="1"/>
  <c r="M65" i="4" s="1"/>
  <c r="J66" i="4"/>
  <c r="K66" i="4" s="1"/>
  <c r="L66" i="4" s="1"/>
  <c r="M66" i="4" s="1"/>
  <c r="J67" i="4"/>
  <c r="K67" i="4" s="1"/>
  <c r="L67" i="4" s="1"/>
  <c r="M67" i="4" s="1"/>
  <c r="J68" i="4"/>
  <c r="K68" i="4" s="1"/>
  <c r="L68" i="4" s="1"/>
  <c r="M68" i="4" s="1"/>
  <c r="J69" i="4"/>
  <c r="K69" i="4" s="1"/>
  <c r="L69" i="4" s="1"/>
  <c r="M69" i="4" s="1"/>
  <c r="J70" i="4"/>
  <c r="K70" i="4" s="1"/>
  <c r="L70" i="4" s="1"/>
  <c r="M70" i="4" s="1"/>
  <c r="J71" i="4"/>
  <c r="K71" i="4" s="1"/>
  <c r="L71" i="4" s="1"/>
  <c r="M71" i="4" s="1"/>
  <c r="J72" i="4"/>
  <c r="K72" i="4" s="1"/>
  <c r="L72" i="4" s="1"/>
  <c r="M72" i="4" s="1"/>
  <c r="J73" i="4"/>
  <c r="K73" i="4" s="1"/>
  <c r="L73" i="4" s="1"/>
  <c r="M73" i="4" s="1"/>
  <c r="J75" i="4"/>
  <c r="K75" i="4" s="1"/>
  <c r="L75" i="4" s="1"/>
  <c r="M75" i="4" s="1"/>
  <c r="J76" i="4"/>
  <c r="K76" i="4" s="1"/>
  <c r="L76" i="4" s="1"/>
  <c r="M76" i="4" s="1"/>
  <c r="J77" i="4"/>
  <c r="K77" i="4" s="1"/>
  <c r="L77" i="4" s="1"/>
  <c r="M77" i="4" s="1"/>
  <c r="J78" i="4"/>
  <c r="K78" i="4" s="1"/>
  <c r="L78" i="4" s="1"/>
  <c r="M78" i="4" s="1"/>
  <c r="J79" i="4"/>
  <c r="K79" i="4" s="1"/>
  <c r="L79" i="4" s="1"/>
  <c r="M79" i="4" s="1"/>
  <c r="J80" i="4"/>
  <c r="K80" i="4" s="1"/>
  <c r="L80" i="4" s="1"/>
  <c r="M80" i="4" s="1"/>
  <c r="J81" i="4"/>
  <c r="K81" i="4" s="1"/>
  <c r="L81" i="4" s="1"/>
  <c r="M81" i="4" s="1"/>
  <c r="J82" i="4"/>
  <c r="K82" i="4" s="1"/>
  <c r="L82" i="4" s="1"/>
  <c r="M82" i="4" s="1"/>
  <c r="J83" i="4"/>
  <c r="K83" i="4" s="1"/>
  <c r="L83" i="4" s="1"/>
  <c r="M83" i="4" s="1"/>
  <c r="J84" i="4"/>
  <c r="K84" i="4" s="1"/>
  <c r="L84" i="4" s="1"/>
  <c r="M84" i="4" s="1"/>
  <c r="J85" i="4"/>
  <c r="K85" i="4" s="1"/>
  <c r="L85" i="4" s="1"/>
  <c r="M85" i="4" s="1"/>
  <c r="J86" i="4"/>
  <c r="K86" i="4" s="1"/>
  <c r="L86" i="4" s="1"/>
  <c r="M86" i="4" s="1"/>
  <c r="J87" i="4"/>
  <c r="K87" i="4" s="1"/>
  <c r="L87" i="4" s="1"/>
  <c r="M87" i="4" s="1"/>
  <c r="J93" i="4"/>
  <c r="K93" i="4" s="1"/>
  <c r="L93" i="4" s="1"/>
  <c r="M93" i="4" s="1"/>
  <c r="J94" i="4"/>
  <c r="K94" i="4" s="1"/>
  <c r="L94" i="4" s="1"/>
  <c r="M94" i="4" s="1"/>
  <c r="J95" i="4"/>
  <c r="K95" i="4" s="1"/>
  <c r="L95" i="4" s="1"/>
  <c r="M95" i="4" s="1"/>
  <c r="J96" i="4"/>
  <c r="K96" i="4" s="1"/>
  <c r="L96" i="4" s="1"/>
  <c r="M96" i="4" s="1"/>
  <c r="J97" i="4"/>
  <c r="K97" i="4" s="1"/>
  <c r="L97" i="4" s="1"/>
  <c r="M97" i="4" s="1"/>
  <c r="J98" i="4"/>
  <c r="K98" i="4" s="1"/>
  <c r="L98" i="4" s="1"/>
  <c r="M98" i="4" s="1"/>
  <c r="J99" i="4"/>
  <c r="K99" i="4" s="1"/>
  <c r="L99" i="4" s="1"/>
  <c r="M99" i="4" s="1"/>
  <c r="J100" i="4"/>
  <c r="K100" i="4" s="1"/>
  <c r="L100" i="4" s="1"/>
  <c r="M100" i="4" s="1"/>
  <c r="J101" i="4"/>
  <c r="K101" i="4" s="1"/>
  <c r="L101" i="4" s="1"/>
  <c r="M101" i="4" s="1"/>
  <c r="J102" i="4"/>
  <c r="K102" i="4" s="1"/>
  <c r="L102" i="4" s="1"/>
  <c r="M102" i="4" s="1"/>
  <c r="J103" i="4"/>
  <c r="K103" i="4" s="1"/>
  <c r="L103" i="4" s="1"/>
  <c r="M103" i="4" s="1"/>
  <c r="J104" i="4"/>
  <c r="K104" i="4" s="1"/>
  <c r="L104" i="4" s="1"/>
  <c r="M104" i="4" s="1"/>
  <c r="J105" i="4"/>
  <c r="K105" i="4" s="1"/>
  <c r="L105" i="4" s="1"/>
  <c r="M105" i="4" s="1"/>
  <c r="J106" i="4"/>
  <c r="K106" i="4" s="1"/>
  <c r="L106" i="4" s="1"/>
  <c r="M106" i="4" s="1"/>
  <c r="J107" i="4"/>
  <c r="K107" i="4" s="1"/>
  <c r="L107" i="4" s="1"/>
  <c r="M107" i="4" s="1"/>
  <c r="J108" i="4"/>
  <c r="K108" i="4" s="1"/>
  <c r="L108" i="4" s="1"/>
  <c r="M108" i="4" s="1"/>
  <c r="J109" i="4"/>
  <c r="K109" i="4" s="1"/>
  <c r="L109" i="4" s="1"/>
  <c r="M109" i="4" s="1"/>
  <c r="J110" i="4"/>
  <c r="K110" i="4" s="1"/>
  <c r="L110" i="4" s="1"/>
  <c r="M110" i="4"/>
  <c r="L111" i="4"/>
  <c r="J112" i="4"/>
  <c r="K112" i="4" s="1"/>
  <c r="L112" i="4" s="1"/>
  <c r="M112" i="4" s="1"/>
  <c r="J113" i="4"/>
  <c r="K113" i="4" s="1"/>
  <c r="L113" i="4" s="1"/>
  <c r="M113" i="4" s="1"/>
  <c r="J114" i="4"/>
  <c r="K114" i="4" s="1"/>
  <c r="L114" i="4" s="1"/>
  <c r="M114" i="4" s="1"/>
  <c r="J115" i="4"/>
  <c r="K115" i="4" s="1"/>
  <c r="L115" i="4" s="1"/>
  <c r="M115" i="4" s="1"/>
  <c r="J116" i="4"/>
  <c r="K116" i="4" s="1"/>
  <c r="L116" i="4" s="1"/>
  <c r="M116" i="4" s="1"/>
  <c r="J117" i="4"/>
  <c r="K117" i="4" s="1"/>
  <c r="L117" i="4" s="1"/>
  <c r="M117" i="4" s="1"/>
  <c r="J118" i="4"/>
  <c r="K118" i="4" s="1"/>
  <c r="L118" i="4" s="1"/>
  <c r="M118" i="4" s="1"/>
  <c r="L9" i="3"/>
  <c r="L10" i="3"/>
  <c r="K12" i="3"/>
  <c r="L12" i="3" s="1"/>
  <c r="L13" i="3"/>
  <c r="H14" i="3"/>
  <c r="K14" i="3"/>
  <c r="L14" i="3"/>
  <c r="L15" i="3"/>
  <c r="L17" i="3"/>
  <c r="H18" i="3"/>
  <c r="L18" i="3"/>
  <c r="L19" i="3"/>
  <c r="H20" i="3"/>
  <c r="K20" i="3"/>
  <c r="L20" i="3" s="1"/>
  <c r="H21" i="3"/>
  <c r="K21" i="3"/>
  <c r="L21" i="3" s="1"/>
  <c r="H22" i="3"/>
  <c r="K22" i="3"/>
  <c r="L22" i="3"/>
  <c r="H23" i="3"/>
  <c r="K23" i="3"/>
  <c r="L23" i="3" s="1"/>
  <c r="H24" i="3"/>
  <c r="K24" i="3"/>
  <c r="L24" i="3"/>
  <c r="H25" i="3"/>
  <c r="K25" i="3"/>
  <c r="L25" i="3" s="1"/>
  <c r="H26" i="3"/>
  <c r="K26" i="3"/>
  <c r="L26" i="3" s="1"/>
  <c r="H27" i="3"/>
  <c r="K27" i="3"/>
  <c r="L27" i="3" s="1"/>
  <c r="L28" i="3"/>
  <c r="H29" i="3"/>
  <c r="K29" i="3"/>
  <c r="L29" i="3"/>
  <c r="H30" i="3"/>
  <c r="K30" i="3"/>
  <c r="L30" i="3" s="1"/>
  <c r="H31" i="3"/>
  <c r="L31" i="3"/>
  <c r="H32" i="3"/>
  <c r="K32" i="3"/>
  <c r="L32" i="3"/>
  <c r="H33" i="3"/>
  <c r="K33" i="3"/>
  <c r="L33" i="3" s="1"/>
  <c r="H34" i="3"/>
  <c r="K34" i="3"/>
  <c r="L34" i="3" s="1"/>
  <c r="H35" i="3"/>
  <c r="K35" i="3"/>
  <c r="L35" i="3" s="1"/>
  <c r="H36" i="3"/>
  <c r="K36" i="3"/>
  <c r="L36" i="3" s="1"/>
  <c r="H37" i="3"/>
  <c r="K37" i="3"/>
  <c r="L37" i="3" s="1"/>
  <c r="H38" i="3"/>
  <c r="K38" i="3"/>
  <c r="L38" i="3" s="1"/>
  <c r="H39" i="3"/>
  <c r="K39" i="3"/>
  <c r="L39" i="3" s="1"/>
  <c r="H40" i="3"/>
  <c r="K40" i="3"/>
  <c r="L40" i="3" s="1"/>
  <c r="H41" i="3"/>
  <c r="K41" i="3"/>
  <c r="L41" i="3"/>
  <c r="H42" i="3"/>
  <c r="K42" i="3"/>
  <c r="L42" i="3" s="1"/>
  <c r="L43" i="3"/>
  <c r="H44" i="3"/>
  <c r="L44" i="3"/>
  <c r="H45" i="3"/>
  <c r="K45" i="3"/>
  <c r="L45" i="3" s="1"/>
  <c r="H46" i="3"/>
  <c r="K46" i="3"/>
  <c r="L46" i="3"/>
  <c r="H47" i="3"/>
  <c r="L47" i="3"/>
  <c r="H48" i="3"/>
  <c r="K48" i="3"/>
  <c r="L48" i="3" s="1"/>
  <c r="H49" i="3"/>
  <c r="K49" i="3"/>
  <c r="L49" i="3"/>
  <c r="H50" i="3"/>
  <c r="K50" i="3"/>
  <c r="L50" i="3" s="1"/>
  <c r="H51" i="3"/>
  <c r="K51" i="3"/>
  <c r="L51" i="3" s="1"/>
  <c r="H52" i="3"/>
  <c r="K52" i="3"/>
  <c r="L52" i="3"/>
  <c r="H53" i="3"/>
  <c r="K53" i="3"/>
  <c r="L53" i="3" s="1"/>
  <c r="H54" i="3"/>
  <c r="K54" i="3"/>
  <c r="L54" i="3" s="1"/>
  <c r="H55" i="3"/>
  <c r="K55" i="3"/>
  <c r="L55" i="3"/>
  <c r="H56" i="3"/>
  <c r="K56" i="3"/>
  <c r="L56" i="3" s="1"/>
  <c r="H57" i="3"/>
  <c r="K57" i="3"/>
  <c r="L57" i="3"/>
  <c r="H58" i="3"/>
  <c r="K58" i="3"/>
  <c r="L58" i="3"/>
  <c r="H59" i="3"/>
  <c r="K59" i="3"/>
  <c r="L59" i="3" s="1"/>
  <c r="H60" i="3"/>
  <c r="K60" i="3"/>
  <c r="L60" i="3"/>
  <c r="H61" i="3"/>
  <c r="K61" i="3"/>
  <c r="L61" i="3"/>
  <c r="H62" i="3"/>
  <c r="K62" i="3"/>
  <c r="L62" i="3" s="1"/>
  <c r="H63" i="3"/>
  <c r="K63" i="3"/>
  <c r="L63" i="3"/>
  <c r="H64" i="3"/>
  <c r="K64" i="3"/>
  <c r="L64" i="3"/>
  <c r="H65" i="3"/>
  <c r="K65" i="3"/>
  <c r="L65" i="3" s="1"/>
  <c r="H66" i="3"/>
  <c r="K66" i="3"/>
  <c r="L66" i="3"/>
  <c r="H67" i="3"/>
  <c r="K67" i="3"/>
  <c r="L67" i="3" s="1"/>
  <c r="H68" i="3"/>
  <c r="K68" i="3"/>
  <c r="L68" i="3" s="1"/>
  <c r="H69" i="3"/>
  <c r="K69" i="3"/>
  <c r="L69" i="3"/>
  <c r="H70" i="3"/>
  <c r="K70" i="3"/>
  <c r="L70" i="3" s="1"/>
  <c r="H71" i="3"/>
  <c r="K71" i="3"/>
  <c r="L71" i="3" s="1"/>
  <c r="H72" i="3"/>
  <c r="K72" i="3"/>
  <c r="L72" i="3"/>
  <c r="H73" i="3"/>
  <c r="K73" i="3"/>
  <c r="L73" i="3" s="1"/>
  <c r="H74" i="3"/>
  <c r="K74" i="3"/>
  <c r="L74" i="3" s="1"/>
  <c r="H75" i="3"/>
  <c r="K75" i="3"/>
  <c r="L75" i="3" s="1"/>
  <c r="I8" i="2"/>
  <c r="J8" i="2" s="1"/>
  <c r="I9" i="2"/>
  <c r="J9" i="2" s="1"/>
  <c r="I10" i="2"/>
  <c r="J10" i="2" s="1"/>
  <c r="I12" i="2"/>
  <c r="J12" i="2" s="1"/>
  <c r="I14" i="2"/>
  <c r="J14" i="2" s="1"/>
  <c r="I15" i="2"/>
  <c r="J15" i="2" s="1"/>
  <c r="K15" i="2" s="1"/>
  <c r="I16" i="2"/>
  <c r="J16" i="2" s="1"/>
  <c r="K16" i="2" s="1"/>
  <c r="I17" i="2"/>
  <c r="J17" i="2" s="1"/>
  <c r="K17" i="2" s="1"/>
  <c r="I18" i="2"/>
  <c r="J18" i="2" s="1"/>
  <c r="K18" i="2" s="1"/>
  <c r="I19" i="2"/>
  <c r="J19" i="2" s="1"/>
  <c r="J20" i="2"/>
  <c r="K20" i="2" s="1"/>
  <c r="I23" i="2"/>
  <c r="K23" i="2" s="1"/>
  <c r="L23" i="2" s="1"/>
  <c r="I24" i="2"/>
  <c r="J24" i="2" s="1"/>
  <c r="I25" i="2"/>
  <c r="J25" i="2" s="1"/>
  <c r="I28" i="2"/>
  <c r="J28" i="2" s="1"/>
  <c r="K28" i="2" s="1"/>
  <c r="L28" i="2" s="1"/>
  <c r="I29" i="2"/>
  <c r="J29" i="2" s="1"/>
  <c r="K29" i="2" s="1"/>
  <c r="L29" i="2" s="1"/>
  <c r="I30" i="2"/>
  <c r="J30" i="2" s="1"/>
  <c r="K30" i="2" s="1"/>
  <c r="L30" i="2" s="1"/>
  <c r="I31" i="2"/>
  <c r="J31" i="2" s="1"/>
  <c r="K31" i="2" s="1"/>
  <c r="I32" i="2"/>
  <c r="J32" i="2" s="1"/>
  <c r="K32" i="2" s="1"/>
  <c r="I35" i="2"/>
  <c r="J35" i="2" s="1"/>
  <c r="K35" i="2" s="1"/>
  <c r="L35" i="2" s="1"/>
  <c r="J36" i="2"/>
  <c r="I40" i="2"/>
  <c r="K40" i="2"/>
  <c r="L40" i="2" s="1"/>
  <c r="I41" i="2"/>
  <c r="J41" i="2" s="1"/>
  <c r="I43" i="2"/>
  <c r="I45" i="2"/>
  <c r="J45" i="2" s="1"/>
  <c r="I46" i="2"/>
  <c r="J46" i="2" s="1"/>
  <c r="K46" i="2" s="1"/>
  <c r="I47" i="2"/>
  <c r="J47" i="2" s="1"/>
  <c r="I48" i="2"/>
  <c r="J48" i="2" s="1"/>
  <c r="I49" i="2"/>
  <c r="J49" i="2" s="1"/>
  <c r="K49" i="2" s="1"/>
  <c r="I52" i="2"/>
  <c r="J52" i="2" s="1"/>
  <c r="I55" i="2"/>
  <c r="K55" i="2"/>
  <c r="I57" i="2"/>
  <c r="I58" i="2"/>
  <c r="J58" i="2" s="1"/>
  <c r="K58" i="2" s="1"/>
  <c r="I59" i="2"/>
  <c r="J59" i="2" s="1"/>
  <c r="K59" i="2" s="1"/>
  <c r="I60" i="2"/>
  <c r="J60" i="2" s="1"/>
  <c r="I61" i="2"/>
  <c r="J61" i="2" s="1"/>
  <c r="K61" i="2" s="1"/>
  <c r="I62" i="2"/>
  <c r="J62" i="2" s="1"/>
  <c r="I63" i="2"/>
  <c r="J63" i="2" s="1"/>
  <c r="I65" i="2"/>
  <c r="J65" i="2" s="1"/>
  <c r="I68" i="2"/>
  <c r="I69" i="2"/>
  <c r="J69" i="2" s="1"/>
  <c r="K69" i="2" s="1"/>
  <c r="I70" i="2"/>
  <c r="J70" i="2" s="1"/>
  <c r="K70" i="2" s="1"/>
  <c r="I74" i="2"/>
  <c r="J74" i="2" s="1"/>
  <c r="K74" i="2" s="1"/>
  <c r="L74" i="2" s="1"/>
  <c r="J75" i="2"/>
  <c r="K75" i="2" s="1"/>
  <c r="L75" i="2" s="1"/>
  <c r="I76" i="2"/>
  <c r="K76" i="2"/>
  <c r="J77" i="2"/>
  <c r="K77" i="2" s="1"/>
  <c r="L77" i="2" s="1"/>
  <c r="I78" i="2"/>
  <c r="J78" i="2" s="1"/>
  <c r="K78" i="2" s="1"/>
  <c r="L78" i="2" s="1"/>
  <c r="I79" i="2"/>
  <c r="J79" i="2" s="1"/>
  <c r="K79" i="2" s="1"/>
  <c r="L79" i="2" s="1"/>
  <c r="I80" i="2"/>
  <c r="J80" i="2" s="1"/>
  <c r="K80" i="2" s="1"/>
  <c r="L80" i="2" s="1"/>
  <c r="I83" i="2"/>
  <c r="K83" i="2"/>
  <c r="L83" i="2" s="1"/>
  <c r="I84" i="2"/>
  <c r="J84" i="2" s="1"/>
  <c r="I85" i="2"/>
  <c r="J85" i="2" s="1"/>
  <c r="K85" i="2" s="1"/>
  <c r="J86" i="2"/>
  <c r="K86" i="2" s="1"/>
  <c r="I87" i="2"/>
  <c r="J87" i="2" s="1"/>
  <c r="K87" i="2" s="1"/>
  <c r="I88" i="2"/>
  <c r="J88" i="2" s="1"/>
  <c r="K88" i="2" s="1"/>
  <c r="L88" i="2" s="1"/>
  <c r="I89" i="2"/>
  <c r="J89" i="2" s="1"/>
  <c r="K89" i="2" s="1"/>
  <c r="I90" i="2"/>
  <c r="J90" i="2" s="1"/>
  <c r="K90" i="2" s="1"/>
  <c r="J91" i="2"/>
  <c r="K91" i="2" s="1"/>
  <c r="J96" i="2"/>
  <c r="K96" i="2" s="1"/>
  <c r="J59" i="4" l="1"/>
  <c r="J120" i="4"/>
  <c r="J89" i="4"/>
  <c r="K36" i="2"/>
  <c r="L36" i="2" s="1"/>
  <c r="J43" i="2"/>
  <c r="K43" i="2" s="1"/>
  <c r="J68" i="2"/>
  <c r="K68" i="2" s="1"/>
  <c r="I97" i="2" s="1"/>
  <c r="K84" i="2"/>
  <c r="K60" i="2"/>
  <c r="K62" i="2"/>
  <c r="K52" i="2"/>
  <c r="K25" i="2"/>
  <c r="L25" i="2" s="1"/>
  <c r="K63" i="2"/>
  <c r="J57" i="2"/>
  <c r="K57" i="2" s="1"/>
  <c r="K24" i="2"/>
  <c r="L24" i="2" s="1"/>
  <c r="J77" i="3"/>
  <c r="B2" i="6" s="1"/>
  <c r="K10" i="2"/>
  <c r="L10" i="2" s="1"/>
  <c r="K65" i="2"/>
  <c r="K48" i="2"/>
  <c r="K45" i="2"/>
  <c r="K41" i="2"/>
  <c r="K14" i="2"/>
  <c r="K9" i="2"/>
  <c r="L9" i="2" s="1"/>
  <c r="K19" i="2"/>
  <c r="K12" i="2"/>
  <c r="K8" i="2"/>
  <c r="L8" i="2" s="1"/>
  <c r="J121" i="4" l="1"/>
  <c r="B4" i="6" s="1" a="1"/>
  <c r="B4" i="6" s="1"/>
  <c r="B3" i="6"/>
  <c r="B6" i="6" l="1"/>
  <c r="B10" i="6"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<sst xmlns="http://schemas.openxmlformats.org/spreadsheetml/2006/main" count="1515" uniqueCount="624">
  <si>
    <t>TOTAL VALORES UNITARIOS</t>
  </si>
  <si>
    <t>bolsa navidad</t>
  </si>
  <si>
    <t>Elementos</t>
  </si>
  <si>
    <t>Resolución secretaría de gobierno 1124 de 2024</t>
  </si>
  <si>
    <t>Personal</t>
  </si>
  <si>
    <t xml:space="preserve">fondo desarrollo local </t>
  </si>
  <si>
    <t>48101500-60105802-50192301-54101600</t>
  </si>
  <si>
    <t xml:space="preserve">2 dias </t>
  </si>
  <si>
    <t xml:space="preserve"> Almuerzo para cada participante, Entrada, plato fuerte: 1 porción de carbohidrato, 1 porción de ensalada o verdura, proteína de 250gr, postre y bebida este debe ir empacado y entregado en el lugar del evento. </t>
  </si>
  <si>
    <t xml:space="preserve">31805 documento maria del pilar </t>
  </si>
  <si>
    <t xml:space="preserve">PIEZAS DIGITALES EVENTOS 
Invitación a la presentación pública (1)
Inscripción a la sensibilización y/o socialización. (1)
Evento de cierre                                                              
Imagenes aprobadas por la oficina de Prensa de la Alcaldía Local.  
(Deben contener los logos de la Alcaldía y el sello de presupuestos participativos) </t>
  </si>
  <si>
    <t>TRANSPORTE DE PASAJEROS 
Alquiler de buses, servicio por día, con capacidad de MAX 30 personas sentadas, para recorrido hacia los lugares expuestos en el anexo.
Características técnicas:
• Climatizados, con vidrios panorámicos, excelentes condiciones técnico-mecánicas, de aseo y estética, salida de emergencia, equipo de sonido, botiquín de primeros auxilios, conductor experimentado y calificado que conduzca a la velocidad permitida y con el equipo completo de carretera. (punto salida – punto de llegada) Recorrido ida y vuelta modelo 2020 en adelante. 
•El conductor debe contar con licencia vigente y soat, los vehiculos deben contar con revisón tecno mecanica
•El contratista deberá construir póliza de seguros de responsabilidad civil contractual y extra-contractual que lo ampara contra los riesgos inherentes a la actividad transportadora, en los términos consagrados en el artículo 17 del decreto 174 del 2001 y los demás exigidos para el servicio público de transporte terrestre, automotor especial, así como el código nacional de tránsito.
•Hora de salida 12:00 p.m. hora de regreso 4:00  p.m.</t>
  </si>
  <si>
    <t>2 dias</t>
  </si>
  <si>
    <t>Vigilancia de una empresa reconocida por la Superintendencia de Vigilancia durante 24 horas durante 2 días</t>
  </si>
  <si>
    <t>Seguridad</t>
  </si>
  <si>
    <t>PIEZA, DISEÑO E IMPRESIÓN DE AFICHES PARA CONVOCATORIA 
                                                                                                                          Tamaño: ½” Pliego, Color: a 4 Tintas Papel: fabricado con materiales reciclados y/o 
residuos agroindustriales, Gramaje: 115 gr.  
Deben contener la siguiente información: Logos de la Alcaldía Local de Antonio Nariño, igualmente la fecha, hora, lugar e intensidad horaria de las actividades, todas las piezas publicitarias deben tener aprobación previa a su impresión. Papel ilustración de 120 grs.
QR de revista final.
(Debe contener los logos de la Alcaldía y el sello de presupuestos participativos)</t>
  </si>
  <si>
    <t>Bolsa doctor Jhonatan</t>
  </si>
  <si>
    <t>Agua sin gas envase no retornable de 600 Ml</t>
  </si>
  <si>
    <t>32849-28484-34273</t>
  </si>
  <si>
    <t>GORRA DEPORTIVA UNISEX
Colores Institucionales (Rojo-amarillo)
MATERIAL - 45% Poliuretano 38% Poliéster 10% Elastano 7% Nailon
TELA POLIÉSTER - 100% colombiana - Ligero y con secado rápido - adaptable al cuerpo y vuelve a su forma original con cada uso, - No se arruga ni se encoge - Su color permanece después de cada lavada.
Nota: Los articulos deben contener estampado la siguiente información: Logos de la Alcaldía Local de Antonio Nariño y sello de presupuestos participativos.
Nota: las tallas estaran sujetas  al tallaje de las personas inscritas y se tendra en cuenta si es para hombre o para mujer.</t>
  </si>
  <si>
    <t xml:space="preserve">IMPRESIÓN, DISEÑO Y SOPORTE DE PENDON ARAÑA Forma Rectangular, Materiales: Baner 13 onzas, Largo x Ancho 180 cm x 80 cm Nota:   El Diseño sera presentado al comité tecnico de seguimiento y control </t>
  </si>
  <si>
    <t xml:space="preserve">N/A </t>
  </si>
  <si>
    <t xml:space="preserve">Maestro de ceremonia, animador o presentador de la Localidad de Antonio Nariño, con minimo 1 año de experiencia. </t>
  </si>
  <si>
    <t xml:space="preserve">Maestro de ceremonia </t>
  </si>
  <si>
    <t>Alquiler de 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cajas necesarias, cables de conexión, extensiones de canon y extensiones eléctricas.</t>
  </si>
  <si>
    <t xml:space="preserve">Alquiler sistema de iluminación constituido por 6 luces par led y 6 luces neón RGB, con estructura para montaje de eventos. Precio 24 horas. Entrega en sitio e instalada. </t>
  </si>
  <si>
    <t xml:space="preserve">APOYO LOGÍSTICO
Bachilleres 
Un (1) año de experiencia en logística, manejo con comunidad y logística en actividades culturales </t>
  </si>
  <si>
    <t>Apoyo logistico</t>
  </si>
  <si>
    <t xml:space="preserve">SUGA (Permisos y seguridad plan de manejo feria con plan de contigencia, definicion y descripción del montaje del evento) </t>
  </si>
  <si>
    <t>Suministro de Escarapelas en en propalcote 240 gr, 14 cm x 7 cm. Con forro plástico y Tira 15 mm, con gancho metálico de presión con imagen y color institucional según Manual de Imagen.Diseño suministrado y elaborado por la Entidad.</t>
  </si>
  <si>
    <t>Alquiler de sillas plásticas sin brazos, (alquiler, incluye disposición en el sitio del evento y transportes)</t>
  </si>
  <si>
    <t xml:space="preserve">Libreta ecológica 1/2 carta, 100 hojas Kraft + pasta dura 4 tintas en portada 1 tinta en páginas internas, argollado continuo. Con logos institucionales </t>
  </si>
  <si>
    <t xml:space="preserve">Juego de la ciudad de fedora : Juego fabricado en MDF con impresión serigrafica en policromia a base de tintas UV no toxicas, compuesto por 1 caja de madera que funciona como almacenamiento, 6 tableros, 30 fichas triangulares, 30 fichas romboides, 120 tarjetas de preguntas, 8 tarjetas sorpresa, 6 fichas jugadores, 1 tablero de indicador de equidad e inslusion, 1 pin indicador, 6 fichas simbolo, 1 dado. </t>
  </si>
  <si>
    <t>Esferos Bolígrafo con partes plásticas y cuerpo de cartón. Clip metálico. Mecanismo push. Color tinta negra.</t>
  </si>
  <si>
    <t>8 dias</t>
  </si>
  <si>
    <t>Alquiler de computador portátil con especificaciones mínimas Puerto HDMI, conexión WIFI, Puerto RJ45, Puertos USB, Procesador de Alta Velocidad i5 ó i7,</t>
  </si>
  <si>
    <t xml:space="preserve">FDLAN-LP-003-2024  https://community.secop.gov.co/Public/Tendering/OpportunityDetail/Index?noticeUID=CO1.NTC.6324564&amp;isFromPublicArea=True&amp;isModal=False </t>
  </si>
  <si>
    <t>CERTIFICADO DE ASITENCIA AL TALLER: en tamaño carta de 21,6x28 cms en papel reciclado fondo blanco.
Deben contener la siguiente información: Logos de la Alcaldía Local de Antonio Nariño y Presupuestos participativos. Igualmente debe contener la informacion relevante del evento: Nombre, fecha de realizacion entre otros, asi como los datos de cada uno de los beneficiarios. Todas las piezas publicitarias deben tener aprobación previa a su impresión.
Nota: remitir la propuesta grafica a la oficina de prensa de la Alcaldía para su aprobación y divulgación</t>
  </si>
  <si>
    <t>Servicio de coffe break por ocho horas para 100 personas (suministro de al menos 200 líquidos) que incluya: greca o dispensador, café filtrado, aromática, té y agua potable, azúcar refinada, edulcorante de orígen natural, crema no láctea para café, vasos de 4 a 6 onzas, servilletas, mezcladores, mesa con mantel y personal uniformado según normas BPM.  Servicio en sitio.</t>
  </si>
  <si>
    <t xml:space="preserve">2 bocinas amplificadas (activas) de 10 a 12 pulgadas  con potencia minima 1000 watts RMS cada una. </t>
  </si>
  <si>
    <t xml:space="preserve">2 clases semanales de 5 horas cada clase durante 1 mes . </t>
  </si>
  <si>
    <t>Profesional universitario</t>
  </si>
  <si>
    <t>FONDO</t>
  </si>
  <si>
    <t>32 dias</t>
  </si>
  <si>
    <t>32 clases</t>
  </si>
  <si>
    <t xml:space="preserve">  8 clases mensuales, cada clase de 5 horas, por 4 meses, 32 clases en total. </t>
  </si>
  <si>
    <t>Profesional, técnico o tecnólogo</t>
  </si>
  <si>
    <t>TICS</t>
  </si>
  <si>
    <t xml:space="preserve">separar por insumo </t>
  </si>
  <si>
    <t>56101500-24112007</t>
  </si>
  <si>
    <t>el fonde de desarrollo local presta el espacio</t>
  </si>
  <si>
    <t>4 dias</t>
  </si>
  <si>
    <t xml:space="preserve">1 mes, 1 clase por semana, 4 clases, 5 horas. </t>
  </si>
  <si>
    <t xml:space="preserve"> fonde de desarrollo local </t>
  </si>
  <si>
    <t xml:space="preserve">Incentivos: Cada emprendimiento pasara una lista de materiales al operador para la creacion de uno o mas productos dirigido por el capacitador para la creacion del producto artesanal. </t>
  </si>
  <si>
    <t>TRANSPORTE DE PASAJEROS 
Alquiler de buses, servicio por día, con capacidad de MAX 30 personas sentadas, para recorrido hacia el museo del oro
Características técnicas:
• Climatizados, con vidrios panorámicos, excelentes condiciones técnico-mecánicas, de aseo y estética, salida de emergencia, equipo de sonido, botiquín de primeros auxilios, conductor experimentado y calificado que conduzca a la velocidad permitida y con el equipo completo de carretera. (punto salida – punto de llegada) Recorrido ida y vuelta modelo 2020 en adelante. 
•El conductor debe contar con licencia vigente y soat, los vehiculos deben contar con revisón tecno mecanica
•El contratista deberá construir póliza de seguros de responsabilidad civil contractual y extra-contractual que lo ampara contra los riesgos inherentes a la actividad transportadora, en los términos consagrados en el artículo 17 del decreto 174 del 2001 y los demás exigidos para el servicio público de transporte terrestre, automotor especial, así como el código nacional de tránsito.
•Hora de salida 12:00 p.m. hora de regreso 4:00  p.m.</t>
  </si>
  <si>
    <t xml:space="preserve">BOTILITO PLÁSTICO:  Botilito en Tritán con tapa de rosca y pitillo.CA Colores: Surtidos, Medidas: 22.5 cm X 6.3 cm de diámetro, Área de marca: 4.5 cm, Técnica de marca: Tampografía, ÁREA IMPRESIÓN APROXIMADA: 4.5 cm alto x 4.5 cm ancho Tampografia / Serigrafia 9 cms alto x 8 cms ancho.  Tampografía con Tratamiento / Serigrafia con Tratamiento. Debe tener impreso en el frente el Logo y eslogan de la alcaldía, sello de presupuestos participativos, previamente aprobado por la oficina de prensa.  </t>
  </si>
  <si>
    <t>https://www.banrepcultural.org/bogota/museo-del-oro</t>
  </si>
  <si>
    <t>Salida pedagogica al museo del oro de Bogota, esta salida incluira: Ingreso a los lugares descritos en el anexo. ( entradas)</t>
  </si>
  <si>
    <t xml:space="preserve">Esferos Bolígrafo con partes plásticas y cuerpo de cartón. Clip metálico. Mecanismo push. Color tinta negra </t>
  </si>
  <si>
    <t>el fondo de desarrollo local presta el espacio</t>
  </si>
  <si>
    <t xml:space="preserve">4 clases, 5 horas </t>
  </si>
  <si>
    <t xml:space="preserve">4 clases de 5 horas  de un profesional en ingeniería, ciencias sociales, ciencias humanas, ciencias administrativas,ciencias de las artes -
Dos (2) años de Experiencia Profesional certificada de conformidad con el articulo Artículo 2.2.2.3.8. del Decreto 1083 de 2015  
 en programas de 
-marketing digital
-ventas 
-Diseño Innovación , Componentes técnicos de la ejecución del producto artesanal
y/o Habilidades blandas. </t>
  </si>
  <si>
    <t>VALOR UNITARIO INCLUIDO IVA</t>
  </si>
  <si>
    <t>IVA</t>
  </si>
  <si>
    <t>VALOR UNITARIO SIN IVA</t>
  </si>
  <si>
    <t>VALOR TOTAL</t>
  </si>
  <si>
    <t>COTIZACIÓN</t>
  </si>
  <si>
    <t xml:space="preserve">CÓDIGO  UNSPSC </t>
  </si>
  <si>
    <t>UNIDAD DE MEDIDA</t>
  </si>
  <si>
    <t xml:space="preserve"> ELEMENTO Y DESCRIPCION</t>
  </si>
  <si>
    <t>CATEGORIA</t>
  </si>
  <si>
    <t>ITEM</t>
  </si>
  <si>
    <t>LISTA DE ITEMS PARA ADQUIRIR</t>
  </si>
  <si>
    <t>ESTUDIO DE MERCADO</t>
  </si>
  <si>
    <t>ALCALDÍA LOCAL ANTONIO NARIÑO</t>
  </si>
  <si>
    <t>SCRD-LP-02-2024 https://community.secop.gov.co/Public/TEndering/OpportunityDetail/Index?noticeUID=CO1.NTC.6178321&amp;isFromPublicArea=True&amp;isModal=true&amp;asPopupView=true</t>
  </si>
  <si>
    <t>Número</t>
  </si>
  <si>
    <t>Salón para dicatar clases de diferentes disciplinas deportivas.   Nota: El préstamo del espacio se puede tramitar con alguna de las entidades distritales; de no ser posible el operador debe garantizar el espacio para la actividad
Nota: En caso de ser un espacio gestionado con la alcaldía o alguna institución que no genere costo, dicho valor no deberá ser cobrado.
Nota: El ejecutor deberá tener en cuenta los requisitos establecidos en el Sistema Único de Gestión para el Registro, Evaluación y Autorización de Actividades de Aglomeración de Publico en el Distrito Capital – SUGA, para la realización de las actividades cuando aplique, en concordancia con el artículo 42 de la ley 1323 de  2012.</t>
  </si>
  <si>
    <t>ALQUILER DE SALÓN</t>
  </si>
  <si>
    <t>Alquiler</t>
  </si>
  <si>
    <t>Colchoneta de Yoga extra gruesa de lta densidad, anti-rasgaduras, con correa de transporte, 120 a 200 cm de largo x 60 a 100 cm de ancho con espesor de 3 a 5 cm</t>
  </si>
  <si>
    <t>TAPETE PARA GIMNASIA</t>
  </si>
  <si>
    <t>Dotación / Uniformes / Indumentaria</t>
  </si>
  <si>
    <t>FDLSC-SASI-004-2024 https://community.secop.gov.co/Public/TEndering/OpportunityDetail/Index?noticeUID=CO1.NTC.7195419&amp;isFromPublicArea=True&amp;isModal=true&amp;asPopupView=true</t>
  </si>
  <si>
    <t>Sillas de plástico, ergonómicas, apilable, con brazos, con tacones antideslizantes, fácil de limpiar, color blanco
Dimensiones de las sillas
87.6 x 57 x 60.2 cm asiento
Plastico polipropileno, profundidad 60.2 cm</t>
  </si>
  <si>
    <t>SILLAS PLASTICAS</t>
  </si>
  <si>
    <t>Equipos y materiales deportivos</t>
  </si>
  <si>
    <t>Mesa cuadrada ensamblable plástico Caribe Il Blanco 80 x 80 cm, por 72 cm de alto o más, peso 5.5 kg en polipropileno, color blanco.</t>
  </si>
  <si>
    <t>MESA PLASTICA</t>
  </si>
  <si>
    <t>FGN-RCE-MC-0009-2024 https://community.secop.gov.co/Public/TEndering/OpportunityDetail/Index?noticeUID=CO1.NTC.6415642&amp;isFromPublicArea=True&amp;isModal=true&amp;asPopupView=true</t>
  </si>
  <si>
    <t>La carpa de 4*4 metros con los cuatro laterales, en lona 100% impermeable del color por definir, estructura cerchada en tubería de  1” calibre 18 y parales en tubería cuadrada de 1 ½ calibre 16  recubierta en pintura electrostática con un año de garantía por defectos de fábrica.</t>
  </si>
  <si>
    <t>CARPA 4X4</t>
  </si>
  <si>
    <t xml:space="preserve">Tula Balonera (Almacenaje y transporte): 
Materiales: Poliéster, Altura x Ancho x Profundidad: 90 cm x 50 cm x 90 cm o más. Red abierta de malla y poliester, ojales de estructura metálica, con cierre de cordón para un cierre ajustable de amarrar, correa para transportarla,  con base en PVC, refuerzo con lona de alta resistencia en el cuerpo parte inferior y superior, incorporada la cargadera ajustable para hombro con protección de material acolchado, compartimiento amplio con capacidad para 12 balones.    </t>
  </si>
  <si>
    <t>TULA BALONERA</t>
  </si>
  <si>
    <t>Bomba inflador doble acción,: Material de construcción: PVC, resistente para uso doméstico,  liviana y fácil de transportar diversidad de usos, balones, juegos inflables pequeños, balones de pilates y bicicletas</t>
  </si>
  <si>
    <t>BOMBA INFLADOR DOBLE ACCION</t>
  </si>
  <si>
    <t>ula - ula de colores, manguera polietileno, 70 cm de diámetro</t>
  </si>
  <si>
    <t xml:space="preserve">AROS </t>
  </si>
  <si>
    <t>Otros</t>
  </si>
  <si>
    <t xml:space="preserve"> Parqués elaborado en madera MDF con impresión serigráfica en policromía a base de tintas UV no tóxicas, con temática de deportes. Compuesto por 18 piezas (Incluye fichas y dados). Diseñado para 4 jugadores. Instructivo descargable por código QR o físico.
Dimensiones de la pieza más pequeña: (1.5x2x1.5 cm)
Dimensiones Tablero: (50x50 cm)</t>
  </si>
  <si>
    <t>PARQUÉS DE MADERA GRANDE</t>
  </si>
  <si>
    <t xml:space="preserve"> FDRS-SASI-211-2024 https://community.secop.gov.co/Public/TEndering/OpportunityDetail/Index?noticeUID=CO1.NTC.6083431&amp;isFromPublicArea=True&amp;isModal=true&amp;asPopupView=true</t>
  </si>
  <si>
    <t>Malla futbol tenis, soporte metálico resistente, de 3 metros de largo y una altura ajustable de a 80 cm.
Estructura: 100.0% Acero; Tejido principal: 100.0% Poliéster; Embalaje: 100.0% Celulosa</t>
  </si>
  <si>
    <t>MALLA FUTBOL TENIS</t>
  </si>
  <si>
    <t>Peso de la mesa 52 kg con  poste de aluminio WX de grado profesional, para interiores y exteriores - Instalación rápida - Red reglamentaria de 72 pulg., mezcla de algodón reforzado con sistema de tensión ajustable. Dimensiones de la mesa abierta: 274 x 169 x 76 cm  (L x An. x Alt.). los tableros de 274 x 152,5 cm (tamaño oficial), mesa plegada de 73 x 169 x 167 cm. Dimensiones caja: 144 x 163 x 10 cm. Con sistema de tablero plegable, con 4 puntos de bloqueo automático para la mesa. 2 bloqueadores de seguridad los tableros. adaptable para jugar solo. Mesa con 4 travesaños de 40 mm de diámetro, 4 patas ajustables en altura (30 mm), con bloqueo de ruedas, marco de acero galvanizado 35 x 15 mm. Desplazable con 4 ruedas grandes de 25 cm, resistente a la interperie.</t>
  </si>
  <si>
    <t>MESA DE TENIS DE MESA</t>
  </si>
  <si>
    <t>PAR DE RAQUETAS: Profesional con certificado de garantia, de tamaño estandar 16, 5 cm o más, de largo por 15 cm de ancho con un peso de 150 gramos,  la raqueta puede tener un peso diferente (+/-20 g), en madera natural, mango anatómico, con su respectivo estuche</t>
  </si>
  <si>
    <t>RAQUETA DE TENIS</t>
  </si>
  <si>
    <t>Pelotas de ping pong de 40 mm de 3 estrellas de tenis de mesa blancas naranjas con aprobación de la federación internacional de tenis de mesa (ITTF)</t>
  </si>
  <si>
    <t>PELOTAS DE PING PONG</t>
  </si>
  <si>
    <t>Ajedrez elaborado en plástico soplado de alta densidad de colores blanco y negro. Compuesto por 16 fichas de color blanco y 16 fichas de color negro, 6 esteras plásticas que conforman el tablero de juego, tula y tablero de juego en lona. La ficha más alta (rey) mide (30,4 cm). La ficha más alta (rey) mide (30,4 cm). Dimensiones del tablero: (145×145 cm)</t>
  </si>
  <si>
    <t>AJEDREZ GIGANTE</t>
  </si>
  <si>
    <t xml:space="preserve">En madera que alcance una altura de 150 cm y 50 cm </t>
  </si>
  <si>
    <t>JENGA GIGANTE</t>
  </si>
  <si>
    <t>FDLPA-SASI-030-2024  https://community.secop.gov.co/Public/TEndering/OpportunityDetail/Index?noticeUID=CO1.NTC.7194640&amp;isFromPublicArea=True&amp;isModal=true&amp;asPopupView=true</t>
  </si>
  <si>
    <t xml:space="preserve">Cabina de sonido de 1000 watts, con dos micrófonos inalámbricos y una consola de sonido de 6 canales analógica con interfaz de audio digital </t>
  </si>
  <si>
    <t>CABINA DE SONIDO</t>
  </si>
  <si>
    <t>Tecnología / Equipos</t>
  </si>
  <si>
    <t xml:space="preserve">Función: impresora, copiadora y escáner
Tipo de impresora: inyección de tinta  
Conexión: USB                       
Conexión inalámbrica: si            
Resolución de impresión: 5760 x 1440 dpi 
Velocidad de impresión en blanco y negro: 33 ppm    
Velocidad de impresión a color: 15 ppm 
Dimensiones: 17.9 x 37.5 x 34.7 cm                         
Incluye tinta o tóner de prueba: sí 
Tamaño de impresión: 215.9 x 1200 mm
Capacidad de carga: 100 hojas máximo
Peso: 3.9 kg      
Color: negro </t>
  </si>
  <si>
    <t>IMPRESORA</t>
  </si>
  <si>
    <t>36 libretas medio pliego rayadas, 1 resma papel carta blanco, 1 caja esferos x 12, 1 caja resaltadores x12, 1 caja de marcadores x12 varios colores, cinta ancha x 12, 5 manos de papel periodico, 12 libretas origamy 20x20</t>
  </si>
  <si>
    <t>KIT DE PAPELERIA</t>
  </si>
  <si>
    <t>Pantalla FHD, IPS, antirreflectante, con tiempo de respuesta de 9 ms y microbordes, de 144 Hz, 39,6 cm (15,6") en diagonal, 250 nits y 45 % de NTSC (1920 x 1080), Memoria RAM 8 GB, disco estado sólido (SSD), Modelo del Procesador 12450H, Procesador Intel Core I5, Capacidad de Disco Estado Solido SSD 512 GB, Sistema Operativo Windows 11 velocidad del Procesador, hasta 4,4 GHz con tecnología Intel Turbo Boost,12 MB de caché L3, 8 núcleos y 12 subprocesos. Número de Núcleos (más núcleos más multitareas) 8  Nucleos.</t>
  </si>
  <si>
    <t>COMPUTADOR PORTATIL</t>
  </si>
  <si>
    <t xml:space="preserve">FDLE-LP- 859 – 2024 https://community.secop.gov.co/Public/TEndering/OpportunityDetail/Index?noticeUID=CO1.NTC.7114497&amp;isFromPublicArea=True&amp;isModal=true&amp;asPopupView=true </t>
  </si>
  <si>
    <t>Material de caucho natural o sintético, NO tóxico
Diámetro hasta 23 cm</t>
  </si>
  <si>
    <t>PELOTA DE CAUCHO DE INICIACIÓN</t>
  </si>
  <si>
    <t>Balón #5 de Voleibol en cuero sintético o materiales sintéticos, o microfibra.
Peso: 260 a 280 g
Circunferencia:65 a 67 cm
Con el logo de la marca en bajo relieve o alto relieve y certificado de originalidad de la marca.</t>
  </si>
  <si>
    <t>BALONES VOLEYBOL</t>
  </si>
  <si>
    <t>Balón #6 de Baloncesto cuero sintético o materiales sintéticos.
Peso: 500 a 550 g
Tamaño: 70 a 73 cm
Con el logo de la marca en bajo relieve o alto relieve y certificado de originalidad de la marca.</t>
  </si>
  <si>
    <t xml:space="preserve">BALONES DE BALONCESTO </t>
  </si>
  <si>
    <t>Balón #5 de Baloncesto cuero sintético o materiales sintéticos.
Peso: 400 a 500 g
Tamaño: 68 a 70 cm
Circunferencia: 65 a 70 cm
Con el logo de la marca en bajo relieve o alto relieve y certificado de originalidad de la marca.</t>
  </si>
  <si>
    <t>BALONES DE BALONCESTO NIÑOS</t>
  </si>
  <si>
    <t>Balón # 5 de Futsal (Futbol de salón),  en cuero sintético o materiales sintéticos. Peso: 400 a 450 gr
Circunferencia: 60 a 62 cm
Con el logo de la marca en bajo relieve o alto relieve y certificado de originalidad de la marca.</t>
  </si>
  <si>
    <t>BALONES FUTSAL</t>
  </si>
  <si>
    <t>Balón: #5 de Futbol en cuero sintético o materiales sintéticos.
Peso: 410 a 450 gr
Circunferencia: 68 a 70 cm
Con el logo de la marca en bajo o alto relieve y certificado de originalidad de la marca.</t>
  </si>
  <si>
    <t>BALONES DE FUTBOL # 5</t>
  </si>
  <si>
    <t>Chaqueta tipo fiyat, logos institucionales estampados (DRAFE y Alcaldía Local) capucha guardable, acolchonado, tela impermeable taslan tipo softshell, dos colores por definir, de tallas entre la M y la XL que se confirman al momento de la adjudicación del contrato</t>
  </si>
  <si>
    <t>CHAQUETAS</t>
  </si>
  <si>
    <t>Camiseta en lycra tipo polo en v dos colores, logos institucionales estampados transfer DRAFE y Alcaldía local, de tallas entre la M y la XL que se confirman al momento de la adjudicación del contrato</t>
  </si>
  <si>
    <t>CAMISETAS</t>
  </si>
  <si>
    <t>Chaqueta (bordada logos institucionales DRAFE y Alcaldía Local, dos colores, capucha guardable y pantalón un color, material, 100% algodón, de tallas entre la M y la XL que se confirman al momento de la adjudicación del contrato</t>
  </si>
  <si>
    <t>SUDADERA</t>
  </si>
  <si>
    <t>Diplomas impresos en papel opalina o pergamino a cuatro tintas, con los logotipos de la Alcaldía Local de Antonio Nariño, y cumplimiento del manual de imagen institucional.</t>
  </si>
  <si>
    <t>Diplomas de Participación</t>
  </si>
  <si>
    <t>Material publicitario / Impresos</t>
  </si>
  <si>
    <t>Refrigerio tipo B para 160 personas, que contenga Sándwich con 200 gramos de proteína animal (jamón de cerdo, pollo o cordero) y queso o producto de pastelería, bebida entre 250 ml y 330 ml, fruta fresca y un dulce o golosina. **Debe incluir transporte de entrega a donde se requiera el elemento. El operador debe gestionar el prestamo del lugar donde se realizará el evento.</t>
  </si>
  <si>
    <t>Evento  de cierre con refrigerio para 160 personas</t>
  </si>
  <si>
    <t>Eventos / Logística</t>
  </si>
  <si>
    <t xml:space="preserve">Cubierta: distinguimos piel natural, piel sintética, PVC o vinilo. De 3 tamaños diferentes (son para formación de niños y jóvenes de 7 a 18 años). Guantes de boxeo profesional. Género: unisex.  Ajuste en la muñeca con cierre de velcro ensanchado. Forma anatómica. Costuras reforzadas. Malla de circulación de aire. (Mantiene el pulgar en la posición correcta y lo protege de lesiones). Diseño de pico de puño grueso. transpirable, duradero y cómodo. Triple capa que amortigua los impactos, permitiendo que las manos estén protegidas. Adicional debe llevar 3 logos: 1 logo pequeño de la alcaldía tamaño, 1 logo pequeño de presupuestos participativos.   </t>
  </si>
  <si>
    <t>Guantes de Boxeo</t>
  </si>
  <si>
    <t>Material resistente con manilares para realizar ejercicio. Cuerda para saltar profesional para niños y jovenes, con mangos ajustables con doble balero, cable de acero trenzado ligero con forro de poliuretano térmico, cuenta con una cuerda de acero, recubierta con PVC flexible. El largo de la cuerda se puede ajustar a la estatura, 100% calidad premium: Fabricadas en acero trenzado inoxidable grado industrial y mangos de plástico resistente. en la inscripción se debe determinar cuantos lazos de niño y cuantos de joven.</t>
  </si>
  <si>
    <t>Cuerda de Salto</t>
  </si>
  <si>
    <t>Uniforme en tejido de algodón y poliéster, compuesto por camiseta sin manga ligera que cae suavemente y permite que se destaquen los hombros y pantalón corto suave, con cintura elástica, ligeros, llega por encima de las rodillas con cuerda interior, debe ser transpirable y cómodo para permitir una buena movilidad, en diferentes tallas para niños y jovenes de 7 a 18 años, se bebn solicitar las tallas al momento de la inscripción o en las primeras clases.</t>
  </si>
  <si>
    <t>Uniformes de Boxeo</t>
  </si>
  <si>
    <t xml:space="preserve">CIRCULAR 001 disponible https://www.gobiernobogota.gov.co/sgdapp/sites/default/files/normograma/20240104Resoluci%C3%B3n0001.pdf </t>
  </si>
  <si>
    <t>86100000
94121500</t>
  </si>
  <si>
    <t>Clases de Boxeo</t>
  </si>
  <si>
    <t>Formación / Actividades pedagógicas</t>
  </si>
  <si>
    <t>FDLPA-SASI-033-2024 https://community.secop.gov.co/Public/TEndering/OpportunityDetail/Index?noticeUID=CO1.NTC.7206244&amp;isFromPublicArea=True&amp;isModal=true&amp;asPopupView=true</t>
  </si>
  <si>
    <t>Chaquetas largas (tipo Fiyat) deportivos personalizados Hecho en algodón, forro interno y complementado con rib en cuellos puños y ruedo, ideal para la noche y temperaturas bajas de tallas entre la M y la XL que se confirman al momento de la adjudicación del contrato</t>
  </si>
  <si>
    <t xml:space="preserve">CHAQUETAS </t>
  </si>
  <si>
    <t>Balón: #4 de Futbol en cuero sintético o materiales sintéticos.
Peso: 350 a 370 gr
Circunferencia: 63,5 a 66 cm
Con el logo de la marca en bajo o alto relieve y certificado de originalidad de la marca.</t>
  </si>
  <si>
    <t>Balones de futbol No. 4</t>
  </si>
  <si>
    <t>balones de futbol No. 5</t>
  </si>
  <si>
    <t>LP 001 DE 2024 https://community.secop.gov.co/Public/TEndering/OpportunityDetail/Index?noticeUID=CO1.NTC.6031064&amp;isFromPublicArea=True&amp;isModal=true&amp;asPopupView=true</t>
  </si>
  <si>
    <t>Rin de boxeo en alquiler para jornada boxística Alquiler, transporte, montaje y desmontaje, medidas externas:
6,10 x 6,10 x 2,40 m
Alto tarima: 90 cm
Cuadrante :5,10 x 5,10 m
Materiales: Esqueleto en caño estructural 50 x 50 x 2mm y
80 x 80 x 2 mm calidad SAE 1010. o similar.</t>
  </si>
  <si>
    <t>Rin de Boxeo en alquiler</t>
  </si>
  <si>
    <t xml:space="preserve">Laca acrílica con disolvente especial para uso en tela, excelente aderencia, facil aplicación, secado rápido e uniforme, alto brillo del color, libre de metales pesados, ecológica, con envase reciclable. En presentación de 400 ml  </t>
  </si>
  <si>
    <t>Spray de pintura, 10 negros, 5 azules y 5 rojos.</t>
  </si>
  <si>
    <t>Canecas de pintura para exteriores resistente a la intemperie, a la decoloración y a la suciedad, impermeable, resistente a los rayos UV, secado rápido, apta para diversas superficies, ecológica, lavable, con resistencia a hongos y algas y excelente poder de cubrimiento. Se requieren 4 blancas, 3 rojas y 1 azul.</t>
  </si>
  <si>
    <t>Canecas de Pintura</t>
  </si>
  <si>
    <t>Sillas</t>
  </si>
  <si>
    <t>Mesas Plasticas</t>
  </si>
  <si>
    <t>Rollo de tela de seda de poliéster blanca por 100 metros, para muralismo.</t>
  </si>
  <si>
    <t>Rollo de tela de seda de poliéster genero blanca mts</t>
  </si>
  <si>
    <t>Balones de microfutbol</t>
  </si>
  <si>
    <t>Pacas de agua potable enbotellada x 24 unidades de 600ml cada botella. Iniciativa 39598, 43465, 39017</t>
  </si>
  <si>
    <t>Pacas de 24 botellas de agua de 600ml</t>
  </si>
  <si>
    <t>Elementos hidratación</t>
  </si>
  <si>
    <t>Refrigerio tipo B para 350 personas, que contenga Sándwich con 200 gramos de proteína animal (jamón de cerdo, pollo o cordero) y queso o producto de pastelería, bebida entre 250 ml y 330 ml, fruta fresca y un dulce o golosina. **Debe incluir transporte de entrega a donde se requiera el elemento.</t>
  </si>
  <si>
    <t>Evento  de cierre con refrigerio para 350 personas</t>
  </si>
  <si>
    <t>Mallas de Futbol Tenis</t>
  </si>
  <si>
    <t>Deben ser fabricados de una mezcla de poliéster y algodón, para ser transpirable y ligero para permitir la movilidad y evitar la acumulación de sudor. La chaqueta corte recto y un cuello en forma de V. Pantalón holgado con cintura elastica y cinturón blanco, uno de color azul y otro rojo, con logotipos de la alcaldia local. se confirman las tallas 8 dias antes del evento</t>
  </si>
  <si>
    <t>Uniforme Artes Marciales uno rojo uno azul</t>
  </si>
  <si>
    <t xml:space="preserve">FDLU-LP-015-2024 https://community.secop.gov.co/Public/Tendering/ContractNoticeManagement/Index?currentLanguage=es-CO&amp;Page=login&amp;Country=CO&amp;SkinName=CCE </t>
  </si>
  <si>
    <t>3.800.000 (tres millones ochocientos mil pesos) en bonos  de almacén de deportes o tiendas deportivas, de denominación equivalente a $100,000 (cien mil pesos) C/U. Para el costeo de este componente, el proponente deberá tener en cuenta la carga tributaria que acarrea la compra de estos bonos y entregar al ciudadano la suma establecida en el anexo técnico.</t>
  </si>
  <si>
    <t xml:space="preserve">bonos de tiendas deportivas equivalentes a $100,000 de tiendas de deportes hasta un total de $3.800.000 para  la premiación de los diferentes </t>
  </si>
  <si>
    <t>Premiación</t>
  </si>
  <si>
    <t>Compra de carpa de 4*4 metros con los cuatro laterales, en lona 100% impermeable del color por definir, estructura cerchada en tubería de  1” calibre 18 y parales en tubería cuadrada de 1 ½ calibre 16  recubierta en pintura electrostática con un año de garantía por defectos de fábrica.</t>
  </si>
  <si>
    <t xml:space="preserve">Carpas 4X4 </t>
  </si>
  <si>
    <t xml:space="preserve">FDLK-LP-006-2024 https://community.secop.gov.co/Public/Tendering/ContractNoticeManagement/Index?currentLanguage=es-CO&amp;Page=login&amp;Country=CO&amp;SkinName=CCE </t>
  </si>
  <si>
    <t>40 juegos de arbitraje de microfutbol o futbol en 2 torneos relámpago octogonales masculino un cuadrangular masculino, 2 torneos relámpago cuadrangulares femenino, un hexagonal masculino o femenino o mixto, un triangular infantil mixto y  2 veladas boxísticas</t>
  </si>
  <si>
    <t>Juzgamiento Futbol - Futsal</t>
  </si>
  <si>
    <t>Talento humano</t>
  </si>
  <si>
    <t>Petos de futbol en material rejilla Mesh transpirable y elástico textil. Diferentes colores. Petos En tela montesimone. Adicional debe llevar 3 logos: 1 logo de la alcaldía tamaño media carta, 1 logo de presupuestos participativos tamaño bolsillo;  2 números en cada peto en transfer o plasti transfer doble faz.</t>
  </si>
  <si>
    <t>Petos de Futbol</t>
  </si>
  <si>
    <t>15 trofeos de microfutbol, 12 para campeón 50 cm y subcampeón 40 cm de hombres y mujeres y 3 de primero, segundo y tercer puesto para niños en material resistente en metal, plastico, acrilico, resina, o combinado, que garantice la resistencia, debidamente marcado con el torneo a jugar y con el logo de la Alcaldia Local  y del CLBFAN (Consejo Local de Barras Futboleras</t>
  </si>
  <si>
    <t xml:space="preserve">trofeos </t>
  </si>
  <si>
    <t>Uniforme para niños unisex en  dos colores, que consta de camiseta con mangas, pantalones cortos, medias, se fabrican tela clima cool fast dry, cuello en V o redondos. En el momento de la inscripción se determinara las tallas de los uniformes a entregar.</t>
  </si>
  <si>
    <t>Uniformes de futbol para niños</t>
  </si>
  <si>
    <t>Uniforme para mujer en  dos colores, que consta de camiseta con mangas, pantalones cortos, medias, se fabrican tela clima cool fast dry, cuello en V o redondos. En el momento de la inscripción se determinara las tallas de los uniformes a entregar.</t>
  </si>
  <si>
    <t>Uniformes de futbol femenino</t>
  </si>
  <si>
    <t>Uniforme para hombre en dos colores, que consta de camiseta con mangas, pantalones cortos, medias, se fabrican tela clima cool, cuello en V o redondos. En el momento de la inscripción se determinara las tallas de los uniformes a entregar.</t>
  </si>
  <si>
    <t>Uniformes de futbol Masculino</t>
  </si>
  <si>
    <t>Diplomas impresos en papel opalina o pergamino, con los logotipos de la Alcaldía Local de Antonio Nariño, y cumplimiento del manual de imagen institucional.</t>
  </si>
  <si>
    <t>Refrigerio tipo B para 110 personas, que contenga Sándwich con 200 gramos de proteína animal (jamón de cerdo, pollo o cordero) y queso o producto de pastelería, bebida entre 250 ml y 330 ml, fruta fresca y un dulce o golosina. **Debe incluir transporte de entrega a donde se requiera el elemento. El operador debe gestionar el prestamo del lugar donde se realizará el evento.</t>
  </si>
  <si>
    <t>Evento  de cierre con refrigerios para 110 personas</t>
  </si>
  <si>
    <t>Uniformes de tai chi</t>
  </si>
  <si>
    <t>Clases de tai chi</t>
  </si>
  <si>
    <t>Dotación a  50 Colectivos u Organizaciones recreodeportivas de la localidad de Antonio Nariño conforme lo estipulado en el anexo técnico por un valor de $ 2,750,000 (dos millones setecientos cincuenta mil pesos) incluidos todos los impuestos y gastos asociados a la ejecución de la dotación</t>
  </si>
  <si>
    <t>Dotación a Colectivos u Organizaciones recreodeportivas</t>
  </si>
  <si>
    <t>Diplomas impresos, con los logotipos de la Alcaldía Local de Antonio Nariño, logo de  Presupuestos Participativos y cumplimiento del manual de imagen institucional.</t>
  </si>
  <si>
    <t>Evento  de cierre con refrigerios para 160 personas</t>
  </si>
  <si>
    <t>Deben ser fabricados de una mezcla de poliéster y algodón, para ser transpirable y ligero para permitir la movilidad y evitar la acumulación de sudor. La chaqueta corte recto y un cuello en forma de V. Pantalón holgado con cintura elastica y cinturón blanco. Las costuras deben estar reforzadas para resistir el desgaste. seran de diferentes tallas y tendrán los logotipos del FDLAN, las tallas se confirmaran cuando se realicen las primeras clases.</t>
  </si>
  <si>
    <t>Kimono de Taekwondo o Dobok</t>
  </si>
  <si>
    <t>Clases de Taekwondo, kickboxing, defensa personal</t>
  </si>
  <si>
    <t>El técnico debe construir una base de datos: Tendrá como primera actividad completar el Banco (base de datos) de Colectivos u Organizaciones  recreodeportivas, que realizan labores o inciden en la localidad de Antonio Nariño, para esto, deben como mínimo realizar visitas a las 15 Juntas de Acción Comunal de los 15 barrios, deberán también visitar 5 espacios deportivos donde se puedan encontrar dichos colectivos u organizaciones, como parques de proximidad y estructurantes, esto con el fin de inscribir al mayor número de colectivos u organizaciones posibles</t>
  </si>
  <si>
    <t xml:space="preserve">Técnico en gestión de bases de datos </t>
  </si>
  <si>
    <t>Archivos</t>
  </si>
  <si>
    <t>Técnico, tecnólogo o profesional en areas del deporte, humanas, artísticas, culturales o a fines, con 1 año de experiencia certificada en organización de eventos, deportivos preferiblemente.</t>
  </si>
  <si>
    <t>Facilitador o Coordinador de la Semana Futbolera</t>
  </si>
  <si>
    <t>Técnico o tecnólogo en areas del deporte, humanas, artísticas, culturales o a fines, con 1 año de experiencia certificada</t>
  </si>
  <si>
    <t>Gestor Territorial</t>
  </si>
  <si>
    <t>Profesional en ciencias del deporte, humanas, artisticas, culturales o a fines, con 3 años de experiencia certificada en la ejecución de proyectos.</t>
  </si>
  <si>
    <t>VALOR UNITARIO PRECIOS 2025</t>
  </si>
  <si>
    <t>CANTIDAD</t>
  </si>
  <si>
    <t>NOMBRE</t>
  </si>
  <si>
    <t xml:space="preserve">TOTAL </t>
  </si>
  <si>
    <t>SUB TOTAL</t>
  </si>
  <si>
    <t>UNIDAD</t>
  </si>
  <si>
    <t>REFRIGERIO 3</t>
  </si>
  <si>
    <t>LOGÍSTICA</t>
  </si>
  <si>
    <t xml:space="preserve">https://community.secop.gov.co/Public/Tendering/OpportunityDetail/Index?noticeUID=CO1.NTC.6324564&amp;isFromPublicArea=True&amp;isModal=False 
ANTONIO NARIÑO 350 -  FDLAN-LP-003-2024 </t>
  </si>
  <si>
    <t>Almuerzos y cenas Op1 1 Entrada Sopa 250 ml o 16 onzas de fruta de cosecha. Cantidad 100 gramos. 2 plato fuerte Proteína de origen animal 100% Carnes vacuna, cerdo, pollo o pescado Cantidad 200 gramos 3 Cereal Arroz
Cantidad 100 gramos 4 Ensalada de verduras o fruta. Cantidad 100 gramos 5 Papa, yuca, plátano. Cantidad 100 gramos 6 Bebida Jugo de fruta o Gaseosa. 16 onzas. Empaque biodegradable con cubiertos</t>
  </si>
  <si>
    <t>ALMUERZO</t>
  </si>
  <si>
    <t>Kit: 4 marcadores + 1 cinta masking de 24 mm x 40 m</t>
  </si>
  <si>
    <t>MARCADORES Y CINTA MASKING</t>
  </si>
  <si>
    <t xml:space="preserve">20 kits </t>
  </si>
  <si>
    <t>Cartulina plastificada o banner vinílico 100x70 cm, tríptico plegable con ilustraciones</t>
  </si>
  <si>
    <t>CARTELERA DIDÁCTICA PLEGABLE</t>
  </si>
  <si>
    <t>2902408 -  https://www.secop.gov.co/CO1BusinessLine/Tendering/ContractNoticeView/Index?prevCtxLbl=Buscar+procesos&amp;prevCtxUrl=https%3a%2f%2fwww.secop.gov.co%3a443%2fCO1BusinessLine%2fTendering%2fContractNoticeManagement%2fIndex&amp;notice=CO1.NTC.7969785</t>
  </si>
  <si>
    <t>PVC o polietileno, talla única, reutilizable, lavable</t>
  </si>
  <si>
    <t>DELANTAL PLÁSTICO REUTILIZABLE</t>
  </si>
  <si>
    <t>Cuerpo de cartón reciclado o bioplástico, mina HB o tinta negra</t>
  </si>
  <si>
    <t>LÁPIZ ECOLÓGICO O BOLÍGRAFO BIODEGRADABLE</t>
  </si>
  <si>
    <t>Cuadernillo de 12 páginas tamaño carta, impresión ecológica, papel reciclado</t>
  </si>
  <si>
    <t>CUADERNO O GUÍA DE TALLER IMPRESA</t>
  </si>
  <si>
    <t>Botella plástica de 2 L, tapa perforada, insumos internos incluidos: carbón activado, arena, piedras ( TALLER )</t>
  </si>
  <si>
    <t>FILTRO ARTESANAL PARA AGUA</t>
  </si>
  <si>
    <t xml:space="preserve"> $                                                           -</t>
  </si>
  <si>
    <t xml:space="preserve"> $                                                  -</t>
  </si>
  <si>
    <t>No tiene costo</t>
  </si>
  <si>
    <t>Plástico PET libre de BPA, capacidad 750 ml, tapa rosca, (RECICLABES)</t>
  </si>
  <si>
    <t>BOTELLA REUTILIZABLE PLÁSTICA</t>
  </si>
  <si>
    <t>IP 015 DE 2025 - FRR PUNTOS ECOLOGICOS      https://www.secop.gov.co/CO1BusinessLine/Tendering/ContractNoticeView/Index?prevCtxLbl=Buscar+procesos&amp;prevCtxUrl=https%3a%2f%2fwww.secop.gov.co%3a443%2fCO1BusinessLine%2fTendering%2fContractNoticeManagement%2fI</t>
  </si>
  <si>
    <t>3 recipientes plásticos de 25 L c/u por juego, colores: verde, azul, gris, con tapa y rótulo</t>
  </si>
  <si>
    <t>CONTENEDOR DIDÁCTICO DE SEPARACIÓN</t>
  </si>
  <si>
    <t>10 juegos (1 por 20 personas)</t>
  </si>
  <si>
    <t>Adhesivo vinilo, resistentes al agua, impresos a color, dimensiones 10x10 cm cada uno</t>
  </si>
  <si>
    <t>KIT DE PICTOGRAMAS AUTOADHESIVOS</t>
  </si>
  <si>
    <t>Polietileno reciclado, mínimo 30 micras, capacidad 20 L, color azul, reutilizable</t>
  </si>
  <si>
    <t>BOLSAS RECICLABLES PLÁSTICAS REFORZADAS</t>
  </si>
  <si>
    <t>Bolsa 100% biodegradable, capacidad 10-15 L, material PLA o fécula de maíz, impresa con instrucciones</t>
  </si>
  <si>
    <t>BOLSAS ECOLÓGICAS TIPO COMPOSTABLE</t>
  </si>
  <si>
    <t>306-2025.  https://www.secop.gov.co/CO1BusinessLine/Tendering/ContractNoticeView/Index?prevCtxLbl=Buscar+procesos&amp;prevCtxUrl=https%3a%2f%2fwww.secop.gov.co%3a443%2fCO1BusinessLine%2fTendering%2fContractNoticeManagement%2fIndex&amp;notice=CO1.NTC.8209740</t>
  </si>
  <si>
    <t>PLATAFORMA DIGITAL</t>
  </si>
  <si>
    <t>Gorra en poliéster y malla de cinco (5) paneles, cuatro cascos en malla y uno en poliéster fusionado acolchado al frente. Botón forrado. Cierre plástico. Técnica de marca: Estampado o sublimación en el frente, según Manual de Imagen[MCZC8]  a color según colorimetria del evento</t>
  </si>
  <si>
    <t>GORRA MALLA</t>
  </si>
  <si>
    <t xml:space="preserve">EQUIPOS DE PROTECCION PERSONAL </t>
  </si>
  <si>
    <t>TAPABOCAS debe ser reutilizable , con capacidad de filtración mínima del 95% de partículas en el aire, equivalente a estándares como N95 , Respirador
contra Partículas 9822, 17891040279149 ,HC000669883 5</t>
  </si>
  <si>
    <t>TAPABOCAS</t>
  </si>
  <si>
    <t>FDLAN-MCA-013-2024</t>
  </si>
  <si>
    <t>GUANTES:  industrial o doméstico reforzado, elaborados en látex natural, nitrilo o PVC, con un espesor mínimo de 18 mil (0.45 mm) para garantizar resistencia al rasgado, perforaciones y contacto con humedad o sustancias contaminantes. Deben ser impermeables, reutilizables, de manga larga (mínimo 30 cm) para cubrir parte del antebrazo, contar con interior antideslizante o forrado en algodón para mayor confort, y tener textura rugosa en la palma y los dedos que facilite la manipulación de objetos. Su talla debe ajustarse correctamente a la mano del usuario y permitir movimientos precisos sin limitar la destreza. Se recomienda contar con guantes de diferentes tallas (M, L y XL)</t>
  </si>
  <si>
    <t>GUANTES</t>
  </si>
  <si>
    <t>Clasificación por Color y Tipo de Resido: blanca , negra y verde
tamaño: 40*60
material: Material: Polietileno de baja densidad (PEBD) o material reciclado.
Espesor mínimo: 25 micrones (1,0 mil).
Resistencia: Alta resistencia a tracción y punción.
Biodegradabilidad: Ideal que las bolsas para residuos orgánicos sean biodegradables o compostables.
Cierre: Tipo amarre, cinta integrada o cordón.
Etiquetado: Se recomienda incluir pictogramas o rótulos visibles con el tipo de residuo.</t>
  </si>
  <si>
    <t>BOLSAS</t>
  </si>
  <si>
    <t xml:space="preserve">LOGISTICA </t>
  </si>
  <si>
    <t>Alquiler de Auditorio para 300 personas, que tenga incluido, sonido (Entrada y de salida), Medios audiovisuales (Video BEAM, Telón para presentaciones, Portátil), dos espacios adicionales para mesa de trabajo y espacio para exposición fotográfica, Incluir servicio de Baño, Vigilancia y Aseo.  (Jornada entre 4 y hasta 10 horas)</t>
  </si>
  <si>
    <t>AUDITORIO EVENTOS ESPECIALES</t>
  </si>
  <si>
    <t>PUBLICIDAD</t>
  </si>
  <si>
    <t xml:space="preserve">https://community.secop.gov.co/Public/Tendering/OpportunityDetail/Index?noticeUID=CO1.NTC.6324564&amp;isFromPublicArea=True&amp;isModal=False
ANTONIO NARIÑO 350 -  FDLAN-LP-003-2024 </t>
  </si>
  <si>
    <t>HORA</t>
  </si>
  <si>
    <t>Esfero Ecológico de forma cilíndrica de cartón rígido, tinta negra, tipografía a 1 tinta.</t>
  </si>
  <si>
    <t>ESFERO ECOLÓGICO</t>
  </si>
  <si>
    <t>Lapicero plástico de tinta color negro con resaltador en cera (doble tapa) y marca institucional (tampografía) a 1 tinta</t>
  </si>
  <si>
    <t>ESFERO UNIDAD</t>
  </si>
  <si>
    <t>SERVICIO</t>
  </si>
  <si>
    <t>Carpeta clásica personalizadas con imágenes representativas de la localidad y logos institucionales de tamaño 23 cm x 29 cm., con bolsillo interno, con lomo, papel Propalcote de 240 gr, tintas 4X0[MCZC1]  impresos a color, según lo dispuesto para el evento</t>
  </si>
  <si>
    <t>CARPETAS</t>
  </si>
  <si>
    <t>"DISEÑO E IMPRESIÓN DE CARTILLA:
Didáctica pedagógica con papel reciclado cada una de 10 paginas donde ilustre cada temática en la cual se ilustre los temas dictados en la capacitación.
Debe  logo de la alcaldía – nombre del proyecto – sello de Proyectos Participativos a color  como mínimo con 2 imágenes por tema, 
dimensiones estándar de 13.97 cm x 21.59 cm (5.5 pulgadas x 8.5 pulgadas). cosido a dos ganchos, La caratula plastificada en mate o brillante en materiales en propalcote  300 gr."
AFICHE PLIEGO Impresos en propalcote de 150 gr., Tamaño pliego a cuatro (4) tintas, acabado brillante Impresión (hoja estándar) 21 x 29.7 cM</t>
  </si>
  <si>
    <t>KITS PEDAGOGICO</t>
  </si>
  <si>
    <t>Fotografías del proyecto  (Digitales)
 El ejecutor debe presentar 50 fotografías digitalizadas de la ejecución del proyecto (5 presentación pública, 35 de desarrollo de talleres, actividades y 10 de entrega de kits y cierre)</t>
  </si>
  <si>
    <t>FOTOGRAFIAS DIGITALES</t>
  </si>
  <si>
    <t>Diseño e impresión de afiches 
Tamaño: ½” Pliego, color: Policromía, Papel: fabricado con materiales reciclados y/o
residuos agroindustriales, Gramaje: 115 gr. 
Deben contener la siguiente información: Logos de la Alcaldía Local de Antonio Nariño, igualmente la fecha, hora, lugar e intensidad horaria de las actividades, todas las piezas publicitarias deben tener aprobación previa a su impresión.
(Debe contener los logos de la Alcaldía y el sello de presupuestos participativos)</t>
  </si>
  <si>
    <t>AFICHE 1/2</t>
  </si>
  <si>
    <t>Piezas digitales Talleres (Horarios, lugares, intensidad horaria y temáticas) 
Imagen aprobada por la oficina de Prensa de la Alcaldía Local. 
(Debe contener los logos de la Alcaldía y el sello de presupuestos participativos)</t>
  </si>
  <si>
    <t>AFICHE 1/8</t>
  </si>
  <si>
    <t>Piezas digitales Eventos 
Invitación a la presentación pública
Inscripción a la capacitación, talleres 
Evento de cierre.
(Debe contener los logos de la Alcaldía y el sello de presupuestos participativos)</t>
  </si>
  <si>
    <t>MESES</t>
  </si>
  <si>
    <t xml:space="preserve">Tecnólogo en Gestión Ambiental, Saneamiento Ambiental, Educación Ambiental o Técnico Profesional en Recursos Naturales Título en Arquitectura y/o urbanismo, Mínimo Certificado en separación de residuos, manejo de recurso hídrico; mínimo 1 año de experiencia en capacitación ambiental comunitaria </t>
  </si>
  <si>
    <t>CAPACITADOR</t>
  </si>
  <si>
    <t>RECURSO HUMANO LOGISTICO</t>
  </si>
  <si>
    <t>Título Profesional en: como biología, pedagogía ambiental, ingeniería ambiental, ecología o afines, agroecología, ingeniería agronómica, experiencia en diseño e implementación de procesos pedagógicos dirigidos a comunidades diversa.</t>
  </si>
  <si>
    <t>1</t>
  </si>
  <si>
    <t>SEPARACIÓN EN LA FUENTE Y PRÁCTICAS SANAS PARA CUIDAR EL AGUA</t>
  </si>
  <si>
    <t>con dimensiones estándar de 13.97 cm x 21.59 cm (5.5 pulgadas x 8.5 pulgadas). cosido a dos ganchos, La caratula plastificada en mate o brillante en materiales en propalcote  300 grs</t>
  </si>
  <si>
    <t>Diseño e Impresión de cartilla</t>
  </si>
  <si>
    <t>certificados impresos en papel opalina o pergamino a cuatro tintas, con los logotipos de la Alcaldía Local de Antonio Nariño, y cumplimiento del manual de imagen institucional.</t>
  </si>
  <si>
    <t>Certificados de Participación</t>
  </si>
  <si>
    <t>Ancho de la hoja: 17.7 cm, Longitud total: 1.69 m, peso aproximado: 2.5 kg, Diseño alargado que facilita la perforación en terrenos duros, Hoja de acero de alta resistencia con filo afilado para mayor eficiencia., Mango de madera resistente para un mejor agarre y maniobrabilidad, Recubrimiento anticorrosivo para mayor durabilidad, Peso balanceado para reducir el esfuerzo en trabajos prolongados</t>
  </si>
  <si>
    <t>Palin</t>
  </si>
  <si>
    <t>Pala Punta Redonda C Mango Corto</t>
  </si>
  <si>
    <t>Palas</t>
  </si>
  <si>
    <t>002 - 2025https://www.secop.gov.co/CO1BusinessLine/Tendering/ContractNoticeView/Index?prevCtxLbl=Buscar+procesos&amp;prevCtxUrl=https%3a%2f%2fwww.secop.gov.co%3a443%2fCO1BusinessLine%2fTendering%2fContractNoticeManagement%2fIndex&amp;notice=CO1.NTC.8421650</t>
  </si>
  <si>
    <t>Gancho en acero endurecido - doble bloqueo - anti - segueta -retiene la llave cuando el candado está abierto, de 40 mm</t>
  </si>
  <si>
    <t>Candados grandes</t>
  </si>
  <si>
    <t>bulto</t>
  </si>
  <si>
    <t>Color: Negra Materia orgánica: 15 g·kg-1. pH: 6,5 – 7,5. Potasio: 25 mg·kg-1. CE: 2 dS·m-1 aprox.  
Fósforo: 0,03 % – 0,08 %
Conductividad Hidrá: 0,3 cm·h-1 
Carbono organ: 13 - 14 %
Densidad aparente: 1,3 mg·m-3</t>
  </si>
  <si>
    <t>Tierra</t>
  </si>
  <si>
    <t>40 lonas de 100 kg de mezcla de sustrato: Humus sólido, tierra, cascarilla de arroz, arena 1-1-1. (5 lonas para cada módulo)</t>
  </si>
  <si>
    <t>Lona</t>
  </si>
  <si>
    <t>caja</t>
  </si>
  <si>
    <t>1 caja de puntillas de acero para madera de 1,1/2 pulgadas x libra. (longitud aprox 38mm, diámetro aprox 2mm</t>
  </si>
  <si>
    <t>Puntillas</t>
  </si>
  <si>
    <t>Kg</t>
  </si>
  <si>
    <t>2 kg de Alambre liso galvanizado calibre 12</t>
  </si>
  <si>
    <t>Alambre</t>
  </si>
  <si>
    <t>20 listones de madera de 4,5cm2 de ancho x 2,5mts de alto (se instalarán cada 2 mts y se enterrarán a aproximadamente 30cm)</t>
  </si>
  <si>
    <t>Listones de madera</t>
  </si>
  <si>
    <t>Hecha de alambre galvanizado, Puntas cinceladas para mejor penetración de la madera, Grapas totalmente cementadas Corona de 7/16” o ½”</t>
  </si>
  <si>
    <t>Grapas para madera</t>
  </si>
  <si>
    <t>módulos de siembra 4mts de largo x 1mt de ancho y 30cm de profundidad. Deben tener unas patas de 50cm de altura. Impermeabilizadas</t>
  </si>
  <si>
    <t>Módulo de cama de siembra de madera</t>
  </si>
  <si>
    <t>Alveolos en germinación que sean de 5.00 cm de altos</t>
  </si>
  <si>
    <t>Bandeja de germinación de 50 alveolos altos</t>
  </si>
  <si>
    <t>Alto de 3.00 cm, Ancho 15 cm, largo 50 cm,</t>
  </si>
  <si>
    <t>Tijeras de poda</t>
  </si>
  <si>
    <t>Tanques</t>
  </si>
  <si>
    <t xml:space="preserve">UNIDAD </t>
  </si>
  <si>
    <t>Guantes para jardinería, Incluye tenedor, cultivador, trasplantador y cuchara con mango en madera ergonómico, delantal, semillero de 12 huecos o algo más y profundidad de 6 cm.</t>
  </si>
  <si>
    <t>Kit de jardinería maleta</t>
  </si>
  <si>
    <t>METROS</t>
  </si>
  <si>
    <t>Malla eslabonada calibre 12 de 1.80mts de altura. Grapas para madera.  Tierra negra.</t>
  </si>
  <si>
    <t>Mallas</t>
  </si>
  <si>
    <t>Semillas</t>
  </si>
  <si>
    <t>Lechuga crespa, espinaca , acelga verde y amarilla , albaca , perejil liso.</t>
  </si>
  <si>
    <t>Plántulas</t>
  </si>
  <si>
    <t>Fotografías del proyecto (Digitales)
 El ejecutor debe presentar 50 fotografías digitalizadas de la ejecución del proyecto (5 presentación pública, 35 de desarrollo de talleres, actividades y 10 de entrega de certificaciones, kits y cierre)</t>
  </si>
  <si>
    <t>Diseño e impresión de afiches 
Tamaño: ½” Pliego, color: Policromía, Papel: fabricado con materiales reciclados y/o residuos agroindustriales, Gramaje: 115 gr. 
Deben contener la siguiente información: Logos de la Alcaldía Local de Antonio Nariño, igualmente la fecha, hora, lugar e intensidad horaria de las actividades, todas las piezas publicitarias deben tener aprobación previa a su impresión.
(Debe contener los logos de la Alcaldía y el sello de presupuestos participativos)</t>
  </si>
  <si>
    <t>Fotografías del proyecto (Digitales)
 El ejecutor debe presentar 50 fotografías digitalizadas de la ejecución del proyecto (10 de la presentación pública, 40 en el desarrollo de los encuentros y foros)</t>
  </si>
  <si>
    <t>Piezas digitales Talleres
(Horarios, lugares, intensidad horaria y temáticas) 
Imagen aprobada por la oficina de Prensa de la Alcaldía Local. 
(Debe contener los logos de la Alcaldía y el sello de presupuestos participativos, cuando aplique)</t>
  </si>
  <si>
    <t>Piezas digitales Eventos 
Invitación a la presentación pública
(Debe contener los logos de la Alcaldía y el sello de presupuestos participativos)</t>
  </si>
  <si>
    <t>Profesional en agronomía o ciencias ambientales con experiencia en el diseño y manejo de huertos urbanos. Conocimiento en técnicas de cultivo sostenible, uso eficiente del agua y manejo de plagas.	Título en Agronomía, Biología, Ingeniero Ambiental o áreas relacionadas.
Mínimo 2 años de experiencia en enseñanza o capacitación en agricultura urbana.
Habilidades de comunicación y pedagogía.</t>
  </si>
  <si>
    <t xml:space="preserve">Tecnólogo en Gestión Ambiental, Saneamiento Ambiental, Educación Ambiental o Técnico Profesional en Recursos Naturales	Título en Arquitectura y/o urbanismo, Mínimo Certificado en separación de residuos, manejo de recurso hídrico; mínimo 1 año de experiencia en capacitación ambiental comunitaria </t>
  </si>
  <si>
    <t>Profesional en Ingeniería Ambiental, Biología, Administración Ambiental, Ingeniería Sanitaria o Geografía con especialización o maestría	Título Ingeniería Ambiental, Biología, Administración Ambiental, Ingeniería Sanitaria o Geografia o áreas relacionadas.
Mínimo 2 años Certificación en GIRS- (Gestión Integral de Residuos Sólidos ) o gestión hídrica, experiencia en programas de capacitación ambiental; liderazgo de equipos interdisciplinarios.</t>
  </si>
  <si>
    <t>HUERTAS URBANAS</t>
  </si>
  <si>
    <t>MÍNIMA CUANTÍA 014.CPMSBEL.2025  https://www.secop.gov.co/CO1BusinessLine/Tendering/ContractNoticeView/Index?prevCtxLbl=Buscar+procesos&amp;prevCtxUrl=https%3a%2f%2fwww.secop.gov.co%3a443%2fCO1BusinessLine%2fTendering%2fContractNoticeManagement%2fIndex&amp;notice=CO1.NTC.8202115</t>
  </si>
  <si>
    <t>Vasos de polipropileno marcados, reutilizables, uno por participante para uso en jornadas.</t>
  </si>
  <si>
    <t>VASOS REUTILIZABLES</t>
  </si>
  <si>
    <t>RE-009-2025 - https://www.secop.gov.co/CO1BusinessLine/Tendering/ContractNoticeView/Index?prevCtxLbl=Buscar+procesos&amp;prevCtxUrl=https%3a%2f%2fwww.secop.gov.co%3a443%2fCO1BusinessLine%2fTendering%2fContractNoticeManagement%2fIndex&amp;notice=CO1.NTC.8384511</t>
  </si>
  <si>
    <t>SILLAS PLÁSTICAS</t>
  </si>
  <si>
    <t>https://www.secop.gov.co/CO1BusinessLine/Tendering/ContractNoticeView/Index?prevCtxLbl=Buscar+procesos&amp;prevCtxUrl=https%3a%2f%2fwww.secop.gov.co%3a443%2fCO1BusinessLine%2fTendering%2fContractNoticeManagement%2fIndex&amp;notice=CO1.NTC.8421079</t>
  </si>
  <si>
    <t>Placas de madera reciclada o acrílico grabado con nombre común, científico y nombre del cuidador/apadrinador.</t>
  </si>
  <si>
    <t>ETIQUETAS DE ÁRBOL</t>
  </si>
  <si>
    <t>Cuerda de fique o alambre resistente para amarre de árboles al tutor sin dañar el tallo.</t>
  </si>
  <si>
    <t>CUERDA BIODEGRADABLE</t>
  </si>
  <si>
    <t xml:space="preserve"> 2023067 - https://www.secop.gov.co/CO1BusinessLine/Tendering/ContractNoticeView/Index?prevCtxLbl=Buscar+procesos&amp;prevCtxUrl=https%3a%2f%2fwww.secop.gov.co%3a443%2fCO1BusinessLine%2fTendering%2fContractNoticeManagement%2fIndex&amp;notice=CO1.NTC.5349182</t>
  </si>
  <si>
    <t>Estacas de guadua o madera tratada de 1,2 m de altura, para soporte de árboles recién sembrados.</t>
  </si>
  <si>
    <t>TUTORES</t>
  </si>
  <si>
    <t>PORCESO NO 5 https://www.secop.gov.co/CO1BusinessLine/Tendering/ContractNoticeView/Index?prevCtxLbl=Buscar+procesos&amp;prevCtxUrl=https%3a%2f%2fwww.secop.gov.co%3a443%2fCO1BusinessLine%2fTendering%2fContractNoticeManagement%2fIndex&amp;notice=CO1.NTC.4890587</t>
  </si>
  <si>
    <t>Regaderas plásticas de 2 litros con boquilla desmontable para riego suave.</t>
  </si>
  <si>
    <t>REGADERAS</t>
  </si>
  <si>
    <t>Palas manuales de jardinería en acero inoxidable con mango ergonómico.</t>
  </si>
  <si>
    <t>PALAS PEQUEÑAS</t>
  </si>
  <si>
    <t>Guantes talla estándar de tela gruesa y palma antideslizante, reutilizables y lavables.</t>
  </si>
  <si>
    <t>GUANTES DE JARDINERÍA</t>
  </si>
  <si>
    <t xml:space="preserve">   EP-MINIMA-099-100-2024.   https://www.secop.gov.co/CO1BusinessLine/Tendering/ContractNoticeView/Index?prevCtxLbl=Buscar+procesos&amp;prevCtxUrl=https%3a%2f%2fwww.secop.gov.co%3a443%2fCO1BusinessLine%2fTendering%2fContractNoticeManagement%2fIndex&amp;notice=CO1.NTC.6442709</t>
  </si>
  <si>
    <t>Mezcla de tierra negra, compost y arena, empacada en bolsas de 5 kg para siembra de árboles.</t>
  </si>
  <si>
    <t>SUSTRATO ABONADO</t>
  </si>
  <si>
    <t xml:space="preserve">    MC-030-2024-  https://www.secop.gov.co/CO1BusinessLine/Tendering/ContractNoticeView/Index?prevCtxLbl=Buscar+procesos&amp;prevCtxUrl=https%3a%2f%2fwww.secop.gov.co%3a443%2fCO1BusinessLine%2fTendering%2fContractNoticeManagement%2fIndex&amp;notice=CO1.NTC.7109314</t>
  </si>
  <si>
    <t>Especies nativas en bolsa plástica de vivero, altura entre 80–120 cm, sanas y con tutor guía (chicalá, guayacán, arrayán, entre otras).</t>
  </si>
  <si>
    <t>ÁRBOLES NATIVOS</t>
  </si>
  <si>
    <t>SED-MC-DDE-080-2024 https://www.secop.gov.co/CO1BusinessLine/Tendering/ContractNoticeView/Index?prevCtxLbl=Buscar+procesos&amp;prevCtxUrl=https%3a%2f%2fwww.secop.gov.co%3a443%2fCO1BusinessLine%2fTendering%2fContractNoticeManagement%2fIndex&amp;notice=CO1.NTC.6992560</t>
  </si>
  <si>
    <t>FLIP CHART</t>
  </si>
  <si>
    <t xml:space="preserve">
ANTONIO NARIÑO 350 -  FDLAN-LP-003-2024 https://community.secop.gov.co/Public/Tendering/OpportunityDetail/Index?noticeUID=CO1.NTC.6324564&amp;isFromPublicArea=True&amp;isModal=False</t>
  </si>
  <si>
    <t>PARLANTE PORTÁTIL</t>
  </si>
  <si>
    <t>HORAS</t>
  </si>
  <si>
    <t>VIDEO BEAM</t>
  </si>
  <si>
    <t>Carpeta clásica personalizadas con imágenes representativas de la localidad y logos institucionales de tamaño 23 cm x 29 cm., con bolsillo interno, con lomo, papel Propalcote de 240 gr, tintas 4X0 impresos a color.</t>
  </si>
  <si>
    <t>CARPETAS DOSSIER</t>
  </si>
  <si>
    <t>cuaderno de trabajo tipo agenda con caratula de tapa dura, argollado con guaduas en policromias, 2 separadores, policromias en propalcote 115 gr.</t>
  </si>
  <si>
    <t>CUADERNO DE TRABAJO</t>
  </si>
  <si>
    <t>CERTIFICACIÓN DE ASISTENCIA: 
Carta - 21.5 x 27,9 cm, Full color, papel grueso superior  reciclado a 194 gr, a cada uno de los beneficiarios que participaron en todas las capacitaciones del componente ambiental, certificando su participación y compromiso indicando intensidad horaria. 1 para cada participante debe contener los diferentes logos institucionales Tamaño media Carta.</t>
  </si>
  <si>
    <t>CERTIFICACIÓN</t>
  </si>
  <si>
    <t>DISEÑO E IMPRESIÓN DE CARTILLA:
Didáctica pedagógica con papel reciclado cada una de 10 paginas donde ilustre cada temática en la cual se ilustre los temas dictados en la capacitación.
Debe  logo de la alcaldía – nombre del proyecto – sello de Proyectos Participativos a color  como mínimo con 2 imágenes por tema, 
dimensiones estándar de 13.97 cm x 21.59 cm (5.5 pulgadas x 8.5 pulgadas). cosido a dos ganchos, La caratula plastificada en mate o brillante en materiales en propalcote  300 gr.</t>
  </si>
  <si>
    <t>CARTILLAS</t>
  </si>
  <si>
    <t>ESCARAPELAS PARA IDENTIFICAR PARTICIPANTES:
 Escarapela en Cartulina Ecológica con Desprendible Germinable 9cm X 5.4cm. Con cinta Poliéster Premium 25mm para colgar la escarapela con logos de la alcaldía Antonio Nariño para cada escarapela.</t>
  </si>
  <si>
    <t>ESCARAPELAS</t>
  </si>
  <si>
    <t xml:space="preserve">ESPACIOS- ALQUILER DE SALÓN
Un auditorio y/o en calidad de préstamo o alquiler, dispuesto para 120 personas, dotado con sillas, mesas, equipo de audio, video y micrófono inalámbrico.
Nota: El préstamo del espacio se puede tramitar con alguna de las entidades distritales; de no ser posible el operador debe garantizar el espacio para la actividad
Nota: En caso de ser un espacio gestionado con la alcaldía o alguna institución que no genere costo, dicho valor no deberá ser cobrado.
Nota: El ejecutor deberá tener en cuenta los requisitos establecidos en el Sistema Único de Gestión para el Registro, Evaluación y Autorización de Actividades de Aglomeración de Publico en el Distrito Capital – SUGA, para la realización de las actividades cuando aplique, en concordancia con el artículo 42 de la ley 1323 de  2012.
alquiler por hora, incluyendo servicio de aseo, para el desarrollo de sesiones con capacidad para grupos entre cincuenta y ochenta personas. Incluye mesas, sillas y sonido básico y conexión </t>
  </si>
  <si>
    <t>AUDITORIO O SALÓN SENCILLO</t>
  </si>
  <si>
    <t>Formato de inscripción y consentimiento informado
Tamaño: Oficio, Color: Policromía, Sentido: vertical, Dividido en dos para que en cada hoja quede la inscripción y el consentimiento informado, Asistencia a talleres y eventos, Listado de entrega de Kits, igualmente para la planilla de ingreso y salida . Utilizar Papel de material reciclado, Gramaje: 75 gr.</t>
  </si>
  <si>
    <t>REDMA</t>
  </si>
  <si>
    <t xml:space="preserve">Fotografías del proyecto  (Digitales)
El ejecutor debe presentar 50 fotografías digitalizadas de la ejecución del proyecto (5 presentación pública, 35 de desarrollo de talleres, actividades y 10 de entrega de kits y cierre) tamaño 13 x 18 cm </t>
  </si>
  <si>
    <t>Tamaño: ½” Pliego, color: 4 tintas, Papel: fabricado con materiales reciclados y/o residuos agroindustriales, Gramaje: 115 gr. 
Deben contener mo minímo la siguiente información: Logos de la Alcaldía Local de Antonio Nariño, igualmente la fecha, hora, lugar e intensidad horaria de las actividades, todas las piezas publicitarias deben tener aprobación previa a su impresión.
(Debe contener los logos de la Alcaldía y el sello de presupuestos participativos)</t>
  </si>
  <si>
    <t>DISEÑO E IMPRESIÓN DE AFICHES</t>
  </si>
  <si>
    <t>Invitación a la presentación pública 
inscripciones
PARA LAS ACTIVIDADES ITINERANTES: 
Actividades a realizar (3 piezas).:Deberán contenar información relevante para la realización de estas (Horarios, lugar, intensidad horaria de la muestra artística). 
Imagen aprobada por la oficina de Prensa de la Alcaldía Local.                                                                                                                             Deben contener la siguiente información: Logos de la Alcaldía Local de Antonio Nariño y Sello de Presupuestos participativos.</t>
  </si>
  <si>
    <t>DISEÑO DE PIEZAS DIGITALES EVENTOS</t>
  </si>
  <si>
    <t>Ingeniería Ambiental, Biología y/o Ecología, Administración Ambiental y/o Licenciatura en Ciencias Naturales y y/o ·	Con mínimo dos (2) años de experiencia específica en diseño y ejecución de procesos de educación ambiental, preferiblemente en el ámbito comunitario o escolar.</t>
  </si>
  <si>
    <t>Ingeniero Agrónomo y/o Técnico en Agroecología, y/o Tecnólogo en Producción Agropecuaria. Profesional o tecnólogo titulado, con experiencia mínima de 2 años en creación de huertas urbanas, agricultura sostenible, compostaje y manejo de especies nativas y medicinales.
Título en Agronomía, Biología, Ingeniero Ambiental o áreas relacionadas.
Mínimo 2 años de experiencia en enseñanza o capacitación en agricultura urbana.
Habilidades de comunicación y pedagogía</t>
  </si>
  <si>
    <t xml:space="preserve">Título Profesional en: Profesional en Ingeniería Ambiental, Administración Ambiental o Gestión Ambiental Experiencia: 
Profesional titulado, con al menos 3 años de experiencia en formulación, coordinación y ejecución de proyectos de educación ambiental comunitaria, restauración ecológica o arborización urbana. Con conocimientos en gestión social y metodologías participativas. </t>
  </si>
  <si>
    <t>EDUCACION AMBIENTAL</t>
  </si>
  <si>
    <t>OPERARIO</t>
  </si>
  <si>
    <t>Tamaño: 0,7 metro x 1 metro, fácil de manejar y transportar. Material: Polipropileno resistente al desgarro y al agua. Uso: Con bordes reforzados para facilitar su anclaje si es necesario.</t>
  </si>
  <si>
    <t>LONAS PARA ESCOMBROS COLOR BLANCO</t>
  </si>
  <si>
    <t>JARDINERÍA</t>
  </si>
  <si>
    <t>Tamaño: 60 x 90 cm (capacidad aproximada de 50 a 60 litros), adecuadas para manejar residuos orgánicos y pequeños restos de poda. Plástico resistente (grosor mínimo de 1.2 milímetros), preferiblemente biodegradable.</t>
  </si>
  <si>
    <t xml:space="preserve"> PAQUETES DE BOLSAS PLÁTICAS PARA RECOLECTAR RESIDUOS </t>
  </si>
  <si>
    <t>KILOS</t>
  </si>
  <si>
    <t>Acondicionador físico para mejorar absorción de agua en suelos y retención de nutrientes. En presentación de cristales. Este único kilo será distribuido en toda la zona de árboles, no a las jardineras.</t>
  </si>
  <si>
    <t>HIDRORETENEDOR</t>
  </si>
  <si>
    <t>LITROS</t>
  </si>
  <si>
    <t>Agua potable en cantidades 20 litros por cada metro cuadrado para las jardineras de los RAPS y 20 litros adicionales para cada uno de los 200 árboles a intervenir. Se debe tener en cuenta que la entrega del líquido no puede realizarse en una sola jornada debido a la falta de espacio para su almacenamiento, por lo que debe dividirse en al menos tres jornadas, alineadas con el avance de las labores de jardinería, proyectadas para después del 15 de diciembre. Mejor aún si el sistema de suministro ofrece manguera de muy baja presión para no afectar plántulas ni los productos para la fertilización del terreno.</t>
  </si>
  <si>
    <t>AGUA</t>
  </si>
  <si>
    <t>Composición de tierra negra limpia, cal y cascarilla de arroz en los siguientes porcentajes: Por cada 8 metros de tierra negra limpia, con 1 metro de cascarilla de arroz y un kilo de cal. Por otra parte, este compuesto debe suministrarse en sacos para facilitar su transporte a las áreas de jardinería que serán intervenidas, las cuales son cercanas a las instalaciones de la Alcaldía local. Por último, señalar que, el material debe ser entregado en dos fases a coordinar, debido a la ausencia de un espacio para su almacenaje, por lo cual, se proyecta fecha de recepción inicial el 17 de diciembre de esta anualidad.</t>
  </si>
  <si>
    <t>SUSTRATO</t>
  </si>
  <si>
    <t>KILOGRAMOS</t>
  </si>
  <si>
    <t>Fertilizante fuente de azufre y magnesio, presentación cristales solubles para agilizar absorción de Nitrógeno y Fósforo.</t>
  </si>
  <si>
    <t>SULFATO DE MAGNESIO</t>
  </si>
  <si>
    <t xml:space="preserve">Fertilizante inorgánico a base de NPK (composición 18,4% Nitrógeno, 18% Fósforo y 18% Potasio), en presentación de polvo soluble. </t>
  </si>
  <si>
    <t>TRIPLE 18</t>
  </si>
  <si>
    <t>TIEMPO</t>
  </si>
  <si>
    <t>ARBOLES</t>
  </si>
  <si>
    <t xml:space="preserve">UNIDAD  </t>
  </si>
  <si>
    <t>Profesional en áreas como ingeniería de sistemas, administración pública, ciencias sociales, educación, gestión de proyectos o afines, con al menos dos (2) años de experiencia en la coordinación de proyectos sociales, educativos o tecnológicos, preferiblemente relacionados con inclusión digital, formación comunitaria o articulación institucional. Esta persona deberá contar con habilidades para la planeación operativa, la gestión territorial y el relacionamiento con entidades gubernamentales, comunitarias y educativas. Será responsable de liderar la ejecución técnica y logística del proyecto, coordinar al equipo operativo, garantizar la articulación con la Alta Consejería Distrital para las TIC y la Alcaldía Local, así como asegurar el cumplimiento de los cronogramas, la calidad de las actividades formativas y la entrega oportuna de los informes técnicos requeridos. El profesional se requiere por un periodo de 5 meses</t>
  </si>
  <si>
    <t>Coordinador programa</t>
  </si>
  <si>
    <t>Profesional apoyo</t>
  </si>
  <si>
    <t>Suministro de servicio de acceso a internet móvil mediante la integración de dos operadores de red celular (tecnología 4G y 5G), configurados en esquema de redundancia activa para garantizar continuidad operativa en caso de fallas o degradación de uno de los enlaces. El servicio debe proveer una velocidad mínima combinada de navegación no inferior a 80 Mbps de bajada y 20 Mbps de subida, con latencia menor a 50 ms, asegurando la conexión simultánea, estable y ágil de al menos diez y seis (16) equipos portátiles y una (1) pantalla interactiva, sin interrupciones en servicios como navegación web, videoconferencias, plataformas educativas o contenidos multimedia. La solución debe contemplar mecanismos de balanceo de carga y conmutación automática entre operadores (failover) mediante hardware compatible con tecnología SD-WAN, asegurando disponibilidad permanente del servicio. La propuesta debe incluir todos los elementos necesarios para la activación del servicio, como SIM cards activadas, planes de datos ilimitados o de alta capacidad mensual, y soporte técnico en sitio o remoto durante la vigencia del contrato."</t>
  </si>
  <si>
    <t>Conectividad</t>
  </si>
  <si>
    <t>43211900
43211500
43212000</t>
  </si>
  <si>
    <t>Equipo de conectividad y seguridad perimetral con capacidad de comunicación móvil a través de doble SIM 5G/4G con ranuras nano SIM, permitiendo conexión simultánea a dos operadores móviles para garantizar redundancia y alta disponibilidad del servicio. Cuenta con conectividad Wi-Fi de alta capacidad, bajo estándar 802.11ac Wave 2 o superior, diseñado para permitir la conexión simultánea de al menos quince (15) dispositivos inalámbricos, incluyendo portátiles y pantallas interactivas, garantizando cobertura, estabilidad y velocidad en entornos exigentes. Dispone de tres (3) puertos LAN RJ45 para conexiones administrativas o futuras expansiones, y un (1) puerto WAN para enlace cableado alternativo en caso de disponibilidad local. Incorpora funciones SD-WAN que permiten gestionar eficientemente múltiples enlaces de internet (dual SIM y WAN), optimizando el tráfico y priorizando aplicaciones críticas mediante balanceo y failover automático. Integra licenciamiento de seguridad UTP que incluye filtrado web, filtrado de aplicaciones, filtrado DNS, IPS, antivirus, control de amenazas avanzadas y generación de reportes detallados. El equipo está diseñado para operación continua 24/7, con procesador de red dedicado, almacenamiento interno para políticas y registros, gestión local o centralizada en la nube, y formato compacto de instalación sobre escritorio o pared con sistema de enfriamiento pasivo.</t>
  </si>
  <si>
    <t xml:space="preserve">Modulo 5G </t>
  </si>
  <si>
    <t>Pantalla</t>
  </si>
  <si>
    <t>Infraestructura Tecnológica</t>
  </si>
  <si>
    <t>43211900
43211500</t>
  </si>
  <si>
    <t>Suministro de computador portátil con procesador Intel Core i5 de 13ª generación, memoria RAM de 16 GB DDR4, unidad de estado sólido (SSD) de 512 GB M.2 PCIe NVMe, pantalla de 14 pulgadas Full HD (1920x1080) antirreflejo, teclado retroiluminado en español (Latinoamérica), cámara web HD con obturador de privacidad, conectividad inalámbrica Wi-Fi 6 y Bluetooth 5.2. El equipo debe contar exclusivamente con los siguientes puertos: dos (2) puertos USB 3.2 Gen 1 tipo A, un (1) puerto USB 3.2 Gen 2x2 tipo C con DisplayPort y suministro de energía, un (1) puerto HDMI 1.4, un (1) puerto RJ-45, un (1) conector combinado de audio de 3.5 mm y un (1) puerto de alimentación tipo barril. Debe incluir sistema operativo Windows 11 Pro de 64 bits preinstalado, garantía mínima de 3 años onsite y contar con certificaciones vigentes ENERGY STAR y RoHS para garantizar eficiencia energética y cumplimiento ambiental incluir Software open source.</t>
  </si>
  <si>
    <t xml:space="preserve">Computador portatil </t>
  </si>
  <si>
    <t>carro transportador para almacenamiento y transporte de ocho (8) unidades de escritorios plegables para centros TIC, elaborado en estructura metálica con tubería cuadrada de 1” calibre 18 y tubería cuadrada de 1 ½” (o 40x40 mm) en cold rolled, recubierto completamente en lámina cold rolled y acabado en pintura electrostática. El carro cuenta con ruedas industriales color naranja de trabajo pesado para facilitar su movilidad. Las dimensiones aproximadas del carro son 950 mm de ancho, 1000 mm de largo y 1100 mm de alto. La capacidad total del sistema es para dieciséis (16) muebles y treinta y una (31) sillas, asegurando un almacenamiento eficiente y ordenado de los escritorios plegables tipo acordeón Adjuntar ficha y diseño del carro. Debe llevar forro impermeable para los desplazamientos.</t>
  </si>
  <si>
    <t xml:space="preserve">Carro transportador </t>
  </si>
  <si>
    <t>Mobiliario</t>
  </si>
  <si>
    <t>Carro de almacenamiento y transporte para tabletas y pantalla interactiva, fabricado en estructura metálica con tubería cuadrada de 1 ½” (40 mm) y 1” calibre 18 cold rolled, con revestimiento en lámina metálica cold rolled perforada para ventilación natural. El diseño incluye compartimentos internos organizadores con sistema de carga eléctrica integrado para conexión simultánea de múltiples equipos, y soporte motorizado de elevación para pantalla interactiva. La superficie superior es en madera tablex o aglomerado con recubrimiento melamínico resistente. El mueble incorpora puertas metálicas con cerradura tipo chapa de seguridad, manija lateral ergonómica y ruedas industriales con freno para desplazamiento. El carro debe llevar incorporado en área visible el diseño gráfico oficial (logotipo) de la Alcaldía, ya sea vinilado, pintado o en impresión directa sobre la superficie, según especificaciones de imagen institucional del contratante. Debe llevar forro impermeable para los desplazamientos.</t>
  </si>
  <si>
    <t xml:space="preserve">Silla </t>
  </si>
  <si>
    <t xml:space="preserve">Escritorios plegables fabricados en tablex de 25 mm de espesor, recubiertos en la parte superior con formica tipo F7 y en la inferior con lámina balance, con canto rígido en PVC de alta resistencia. La estructura está construida en tubería cuadrada cold rolled de 1" calibre 18, con refuerzos laterales, topes de goma y niveladores en las patas, todo recubierto con pintura electrostática de alta durabilidad. Las dimensiones del escritorio son 1000 mm de ancho, 500 mm de fondo y 750 mm de alto. El diseño es abatible para facilitar su almacenamiento y transporte, permitiendo ser movilizado fácilmente en carros de acopio o muebles rodantes, Adjuntar ficha tecnica y render </t>
  </si>
  <si>
    <t xml:space="preserve">Escritorios </t>
  </si>
  <si>
    <t>Publicidad impresa</t>
  </si>
  <si>
    <t>Publicidad</t>
  </si>
  <si>
    <t xml:space="preserve">Computador de escritorio </t>
  </si>
  <si>
    <t>FUENTE</t>
  </si>
  <si>
    <t>CÓDIGOS UNSPSC</t>
  </si>
  <si>
    <t>Valor total</t>
  </si>
  <si>
    <t>Pantalla Interactiva 55 Pulgadas 4K Touch Screen LED Panel , Android 11 OS con  accounts and Cloud drive access ,Zero-bonding gen 2 IR touch (hasta 40 puntos touch) ,  Write con licencia perpetua de Software incluido, Share Wireless Screen sharing software included ,1st Year cloud subscription for the following software is included: LearningHub - Student Engagament Platform, QuizWhiz - AI Quiz Generator Software , Hype - Video
Conferecning Platform - 25 licenses (Business) , Central -Device management software, Navigate - Easy to usenavigation Software, Flush wall mount included ,3-Year warranty &amp; Free, Unlimited Screen Skills Guru support. ( el Software Central debe ser
Solicitado antes de facturar ) + OPS i7 de 16 gb de ram y 256 gb ssd</t>
  </si>
  <si>
    <t>Computadores SFF (Small Form Factor), marca y modelo a criterio del oferente, de modelo corporativo. Intel Core i7-13700 [16 Core ( 8 P-Core + 8 E-Core) + 24 Hilos], Frecuencia base: P-Core 2.1 GHz/ E-Core 1.5 GHz, Frecuencia Max: P-Core 5.1 GHz / E-Core 4.1 GHz, Cache 30 MB o AMD Ryzen 7 de última generación. 16 GB DDR4-5600MHz. Capacidad Two DDR5 UDIMM slots, dual-channel capable, Up to 64 GB. Las memorias deben ser homologadas por el fabricante. Disco Duro 512 GB SSD Monitor 21,5” o superior de la misma marca del computador con entrada HDMI y VGA Intel UHD Graphics 770 Peso 4.5 KG, Gigabit Ethernet RJ45, Intel Wi-Fi 6 AX201, 802.11ax 2x2 Wi-Fi + Bluetooth 5.1, Parlante interno 1W x1, Sonido integrado, Teclado USB empresarial delgado en español, Mouse óptico USB, Un puerto combinado de auriculares y micrófono de 3.5 mm + un puerto microfono 3.5 mm, Fuente de poder 260W 90%, Puertos USB, Front Ports 1x USB-C 3.2 Gen 1 (support data transfer and 5V@3A charging), 2x USB 3.2 Gen 1, 1x headphone / microphone combo jack (3.5mm), 1x microphone (3.5mm), Optional Front Ports, 1x card reader, Rear Ports, 2x USB 2.0, 2x USB 3.2 Gen 1 (one supports Smart Power On), 1x Ethernet (RJ-45), 1x line-out (3.5mm), Puertos de vídeo 1x HDMI 2.1 TMDS, 1x DisplayPort 1.4, 1x VGA, WINDOWS 11 profesional 64 bits, audio integrado, Caja PC SFF, catálogos de los productos es español y/o inglés, soporte Servicio técnico telefónico de 8 horas x 5 días semana. En caso de no tener solución telefónica, el servicio se prestará en sitio al día hábil siguiente durante cuatro (4) años sin costo alguno para FDLAN. El oferente y/o fabricante debe prestar servicio de soporte a los equipos en las Instalaciones del FDLAN, se debe incluir un listado de los teléfonos donde se encuentra(n) ubicada(s) la(s) sede(s) del soporte. Dos (2) mantenimientos preventivos anuales durante el tiempo de garantía. Seguridad: Contraseña del supervisor, contraseña de encendido, contraseña de NVMe controlado desde la BIOS, BIOS autorreparable, ranura de guaya de seguridad Kesington. Chip de serguridad Discrete TPM 2.0, TCG certified, FIPS 140-2 certified. Garantía: Garantía y Soporte Anexo de cuatro (4) años, sobre todo, del fabricante con atención en sitio y tiempo de respuesta de 24 horas (1 día hábil), reparación en 72 horas (3 días hábiles), CPU, teclado, mouse y monitor de la misma marca. Venta avalada por el fabricante. Garantía y soporte con tiempos de respuesta avalada por Póliza de Seguro. NO SE ACEPTAN CLONES. El equipo debe ser de marca reconocida o marca registrada con al menos 25 años en el mercado. Incluir guaya de seguridad con clave.</t>
  </si>
  <si>
    <t xml:space="preserve">https://community.secop.gov.co/Public/TEndering/OpportunityDetail/Index?noticeUID=CO1.NTC.7083759&amp;isFromPublicArea=True&amp;isModal=true&amp;asPopupView=true </t>
  </si>
  <si>
    <t>Funete</t>
  </si>
  <si>
    <t>Punto de Conexión a Internet y Alimentación Eléctrica
Con el fin de garantizar el acceso efectivo de la ciudadanía a los servicios digitales y trámites en línea, se requiere la adecuación de un punto de conexión al servicio de internet y alimentación de corriente eléctrica en una sede aún por definir, donde se habilitará un espacio físico para la atención presencial.
Este punto de conexión es indispensable para el funcionamiento del equipo tecnológico que soportará la atención, así como para asegurar la conectividad continua al sistema de información institucional y a la red pública de servicios.
Componentes técnicos requeridos:
Conexión a red eléctrica con instalación de al menos 2 tomas dobles (110V), con protecciones básicas (breakers, canaletas y toma a tierra si aplica).
Punto de red de internet con conexión física (RJ45) a la red institucional y disponibilidad de ancho de banda suficiente (mínimo 20 Mbps simétricos).
Instalación de canaletas, ductos o cableado estructurado según necesidades del espacio.
Protección eléctrica para evitar daños a los equipos por variaciones de voltaje.
Costo estimado de adecuación:
Teniendo en cuenta que el sitio específico no está definido, se establece un valor estimado por punto de conexión que incluye mano de obra, materiales y adecuaciones menores:</t>
  </si>
  <si>
    <t>Evento de Cotización 9 de julio 2025</t>
  </si>
  <si>
    <t>Alquiler Proyector portátil de 3000 lúmenes mínimo, compatible con HDMI y USB, para presentaciones multimedia en campo o sedes comunitarias.</t>
  </si>
  <si>
    <t>Alquiler de sillas apilables de polipropileno resistentes al sol, para uso temporal en talleres y eventos comunitarios.</t>
  </si>
  <si>
    <t>De plastico de 250ml con su estructura, aprox de 1,50mts de alto</t>
  </si>
  <si>
    <t>Plataforma debe permitir el ingreso de datos personales básicos (nombre, cédula, localidad, edad, tipo de participación), generar listados exportables, validar asistencia a eventos y generar reportes periódicos. Puede estar desarrollada en herramientas tipo Google Forms, Microsoft Forms, JotForm u otras plataformas institucionales, y debe garantizar la protección de datos personales conforme a la Ley 1581 de 2012. Se recomienda que sea accesible desde dispositivos móviles y computadores, con interfaz sencilla y opción de descarga en formato Excel o PDF para control administrativo.</t>
  </si>
  <si>
    <t xml:space="preserve">39121402
39121462 </t>
  </si>
  <si>
    <t>Punto de conexión electrica e internet</t>
  </si>
  <si>
    <t>Intenet</t>
  </si>
  <si>
    <t>Compra de tablero móvil uso administrativo espacios reducidos, marcadores borrables y base metálica ajustable.</t>
  </si>
  <si>
    <t>parquetes de semillas de Caléndula, tomate toronjil,  zanahoria, rábano, albahaca</t>
  </si>
  <si>
    <t>Bolsa de Navidad FDLAN</t>
  </si>
  <si>
    <t>Horas</t>
  </si>
  <si>
    <t>Resolución número 1124 - 11 DIC 2024 Tabla honorarios  Secretaría Distrital de Gobierno - vigencia 2025</t>
  </si>
  <si>
    <t xml:space="preserve">Alquiler 2 bocinas amplificadas (activas) de 10 a 12 pulgadas  con potencia minima 1000 watts RMS cada una. </t>
  </si>
  <si>
    <t>Todos</t>
  </si>
  <si>
    <t>PRESTAMO LUGAR - lugar disponible dentro de las entidades distritales (Biblioteca Carlos E. Restrepo y/o Alcaldia local Antonio Nariño) con capacitad de 100 personas, dotado con sillas, mesas, puntos de conexion, Wifi, equipo de audio, video y micrófono inalámbrico, este lugar debe estar dentro de la localidad
Nota: El préstamo del espacio se puede tramitar con alguna de las entidades distritales; de no ser posible el operador debe garantizar el espacio para la actividad
Nota:  duracion de 4 horas de duracion total. 
Nota: En caso de ser un espacio gestionado con la alcaldía o alguna institución que no genere costo, dicho valor no deberá ser cobrado.
Nota: El ejecutor deberá tener en cuenta los requisitos establecidos en el Sistema Único de Gestión para el Registro, Evaluación y Autorización de Actividades de Aglomeración de Publico en el Distrito Capital – SUGA, para la realización de las actividades cuando aplique, en concordancia con el artículo 42 de la ley 1323 de  2012.</t>
  </si>
  <si>
    <t>Módulo de atención tipo carrito con sombrilla, ideal para eventos, ferias o puntos de venta itinerantes. Consta de una estructura rectangular en madera MDF o pino pintada en blanco, con molduras decorativas al frente y superficie superior en madera barnizada tipo cedro, resistente a la intemperie. Mide aproximadamente 1,20 m de ancho, 0,70 m de profundidad y 1,00 m de alto. Incorpora una sombrilla central desmontable de lona acrílica blanca con estructura metálica negra, de unos 2,5 metros de diámetro y 2,3 m de altura total, anclada en un orificio en la cubierta. El frente incluye un logotipo circular en acrílico o vinilo impreso. Es una solución estética y funcional para brindar atención al público bajo sombra, con posibilidad de incluir almacenamiento interno o ruedas según necesidad.</t>
  </si>
  <si>
    <t>Alquiler de Planta Eléctrica Diesel 75 KVA (capacidad para soportar luces, sonido del evento) incluido el combustible. Servicio por 24 horas. Entrega en sitio.</t>
  </si>
  <si>
    <t>Alquiler de Baños Portátiles (juego de 2 baños que incluyen mantenimiento y lavamanos) (por día) -  Incluye suministro de papel higiénico, bateria, limpieza, disposición para uso, transporte ida y regreso de las unidades, instalación y des instalación, armado e instalación en el sitio indicado por la entidad</t>
  </si>
  <si>
    <t>Alquiler Espacios Capacidad Máxima 80 Personas. Incluye mesas, sillas, video beam, sonido, baños, aseo, tableros</t>
  </si>
  <si>
    <t>Bolsa Navidad</t>
  </si>
  <si>
    <t xml:space="preserve">Prestamo de salon comunal (puede ser de una JAC o alcaldia) para ceremonia de clausura que se llevará el ultimo día de capacitación donde se llevara a cabo en un salón ubicado en la localidad de Antonio Nariño, dispuesto con mesas, sillas y equipo audiovisual para 130 personas, donde se entregarán certificados impresos con los logotipos de la Alcaldía Local de Antonio Nariño, y se mostrara evidencia fotográfica del proceso, este debe contener almuerzo para cada participante, Entrada, plato fuerte: 1 porción de carbohidrato, 1 porción de ensalada o verdura, proteína de 200gr, postre y bebida este debe ir servido a la mesa. </t>
  </si>
  <si>
    <t>Prestamo</t>
  </si>
  <si>
    <t>Incentivos para cada uno de los adultos mayores, los cuales seran entregados por medio de materiales para el producto que sera entregable (500.000 cada uno)</t>
  </si>
  <si>
    <t>PRESTAMO DE LUGAR - Un auditorio y/o en calidad de préstamo o alquiler, dispuesto para 60 personas, dotado con sillas, mesas, puntos de conexion, Wifi, equipo de audio, video y micrófono inalámbrico, este lugar debe estar dentro de la localidad
Nota: El préstamo del espacio se puede tramitar con alguna de las entidades distritales; de no ser posible el operador debe garantizar el espacio para la actividad
Nota: Congreso de duracion de 5 horas de duracion total. 
Nota: En caso de ser un espacio gestionado con la alcaldía o alguna institución que no genere costo, dicho valor no deberá ser cobrado.
Nota: El ejecutor deberá tener en cuenta los requisitos establecidos en el Sistema Único de Gestión para el Registro, Evaluación y Autorización de Actividades de Aglomeración de Publico en el Distrito Capital – SUGA, para la realización de las actividades cuando aplique, en concordancia con el artículo 42 de la ley 1323 de  2012.</t>
  </si>
  <si>
    <t xml:space="preserve">Alquiler de 2 bocinas amplificadas (activas) de 10 a 12 pulgadas  con potencia minima 1000 watts RMS cada una. </t>
  </si>
  <si>
    <t>Diseñador grafico con experiencia minima de 6 meses en creación de conceptos visuales,  aplicación de técnicas de diseño en diferentes plataformas.</t>
  </si>
  <si>
    <t>Bolsa navidad</t>
  </si>
  <si>
    <t>1 dia</t>
  </si>
  <si>
    <t>Alquiler Planta eléctrica 100 Kva  dia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</si>
  <si>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 xml:space="preserve">IMPRESIÓN, DISEÑO Y SOPORTE DE PENDON ARAÑA Forma Rectangular, Materiales: Baner 13 onzas, Largo x Ancho 180 cm x 80 cm Nota:   El Diseño sera presentado al comité tecnico de seguimiento y control, El pendon debe llevar los logos de la alcaldía, presupuestos participativos y la imágen del emprendimiento previamente acordados con el representante. </t>
  </si>
  <si>
    <t xml:space="preserve">ALQUILER DE PARQUE. Con caracteristicas específicas para la realización de una Feria para 100 personas. </t>
  </si>
  <si>
    <t>PLATAFORMA DE INSCRIPCION BENEFICIARIO GRATUITA El formulario de inscripción en la plataforma proporcionada por contratista de manera  virtual está dividido en dos secciones principales: Sección I - Información General y Sección II - Cargue de Documentos. A continuación, se detallan los instrumentos técnicos que respaldan el proceso de inscripción.
Sección 1- Información General
Datos básicos: Nombre de la Empresa, Fecha de inicio de actividad económica, si se encuentra o no registrado en cámara de comercio. Además, para acceder al programa NO es necesario tener registrada o renovada la Cámara de Comercio.
Datos básicos identificación: Nombres, Apellidos, Tipo y número de identificación. Se debe tener en cuenta que el representante legal, debe ser mayor de edad.
Datos básicos identificación poblacional: Fecha de nacimiento, sexo, genero, entre otros. Se debe tener en cuenta, que si el microempresario clasifica en alguna de estas categorías debe cargar documentos de soporte:
a) Condición de discapacidad: Debe cargar certificado de personas en situación de discapacidad generado por la Secretaría Distrital de Salud de Bogotá.
b) Población Indígena: Debe cargar certificado expedido por el Ministerio del Interior o por el Cabildo Indígena (según corresponda).
c) Víctima del conflicto armado: Debe cargar certificado expedido por la Unidad para la Atención y Reparación Integral a las Víctimas (UARIV).
d) Afrocolombianos, raizales y palenqueros : Debe Cargar certificado de auto reconocimiento expedido por el ministerio de interior
e) Comunidad LGBTIQ+: Documento donde se identifique como comunidad LGBTIQ+
f) Madres cabeza de Hogar: Documento donde se relacione las personas a cargo.
Datos básicos de contacto: Localidad en de donde se encuentra ubicado su empresa o negocio, dirección, barrio, teléfono y correo electrónico. La plataforma validará que efectivamente el microempresario esté registrado en la localidad de ANTONIO NARIÑO.
Cargue de documentos: Factura de servicio público del mes inmediatamente anterior, del domicilio principal donde se ejerce la actividad económica. La dirección del recibo público debe coincidir con la suministrada en el formulario de inscripción de la plataforma.
Listado de compromisos y términos y condiciones del programa.
Registro Único Tributario -RUT. ESTE DEBE REALIZARSE POR CADA META (5)</t>
  </si>
  <si>
    <t>plataforma gratuita</t>
  </si>
  <si>
    <t>Alquiler de parlante recargable de al menos 20W con micrófono inalámbrico para uso en espacio abierto.</t>
  </si>
  <si>
    <t xml:space="preserve">PRESTAMO de salon comunal (puede ser de una JAC o alcaldia) para ceremonia de clausura que se llevará el ultimo día de capacitación donde se llevara a cabo en un salón ubicado en la localidad de Antonio Nariño, dispuesto con mesas, sillas y equipo audiovisual para 100 personas, donde se entregarán certificados impresos con los logotipos de la Alcaldía Local de Antonio Nariño, y se mostrara evidencia fotográfica del proceso, este debe contener almuerzo para cada participante, Entrada, plato fuerte: 1 porción de carbohidrato, 1 porción de ensalada o verdura, proteína de 200gr, postre y bebida este debe ir servido a la mesa. </t>
  </si>
  <si>
    <t>Alquiler de Carpa 2 mts X 2 mts (por día) con laterales y soportes para carpa, armado e instalación en el sitio indicado por la entidad por dos dias</t>
  </si>
  <si>
    <t>Alquiler Mesa plástica cuadrada para 4  (alquiler, incluye disposición en el sitio del evento y transportes) por dos dias</t>
  </si>
  <si>
    <t>Alquiler de Sonido profesional asamblea (desde 51 hasta 200 personas) (incluye 4 cabinas estilo (bose L1), 1 o 2 retornos en tarima y 1 consola mínimo de 16 canales, con set básico de micrófonos conforme a los requerimientos del espacio y condiciones particulares del evento, así como, las cajas directas, cableado, cajas necesarias, cables de conexión, extensiones de canon y extensiones eléctricas. por dos dias</t>
  </si>
  <si>
    <t>Alquiler de Planta Eléctrica Diesel 75 KVA (capacidad para soportar luces, sonido del evento) incluido el combustible. Servicio por 24 horas. Entrega en sitio. Por dos dias</t>
  </si>
  <si>
    <t>SUGA (Permisos y seguridad plan de manejo feria con plan de contigencia, definicion y descripción del montaje del evento) por dos dias</t>
  </si>
  <si>
    <t>2 dias de Agrupaciones culturales de carácter profesional que maneje diferentes técnicas con una puesta en escena entre 45 - 60 minutos, deben ser de la localidad Antonio Nariño. (Un dia debe ser agrupación teatral y otro dia una agrupación musical y de danza)</t>
  </si>
  <si>
    <t>Número de Almuerzos</t>
  </si>
  <si>
    <t>N/A</t>
  </si>
  <si>
    <t>Par (2 bocinas)</t>
  </si>
  <si>
    <t>Alquiler de video beams 5000 lumens (incluye telón)</t>
  </si>
  <si>
    <t>Número de Profesionales</t>
  </si>
  <si>
    <t>Número de video beam</t>
  </si>
  <si>
    <t>Número de computadores</t>
  </si>
  <si>
    <t>Número Auditorios</t>
  </si>
  <si>
    <t>Número de boligrafos</t>
  </si>
  <si>
    <t>Número de entradas</t>
  </si>
  <si>
    <t>Número de botilitos</t>
  </si>
  <si>
    <t>Número de Piezas</t>
  </si>
  <si>
    <t>Número de Buses</t>
  </si>
  <si>
    <t>Número de servicio de estación</t>
  </si>
  <si>
    <t>Número de libretas</t>
  </si>
  <si>
    <t>Número de Certificados</t>
  </si>
  <si>
    <t>Número de incentivos</t>
  </si>
  <si>
    <t>Número de profesionales</t>
  </si>
  <si>
    <t>Número de Maestros de ceremonias</t>
  </si>
  <si>
    <t>Alquiler de Video beams 5000 lumens (incluye telón)</t>
  </si>
  <si>
    <t>Número de módulos</t>
  </si>
  <si>
    <t>6 horas de vigilancia</t>
  </si>
  <si>
    <t xml:space="preserve">4 turnos de 6 horas cada uno </t>
  </si>
  <si>
    <t>Número de sillas</t>
  </si>
  <si>
    <t>Número de sonido</t>
  </si>
  <si>
    <t>Número de planta electrica</t>
  </si>
  <si>
    <t>Número de escarapelas</t>
  </si>
  <si>
    <t>Número de días de permiso</t>
  </si>
  <si>
    <t>Número de juego de 2 baños</t>
  </si>
  <si>
    <t>Número de bachilleres</t>
  </si>
  <si>
    <t>Número de juegos</t>
  </si>
  <si>
    <t>Número de Salon Comunal</t>
  </si>
  <si>
    <t>Número de carpas</t>
  </si>
  <si>
    <t>Número de mesas</t>
  </si>
  <si>
    <t>Número de pendones</t>
  </si>
  <si>
    <t>Número de Suga</t>
  </si>
  <si>
    <t>Número de sistemas de iluminación</t>
  </si>
  <si>
    <t>Número agrupaciones</t>
  </si>
  <si>
    <t>Número de diseñador</t>
  </si>
  <si>
    <t>Número de gorras</t>
  </si>
  <si>
    <t>Número de aguas</t>
  </si>
  <si>
    <t>Número de parques</t>
  </si>
  <si>
    <t>Número de plataforma gratuita</t>
  </si>
  <si>
    <t>Número de refrigerios</t>
  </si>
  <si>
    <t>INICIATIVA</t>
  </si>
  <si>
    <t>IMPRESIÓN, DISEÑO Y SOPORTE DE PENDON ARAÑA Forma Rectangular, Materiales: Baner 13 onzas, Largo x Ancho 180 cm x 80 cm Nota:   El Diseño sera presentado al comité tecnico de seguimiento y control   El pendon debe contener el nombre del programa. Se solicita también la entrega del archivo digital editable, una versión en PDF lista para impresión y el letrero físico listo para su montaje, con el sistema de fijación apropiado según el lugar de instalación.</t>
  </si>
  <si>
    <t>ANTONIO NARIÑO 350 -  FDLAN-LP-003-2024 https://community.secop.gov.co/Public/Tendering/OpportunityDetail/Index?noticeUID=CO1.NTC.6324564&amp;isFromPublicArea=True&amp;isModal=False"</t>
  </si>
  <si>
    <t xml:space="preserve">2 dias (servio 4 horas por dia) </t>
  </si>
  <si>
    <t xml:space="preserve">Alquiler de Tarima Modular : Tarima de 10* 4 FDL SC 10 x 4 son 20 tableros de 2 x 10 se puede armar de 10 x 4 o de 8 x 5 ). Tarima Modular De 6m X 6m De Hasta 6m De Altura, De 1 A 4 Niveles, Sobretarimas, Con Faldones,
Escaleras Para El Acceso Y Rampa Para Discapacitados. Módulos De Tablero De 1,20m X 2,40m, 1,10m X 2,20m O En Medidas
Similares. Tarimas Utilizadas Para Eventos De Protocolo, Conciertos, Mesas Presidenciales.  Debe incluir techo que se adecue a las medidas Se Requiere Servicio De Montaje, TransporteY Desmontaje. </t>
  </si>
  <si>
    <t>Número de Tarimas</t>
  </si>
  <si>
    <t>Oferta economica 2024 AN Productiva. Feria.</t>
  </si>
  <si>
    <t>Maquinas</t>
  </si>
  <si>
    <t xml:space="preserve">MC-QDO-CDTCI-054-2024 en: https://community.secop.gov.co/Public/TEndering/OpportunityDetail/Index?noticeUID=CO1.NTC.6278723&amp;isFromPublicArea=True&amp;isModal=true&amp;asPopupView=true </t>
  </si>
  <si>
    <t>TOTAL</t>
  </si>
  <si>
    <t>19%%</t>
  </si>
  <si>
    <t>Silla plegable metálica, con asiento y respaldo acolchados. Diseño resistente, ergonómico y fácil de almacenar. Estructura: Tubo de acero de alta resistencia, acabado en pintura electrostática negra anticorrosiva.
Asiento y respaldo: Relleno de espuma de poliuretano de alta densidad, recubierto con vinilo o poliéster negro resistente al desgaste. Base del asiento: Madera contrachapada o estructura metálica con refuerzo. Patas: Con topes de goma antideslizantes para evitar deslizamientos y proteger el suelo.</t>
  </si>
  <si>
    <t>Resumen</t>
  </si>
  <si>
    <t>Deporte</t>
  </si>
  <si>
    <t>Emprendimiento</t>
  </si>
  <si>
    <t>Ambiente</t>
  </si>
  <si>
    <t>Total</t>
  </si>
  <si>
    <t>Valor</t>
  </si>
  <si>
    <t>Tecnólogo en áreas afines a las tecnologías de la información y la comunicación (TIC), ingeniería, pedagogía o carreras relacionadas, con certificación ITIL vigente y experiencia comprobada en mantenimiento y operación de equipos tecnológicos. Será responsable por un período de cinco (5) meses de la instalación, puesta en funcionamiento, acompañamiento operativo y posterior almacenamiento del aula TIC en carros transportadores, asegurando el correcto manejo de todos los componentes. Debe contar con formación en competencias digitales, manejo de plataformas institucionales y herramientas tecnológicas orientadas al servicio al ciudadano. Se requiere habilidad para orientar y acompañar a los usuarios finales, garantizando un trato inclusivo y adaptado al nivel de alfabetización digital de los beneficiarios. El perfil incluye manejo de sistemas de atención ciudadana, registro y trazabilidad de servicios, así como la capacidad para consolidar información operativa. Deberá elaborar reportes mensuales detallados sobre número de atenciones, tipo de servicios prestados, incidencias y oportunidades de mejora, además de liderar actividades formativas en habilidades TIC como talleres, capacitaciones y sesiones prácticas dirigidas a los usuarios del centro.</t>
  </si>
  <si>
    <t>Kits Setas Orellanas</t>
  </si>
  <si>
    <t>Micelio semilla estéril cultivada en aserrín o grano, son 30 bolsas de 60 gramos cada una.</t>
  </si>
  <si>
    <t>Aspersor Atomizador 500 ml</t>
  </si>
  <si>
    <t>Gafas transparentes de protección</t>
  </si>
  <si>
    <t>Bolsas</t>
  </si>
  <si>
    <t>Aspersor</t>
  </si>
  <si>
    <t>Respirador</t>
  </si>
  <si>
    <t>Gafas</t>
  </si>
  <si>
    <t>Bolsas  cada bolsa con 2 kg de sustrato pueden ser : paja  de arroz, trigo, centeno, girasol o cebada cualquiera de esas sirve.</t>
  </si>
  <si>
    <t>46182002
42131606</t>
  </si>
  <si>
    <t>https://operaciones.colombiacompra.gov.co/sites/cce_public/files/cce_update_purchase_order/modificacion_orden_compra_115328-2023.pdf?utm_source=chatgpt.com</t>
  </si>
  <si>
    <t>https://operaciones.colombiacompra.gov.co/tienda-virtual-del-estado-colombiano/ordenes-compra/130346</t>
  </si>
  <si>
    <t>https://operaciones.colombiacompra.gov.co/tienda-virtual-del-estado-colombiano/ordenes-compra/69712/2</t>
  </si>
  <si>
    <t xml:space="preserve">Respirador con filtro (tapabocas) para impedir la inhalación de contaminantes externos. Válvulas de exhalación e inhalación para una cómoda respiración con respectivos filtros de protección para uso de industria farmaceutica y agroquimicos. </t>
  </si>
  <si>
    <t>https://www.micelio.co/product-page/sustracoco-esteril?srsltid=AfmBOooacDbg_ZkpGsdSKnRtLTMg51XPXqfaXS13tFxzyEa9eX_itob5-Iw</t>
  </si>
  <si>
    <t>https://www.homecenter.com.co/homecenter-co/product/552193/sustrato-universal-2-kg/552193/</t>
  </si>
  <si>
    <t>Coordinador</t>
  </si>
  <si>
    <t>TIEMPO DE DEDICACIÓN</t>
  </si>
  <si>
    <t>7 meses</t>
  </si>
  <si>
    <t>Coordinador General Licitación</t>
  </si>
  <si>
    <t>Título Profesional en áreas de conocimiento: Ingeniera Forestal, Ingeniería Ambiental, Arquitectura, ingeniero agrónomo. Especialista en
áreas del conocimiento: Gestión de Proyectos y/o Paisajísticos y/o Ciencias Forestales y/o Ciencias Silviculturales, coberturas verdes, arbolado urbano.Experiencia General: De mínimo un (1) año, certificada en el
Campo profesional. Experiencia especifica de mínimo un (1) año en coordinación de proyectos de silvicultura o arborización urbana, coberturas verdes</t>
  </si>
  <si>
    <t>FACILITARO COMPONENTE</t>
  </si>
  <si>
    <t>FACILITADOR COMPONENTE</t>
  </si>
  <si>
    <t>4 clases de 5 horas durante 1 mes (1 clase por semana) de un profesional certificado en las áreas Inge-niería industrial, psicología, ciencias humanas, administración de empresas. Curso en ventas, marketing digital, diseño e innovación, habilidades blandas y componentes técnicos de la ejecución del producto artesanal. 
Un (1) año de experiencia 
Cada curso con su respectiva certificación.</t>
  </si>
  <si>
    <t>2 clases semanales de 5 horas cada clase, durante 1 mes de un  profesional  Psicólogo, pedagogo, trabajador social, licenciatura.
Curso que contenga técnicas de comunicación afectiva, trabajo en equipo, resolución de problemas y toma de decisiones, autoconfianza y autogestión, habilidades sociales, ética y responsabilidad para 50 personas. 
Un (1) año1 de experiencia
Con conocimientos en lenguaje de señas, lenguaje braille, Comunicación Aumentativa y Alternativa (CAA), Lenguaje Facilitado, Lenguaje No Verbal, Lenguaje Adaptado o Simplificado.</t>
  </si>
  <si>
    <t>FACILITADOR DEL COMPONENTE</t>
  </si>
  <si>
    <t>MESES DE FACILITADOR</t>
  </si>
  <si>
    <t xml:space="preserve"> </t>
  </si>
  <si>
    <t>Refrigerio tipo B, que contenga Sándwich con 200 gramos de proteína animal (jamón de cerdo, pollo o cordero) y queso o producto de pastelería, bebida entre 250 ml y 330 ml, fruta fresca y un dulce o golosina. **Debe incluir transporte de entrega a donde se requiera el elemento. El operador debe gestionar el prestamo del lugar donde se realizará el evento.</t>
  </si>
  <si>
    <t>Deben ser fabricados en tejido ligero de 65% algodón y 35% poliéster, para ser transpirable y ligero para permitir la movilidad. La chaqueta con cuello levantado (mao) y un pantalón ligero y holgado con cintura y tobillos elásticos. Las costuras deben estar reforzadas para resistir el desgaste. seran de diferentes tallas y colores por definir, tendrán los logotipos del FDLAN, las tallas se confirmaran cuando se realicen las primeras clases.</t>
  </si>
  <si>
    <t>Llevar a cabo 120 dias de instructor que dicte clases de hora y media (1,5) de Boxeo Se conformarán 10 grupos de 15 personas cada uno, con niños de 7 a 12 años y de 13 a 18 años, quienes recibirán 24 clases de 1,5 horas cada una en 5 puntos estrategicos de la localidad,, Las clases se realizarán de manera semanal a 10 grupos de novatos o principiantes, En cada sesión se entregará una botella de agua de 600 ml, en cada punto, en salones comunales o en espacios deportivos donde el contratista asumira el costo del alquiler. (6 meses de 1 instructor)</t>
  </si>
  <si>
    <t>Llevar a cabo 100 dias de clases, cada dia ,de 4 horas y media (4,5 horas) de Taekwondo, kickboxing y defensa personal  para 3 tipos grupos etarios novatos o principiantes de 6 a 10 años, de 11 a 17 años y mayores de 18 años. Las clases se realizarán de manera semanal (20) para cada grupo, en 5 puntos de la localidad, en salones comunales o en espacios deportivos donde el contratista asumira el costo del alquiler. En el momento de la inscripción se determinara las tallas de los uniformes a entregar. (6 meses de 1 instructor)</t>
  </si>
  <si>
    <t>Llevar a cabo 72 dias de clases de hora y media (4,5) de tai chi,  3 instructores por dia, para 5 grupos de 20 personas, las 24 clases se realizarán de manera semanal para cada grupo, en 5 puntos de la localidad, para un grupo de novatos o principiantes, en cada punto, en salones comunales o en espacios deportivos donde el contratista asumira el costo del alquiler. (6 meses de 3 instructores)</t>
  </si>
  <si>
    <t>Llevar a cabo 25 dias de clases de 2 horas de tai chi para un grupo de 20 personas, Las clases se realizarán de manera semanal para el grupo, en un punto central de la localidad, serán clases para formador de formadores, en un salón comunal o en un salón apto para esta labor, donde el contratista asumira el costo del alquiler. (6 meses de 1 instructor)</t>
  </si>
  <si>
    <t xml:space="preserve">OBJETO:  PRESTAR LOS SERVICIOS ESPECIALIZADOS EN LA ORGANIZACIÓN DE ACTIVIDADES PARA LA PROMOCION EN LA GESTION AMBIENTAL, RECREODEPORTIVA, EMPRESARIAL Y DE LAS TECNOLOGIAS DE LA INFORMACION Y LA COMUNICACIÓN EN LA LOCALIDAD DE ANTONIO NARIÑO VIGENCIA 2025”
</t>
  </si>
  <si>
    <t xml:space="preserve">"OBJETO:  PRESTAR LOS SERVICIOS ESPECIALIZADOS EN LA ORGANIZACIÓN DE ACTIVIDADES PARA LA PROMOCION EN LA GESTION AMBIENTAL, RECREODEPORTIVA, EMPRESARIAL Y DE LAS TECNOLOGIAS DE LA INFORMACION Y LA COMUNICACIÓN EN LA LOCALIDAD DE ANTONIO NARIÑO VIGENCIA 2025”
"										</t>
  </si>
  <si>
    <t>COORDNADO GENERAL - Profesional en ciencias sociales o ciencias administrativas o ciencias económicas, o ciencias de la educación o ciencias humanas o ingeniería.
Con Tarjeta Profesional y Posgrado en áreas afines.
Certificar mínimo cinco (5) años de experiencia profesional.</t>
  </si>
  <si>
    <t xml:space="preserve">  8 clases mensuales, cada clase de 5 horas, por 4 meses de un profesional, técnico o tecnólogo en diseño de modas, confección textil o carreras afines, licenciatura o estudio en artes apli-cadas, ciencias humanas o ciencias de las artes
Con experiencia en técnicas de confección, diseño de patrones y corte de ropa, técnicas de acabados y detalles, costura para reparaciones y ajustes, costura para emprendedores, sostenibilidad de las cos-turas para 260 personas.
un (1) años de experiencia. 
Cada curso con su respectiva certificación.</t>
  </si>
  <si>
    <t>Incentivos con todos los impuestos incluidos para los materiales de cada emprendimiento, los emprendimientos deberan enviar un listado al operador con los materiales que requieren para la feria de 2 millones de pesos 2.000.000</t>
  </si>
  <si>
    <t>7 meses de un profesional en ingeniería, ciencias sociales, ciencias humanas, ciencias administrativas, ciencias económicas en gerencia de proyectos o gerencia de mercadeo o
gerencia de empresas o gerencia de la cadena de abastecimiento o gerencia de marketing.
un año de Experiencia Profesional de conformidad
con el artículo 2.2.2.3.8. del Decreto 1083 de 2015.
(Tarjeta Profesional cuando aplique)</t>
  </si>
  <si>
    <t>Prestamo LUGAR - Un auditorio y/o en calidad de préstamo o alquiler, dispuesto para 70 personas, dotado con sillas, mesas, puntos de conexion, Wifi, equipo de audio, video y micrófono inalámbrico, este lugar debe estar dentro de la localidad
Nota: El préstamo del espacio se puede tramitar con alguna de las entidades distritales; de no ser posible el operador debe garantizar el espacio para la actividad
Nota: Congreso de duracion de 5 horas de duracion total. 
Nota: En caso de ser un espacio gestionado con la alcaldía o alguna institución que no genere costo, dicho valor no deberá ser cobrado.
Nota: El ejecutor deberá tener en cuenta los requisitos establecidos en el Sistema Único de Gestión para el Registro, Evaluación y Autorización de Actividades de Aglomeración de Publico en el Distrito Capital – SUGA, para la realización de las actividades cuando aplique, en concordancia con el artículo 42 de la ley 1323 de  2012.</t>
  </si>
  <si>
    <t xml:space="preserve">Incentivos para cada uno de los emprendimientos, los cuales seran entregados por medio de materiales para el producto que sera entregable (El promotor@ hace acompañamiento) 2.000.000 cada uno. </t>
  </si>
  <si>
    <t xml:space="preserve">Alquiler 10 maquinas de coser, con duración de 4 meses. 
2 maquina plana
2 máquinas fileteadora
1 maquina corte </t>
  </si>
  <si>
    <t>INSUMO</t>
  </si>
  <si>
    <t>Fertilización edáfica: Aplicación de fertilizantes químicos y/o orgánicos de acuerdo con los requerimientos nutricionales de los árboles.</t>
  </si>
  <si>
    <t>Retutorado: Brindar soporte a los individuos arbóreos por medio de anillos o estacas para que las plantas puedan crecer adecuadamente.</t>
  </si>
  <si>
    <t>Adición de sustrato: Aplicación de sustratos con nutrientes para el crecimiento de las especies vegetales. Se recomienda adicionar 0,20 m3 por árbol</t>
  </si>
  <si>
    <t>Manejo de desechos: Recolección de material de desecho producto de la actividad de mantenimiento de árboles, garantizando su adecuada disposición</t>
  </si>
  <si>
    <t xml:space="preserve">Planteo Inicial: Retiro de plantas invasoras (arvenses) y la remoción de materiales extraños en un área de un (1) metro cuadrado de la base de los árboles. </t>
  </si>
  <si>
    <t>Planteo Habitual: Remisión de materiales extraños en un área de un (1) metro cuadrado de la base de los árboles</t>
  </si>
  <si>
    <r>
      <t xml:space="preserve">NOTA: </t>
    </r>
    <r>
      <rPr>
        <b/>
        <i/>
        <sz val="11"/>
        <color rgb="FF000000"/>
        <rFont val="Garamond"/>
        <family val="1"/>
      </rPr>
      <t>EL COMPONENTE DE ARBOLADO, DEBE SER EJECUTADO A MONTO AGOTABLE, CUMPLIENDO CON LAS ESPECIFICACIONES DE EJECUCIÓN DESCRITAR EN EL DOCUMENTO DENOMINADO "ANEXO TÉCNICO" EL CUAL HACE PARTE INTEGRAL DEL PRESENTE CONTRATO A CELEBRAR.</t>
    </r>
  </si>
  <si>
    <t>EJECUTAR A MONTO AGOTABLE EL COMPONENTE DE ACUERDO AL VALOR TOTAL ASIGNADO PARA SU EJECUCIÓN</t>
  </si>
  <si>
    <t>Bachiller.
Experiencia general: Al menos seis (6) meses en actividades relacionadas con el mantenimiento de arbolado urbano, incluyendo labores de poda, control de ramas, limpieza de residuos vegetales y/o conservación de árboles.
Requisitos adicionales: El operario deberá contar con los implementos básicos para la ejecución de las actividades, tales como tijeras de poda, palín con cabo, serrote de poda, guantes de protección y rastrillo.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</si>
</sst>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4" formatCode="_-&quot;$&quot;\ * #,##0.00_-;\-&quot;$&quot;\ * #,##0.00_-;_-&quot;$&quot;\ * &quot;-&quot;??_-;_-@_-"/>
    <numFmt numFmtId="164" formatCode="&quot;$&quot;\ #,##0"/>
    <numFmt numFmtId="165" formatCode="_-&quot;$&quot;\ * #,##0_-;\-&quot;$&quot;\ * #,##0_-;_-&quot;$&quot;\ * &quot;-&quot;??_-;_-@_-"/>
    <numFmt numFmtId="166" formatCode="_-[$$-409]* #,##0_ ;_-[$$-409]* \-#,##0\ ;_-[$$-409]* &quot;-&quot;??_ ;_-@_ "/>
    <numFmt numFmtId="167" formatCode="_ &quot;$&quot;\ * #,##0_ ;_ &quot;$&quot;\ * \-#,##0_ ;_ &quot;$&quot;\ * &quot;-&quot;_ ;_ @_ "/>
    <numFmt numFmtId="168" formatCode="&quot;$&quot;\ #,##0.00"/>
    <numFmt numFmtId="169" formatCode="_-[$$-409]* #,##0.0_ ;_-[$$-409]* \-#,##0.0\ ;_-[$$-409]* &quot;-&quot;??_ ;_-@_ "/>
    <numFmt numFmtId="170" formatCode="_-[$$-409]* #,##0.00_ ;_-[$$-409]* \-#,##0.00\ ;_-[$$-409]* &quot;-&quot;??_ ;_-@_ "/>
    <numFmt numFmtId="171" formatCode="_-[$$-240A]\ * #,##0_-;\-[$$-240A]\ * #,##0_-;_-[$$-240A]\ * &quot;-&quot;??_-;_-@_-"/>
    <numFmt numFmtId="172" formatCode="_-&quot;$&quot;\ * #,##0.00_-;\-&quot;$&quot;\ * #,##0.00_-;_-&quot;$&quot;\ * &quot;-&quot;_-;_-@_-"/>
    <numFmt numFmtId="173" formatCode="_-&quot;$&quot;* #,##0.00_-;\-&quot;$&quot;* #,##0.00_-;_-&quot;$&quot;* &quot;-&quot;??_-;_-@_-"/>
  </numFmts>
  <fonts count="27" x14ac:knownFonts="1">
    <font>
      <sz val="11"/>
      <color theme="1"/>
      <name val="Aptos Narrow"/>
      <family val="2"/>
      <scheme val="minor"/>
    </font>
    <font>
      <sz val="11"/>
      <color theme="1"/>
      <name val="Aptos Narrow"/>
      <family val="2"/>
      <scheme val="minor"/>
    </font>
    <font>
      <sz val="11"/>
      <name val="Garamond"/>
      <family val="1"/>
    </font>
    <font>
      <sz val="10"/>
      <name val="Arial"/>
      <family val="2"/>
    </font>
    <font>
      <sz val="12"/>
      <name val="Garamond"/>
      <family val="1"/>
    </font>
    <font>
      <u/>
      <sz val="11"/>
      <color theme="10"/>
      <name val="Aptos Narrow"/>
      <family val="2"/>
      <scheme val="minor"/>
    </font>
    <font>
      <b/>
      <sz val="11"/>
      <color rgb="FF000000"/>
      <name val="Garamond"/>
      <family val="1"/>
    </font>
    <font>
      <b/>
      <sz val="11"/>
      <color theme="1"/>
      <name val="Garamond"/>
      <family val="1"/>
    </font>
    <font>
      <b/>
      <sz val="11"/>
      <name val="Garamond"/>
      <family val="1"/>
    </font>
    <font>
      <b/>
      <sz val="16"/>
      <color theme="1"/>
      <name val="Garamond"/>
      <family val="1"/>
    </font>
    <font>
      <sz val="11"/>
      <color rgb="FF000000"/>
      <name val="Garamond"/>
      <family val="1"/>
    </font>
    <font>
      <u/>
      <sz val="11"/>
      <color theme="10"/>
      <name val="Garamond"/>
      <family val="1"/>
    </font>
    <font>
      <sz val="11"/>
      <color rgb="FF404040"/>
      <name val="Garamond"/>
      <family val="1"/>
    </font>
    <font>
      <sz val="11"/>
      <color theme="1"/>
      <name val="Garamond"/>
      <family val="1"/>
    </font>
    <font>
      <u/>
      <sz val="12"/>
      <color theme="10"/>
      <name val="Aptos Narrow"/>
      <family val="2"/>
      <scheme val="minor"/>
    </font>
    <font>
      <sz val="11"/>
      <color theme="1" tint="0.249977111117893"/>
      <name val="Garamond"/>
      <family val="1"/>
    </font>
    <font>
      <sz val="11"/>
      <color theme="4"/>
      <name val="Garamond"/>
      <family val="1"/>
    </font>
    <font>
      <b/>
      <sz val="11"/>
      <color theme="0"/>
      <name val="Garamond"/>
      <family val="1"/>
    </font>
    <font>
      <u/>
      <sz val="11"/>
      <color theme="4"/>
      <name val="Garamond"/>
      <family val="1"/>
    </font>
    <font>
      <sz val="11"/>
      <color theme="10"/>
      <name val="Garamond"/>
      <family val="1"/>
    </font>
    <font>
      <b/>
      <sz val="22"/>
      <name val="Garamond"/>
      <family val="1"/>
    </font>
    <font>
      <b/>
      <sz val="11"/>
      <color theme="1"/>
      <name val="Aptos Narrow"/>
      <scheme val="minor"/>
    </font>
    <font>
      <sz val="11"/>
      <color theme="1"/>
      <name val="Aptos Narrow"/>
      <scheme val="minor"/>
    </font>
    <font>
      <sz val="9"/>
      <color theme="1"/>
      <name val="Helvetica"/>
      <family val="2"/>
    </font>
    <font>
      <sz val="10"/>
      <color theme="1"/>
      <name val="Arial"/>
      <family val="2"/>
    </font>
    <font>
      <sz val="12"/>
      <color theme="1"/>
      <name val="Garamond"/>
      <family val="1"/>
    </font>
    <font>
      <b/>
      <i/>
      <sz val="11"/>
      <color rgb="FF000000"/>
      <name val="Garamond"/>
      <family val="1"/>
    </font>
  </fonts>
  <fills count="14">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1" tint="0.249977111117893"/>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1" tint="0.34998626667073579"/>
        <bgColor indexed="64"/>
      </patternFill>
    </fill>
    <fill>
      <patternFill patternType="solid">
        <fgColor theme="1" tint="0.34998626667073579"/>
        <bgColor rgb="FFFFC000"/>
      </patternFill>
    </fill>
    <fill>
      <patternFill patternType="solid">
        <fgColor theme="5" tint="0.7999816888943144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style="thin">
        <color rgb="FF000000"/>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rgb="FF505050"/>
      </left>
      <right/>
      <top style="thin">
        <color rgb="FF505050"/>
      </top>
      <bottom style="thin">
        <color rgb="FF505050"/>
      </bottom>
      <diagonal/>
    </border>
    <border>
      <left style="medium">
        <color indexed="64"/>
      </left>
      <right style="medium">
        <color indexed="64"/>
      </right>
      <top/>
      <bottom style="thin">
        <color indexed="64"/>
      </bottom>
      <diagonal/>
    </border>
    <border>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0">
    <xf numFmtId="0" fontId="0" fillId="0" borderId="0"/>
    <xf numFmtId="44" fontId="1" fillId="0" borderId="0" applyFont="0" applyFill="0" applyBorder="0" applyAlignment="0" applyProtection="0"/>
    <xf numFmtId="42" fontId="1" fillId="0" borderId="0" applyFont="0" applyFill="0" applyBorder="0" applyAlignment="0" applyProtection="0"/>
    <xf numFmtId="0" fontId="1" fillId="0" borderId="0"/>
    <xf numFmtId="167" fontId="3" fillId="0" borderId="0" applyFont="0" applyFill="0" applyBorder="0" applyAlignment="0" applyProtection="0"/>
    <xf numFmtId="0" fontId="3" fillId="0" borderId="0"/>
    <xf numFmtId="0" fontId="5" fillId="0" borderId="0" applyNumberFormat="0" applyFill="0" applyBorder="0" applyAlignment="0" applyProtection="0"/>
    <xf numFmtId="0" fontId="14" fillId="0" borderId="0" applyNumberFormat="0" applyFill="0" applyBorder="0" applyAlignment="0" applyProtection="0"/>
    <xf numFmtId="9" fontId="1" fillId="0" borderId="0" applyFont="0" applyFill="0" applyBorder="0" applyAlignment="0" applyProtection="0"/>
    <xf numFmtId="173" fontId="24" fillId="0" borderId="0" applyFont="0" applyFill="0" applyBorder="0" applyAlignment="0" applyProtection="0"/>
  </cellStyleXfs>
  <cellXfs count="292">
    <xf numFmtId="0" fontId="0" fillId="0" borderId="0" xfId="0"/>
    <xf numFmtId="42" fontId="2" fillId="0" borderId="1" xfId="2" applyFont="1" applyFill="1" applyBorder="1" applyAlignment="1">
      <alignment vertical="center" wrapText="1"/>
    </xf>
    <xf numFmtId="0" fontId="0" fillId="0" borderId="0" xfId="0" applyAlignment="1">
      <alignment vertical="center"/>
    </xf>
    <xf numFmtId="3" fontId="6" fillId="4" borderId="6" xfId="0" applyNumberFormat="1"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164" fontId="4" fillId="0" borderId="1" xfId="2" applyNumberFormat="1" applyFont="1" applyBorder="1" applyAlignment="1">
      <alignment horizontal="center" vertical="center"/>
    </xf>
    <xf numFmtId="164" fontId="4" fillId="2" borderId="1" xfId="2" applyNumberFormat="1" applyFont="1" applyFill="1" applyBorder="1" applyAlignment="1">
      <alignment horizontal="center" vertical="center"/>
    </xf>
    <xf numFmtId="3" fontId="6" fillId="4" borderId="17" xfId="0" applyNumberFormat="1" applyFont="1" applyFill="1" applyBorder="1" applyAlignment="1">
      <alignment horizontal="center" vertical="center" wrapText="1"/>
    </xf>
    <xf numFmtId="0" fontId="6" fillId="4" borderId="3" xfId="0" applyFont="1" applyFill="1" applyBorder="1" applyAlignment="1">
      <alignment vertical="center" wrapText="1"/>
    </xf>
    <xf numFmtId="0" fontId="10" fillId="0" borderId="1" xfId="0" applyFont="1" applyBorder="1" applyAlignment="1">
      <alignment vertical="center" wrapText="1"/>
    </xf>
    <xf numFmtId="0" fontId="5" fillId="0" borderId="1" xfId="6" applyBorder="1" applyAlignment="1">
      <alignment vertical="center" wrapText="1"/>
    </xf>
    <xf numFmtId="42" fontId="2" fillId="0" borderId="1" xfId="0" applyNumberFormat="1" applyFont="1" applyBorder="1" applyAlignment="1">
      <alignment horizontal="right" vertical="center" wrapText="1"/>
    </xf>
    <xf numFmtId="42" fontId="2" fillId="0" borderId="1" xfId="0" applyNumberFormat="1" applyFont="1" applyBorder="1" applyAlignment="1">
      <alignment vertical="center" wrapText="1"/>
    </xf>
    <xf numFmtId="164" fontId="2" fillId="0" borderId="1" xfId="0" applyNumberFormat="1" applyFont="1" applyBorder="1" applyAlignment="1">
      <alignment horizontal="right" vertical="center" wrapText="1"/>
    </xf>
    <xf numFmtId="0" fontId="11" fillId="0" borderId="1" xfId="6" applyFont="1" applyFill="1" applyBorder="1" applyAlignment="1">
      <alignment vertical="center" wrapText="1"/>
    </xf>
    <xf numFmtId="168" fontId="10" fillId="0" borderId="1" xfId="0" applyNumberFormat="1" applyFont="1" applyBorder="1" applyAlignment="1">
      <alignment vertical="center" wrapText="1"/>
    </xf>
    <xf numFmtId="0" fontId="12" fillId="0" borderId="1" xfId="0" applyFont="1" applyBorder="1" applyAlignment="1">
      <alignment vertical="center" wrapText="1"/>
    </xf>
    <xf numFmtId="0" fontId="10"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4" xfId="0" applyFont="1" applyBorder="1" applyAlignment="1">
      <alignment vertical="center" wrapText="1"/>
    </xf>
    <xf numFmtId="0" fontId="13" fillId="0" borderId="1" xfId="0" applyFont="1" applyBorder="1" applyAlignment="1">
      <alignment vertical="center" wrapText="1"/>
    </xf>
    <xf numFmtId="1" fontId="2" fillId="0" borderId="1" xfId="0" applyNumberFormat="1" applyFont="1" applyBorder="1" applyAlignment="1">
      <alignment horizontal="center" vertical="center" wrapText="1"/>
    </xf>
    <xf numFmtId="0" fontId="13" fillId="0" borderId="1" xfId="7" applyFont="1" applyFill="1" applyBorder="1" applyAlignment="1">
      <alignment vertical="center" wrapText="1"/>
    </xf>
    <xf numFmtId="169" fontId="2" fillId="0" borderId="1" xfId="2" applyNumberFormat="1" applyFont="1" applyFill="1" applyBorder="1" applyAlignment="1">
      <alignment horizontal="right" vertical="center" wrapText="1"/>
    </xf>
    <xf numFmtId="169" fontId="2" fillId="0" borderId="15" xfId="2" applyNumberFormat="1" applyFont="1" applyFill="1" applyBorder="1" applyAlignment="1">
      <alignment horizontal="right" vertical="center" wrapText="1"/>
    </xf>
    <xf numFmtId="42" fontId="2" fillId="0" borderId="15" xfId="2" applyFont="1" applyFill="1" applyBorder="1" applyAlignment="1">
      <alignment vertical="center" wrapText="1"/>
    </xf>
    <xf numFmtId="0" fontId="2" fillId="0" borderId="15" xfId="0" applyFont="1" applyBorder="1" applyAlignment="1">
      <alignment horizontal="center" vertical="center" wrapText="1"/>
    </xf>
    <xf numFmtId="0" fontId="13" fillId="0" borderId="15" xfId="7" applyFont="1" applyFill="1" applyBorder="1" applyAlignment="1">
      <alignment vertical="center" wrapText="1"/>
    </xf>
    <xf numFmtId="0" fontId="2" fillId="0" borderId="15" xfId="0" applyFont="1" applyBorder="1" applyAlignment="1">
      <alignment vertical="center" wrapText="1"/>
    </xf>
    <xf numFmtId="0" fontId="6" fillId="4" borderId="22" xfId="0" applyFont="1" applyFill="1" applyBorder="1" applyAlignment="1">
      <alignment vertical="center" wrapText="1"/>
    </xf>
    <xf numFmtId="42" fontId="2" fillId="0" borderId="1" xfId="2" applyFont="1" applyBorder="1" applyAlignment="1">
      <alignment vertical="center" wrapText="1"/>
    </xf>
    <xf numFmtId="164" fontId="2" fillId="0" borderId="1" xfId="0" applyNumberFormat="1" applyFont="1" applyBorder="1" applyAlignment="1">
      <alignment vertical="center" wrapText="1"/>
    </xf>
    <xf numFmtId="170" fontId="2" fillId="0" borderId="1" xfId="0" applyNumberFormat="1" applyFont="1" applyBorder="1" applyAlignment="1">
      <alignment vertical="center" wrapText="1"/>
    </xf>
    <xf numFmtId="168" fontId="2" fillId="0" borderId="14" xfId="2" applyNumberFormat="1" applyFont="1" applyFill="1" applyBorder="1" applyAlignment="1">
      <alignment vertical="center" wrapText="1"/>
    </xf>
    <xf numFmtId="0" fontId="13" fillId="0" borderId="15" xfId="0" applyFont="1" applyBorder="1" applyAlignment="1">
      <alignment vertical="center" wrapText="1"/>
    </xf>
    <xf numFmtId="0" fontId="6" fillId="4" borderId="16" xfId="0" applyFont="1" applyFill="1" applyBorder="1" applyAlignment="1">
      <alignment vertical="center" wrapText="1"/>
    </xf>
    <xf numFmtId="0" fontId="6" fillId="4" borderId="23" xfId="0" applyFont="1" applyFill="1" applyBorder="1" applyAlignment="1">
      <alignment vertical="center" wrapText="1"/>
    </xf>
    <xf numFmtId="0" fontId="13" fillId="0" borderId="0" xfId="0" applyFont="1" applyAlignment="1">
      <alignment vertical="center"/>
    </xf>
    <xf numFmtId="0" fontId="2" fillId="2" borderId="1" xfId="3"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1" applyNumberFormat="1" applyFont="1" applyFill="1" applyBorder="1" applyAlignment="1">
      <alignment horizontal="center" vertical="center" wrapText="1"/>
    </xf>
    <xf numFmtId="0" fontId="13" fillId="0" borderId="0" xfId="0" applyFont="1"/>
    <xf numFmtId="165" fontId="13" fillId="0" borderId="1" xfId="1" applyNumberFormat="1" applyFont="1" applyBorder="1" applyAlignment="1">
      <alignment horizontal="center" vertical="center"/>
    </xf>
    <xf numFmtId="0" fontId="2" fillId="2" borderId="0" xfId="3" applyFont="1" applyFill="1"/>
    <xf numFmtId="0" fontId="2" fillId="2" borderId="1" xfId="5" applyFont="1" applyFill="1" applyBorder="1" applyAlignment="1">
      <alignment horizontal="center" vertical="center" wrapText="1"/>
    </xf>
    <xf numFmtId="0" fontId="2" fillId="0" borderId="0" xfId="3" applyFont="1"/>
    <xf numFmtId="0" fontId="16" fillId="0" borderId="1" xfId="0" applyFont="1" applyBorder="1" applyAlignment="1">
      <alignment horizontal="center" vertical="center" wrapText="1"/>
    </xf>
    <xf numFmtId="165" fontId="13" fillId="2" borderId="1" xfId="1" applyNumberFormat="1" applyFont="1" applyFill="1" applyBorder="1" applyAlignment="1">
      <alignment horizontal="center" vertical="center" wrapText="1"/>
    </xf>
    <xf numFmtId="165" fontId="13" fillId="0" borderId="1" xfId="1" applyNumberFormat="1" applyFont="1" applyBorder="1" applyAlignment="1">
      <alignment horizontal="center" vertical="center" wrapText="1"/>
    </xf>
    <xf numFmtId="165" fontId="13" fillId="0" borderId="1" xfId="0" applyNumberFormat="1" applyFont="1" applyBorder="1" applyAlignment="1">
      <alignment horizontal="center" vertical="center" wrapText="1"/>
    </xf>
    <xf numFmtId="42" fontId="2" fillId="0" borderId="1" xfId="2" applyFont="1" applyFill="1" applyBorder="1" applyAlignment="1">
      <alignment horizontal="center" vertical="center"/>
    </xf>
    <xf numFmtId="0" fontId="13" fillId="0" borderId="0" xfId="0" applyFont="1" applyAlignment="1">
      <alignment horizontal="center" vertical="center"/>
    </xf>
    <xf numFmtId="42" fontId="2" fillId="2" borderId="1" xfId="2" applyFont="1" applyFill="1" applyBorder="1" applyAlignment="1">
      <alignment horizontal="center" vertical="center"/>
    </xf>
    <xf numFmtId="164" fontId="2" fillId="2" borderId="1" xfId="2" applyNumberFormat="1" applyFont="1" applyFill="1" applyBorder="1" applyAlignment="1">
      <alignment horizontal="center" vertical="center"/>
    </xf>
    <xf numFmtId="164" fontId="2" fillId="0" borderId="1" xfId="2" applyNumberFormat="1" applyFont="1" applyBorder="1" applyAlignment="1">
      <alignment horizontal="center" vertical="center"/>
    </xf>
    <xf numFmtId="0" fontId="6" fillId="3" borderId="3" xfId="0" applyFont="1" applyFill="1" applyBorder="1" applyAlignment="1">
      <alignment vertical="center" wrapText="1"/>
    </xf>
    <xf numFmtId="0" fontId="16"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9" fontId="2" fillId="0" borderId="15" xfId="2" applyNumberFormat="1" applyFont="1" applyBorder="1" applyAlignment="1">
      <alignment horizontal="center" vertical="center"/>
    </xf>
    <xf numFmtId="42" fontId="16" fillId="0" borderId="1" xfId="2" applyFont="1" applyBorder="1" applyAlignment="1">
      <alignment horizontal="center" vertical="center" wrapText="1"/>
    </xf>
    <xf numFmtId="9" fontId="2" fillId="0" borderId="1" xfId="2" applyNumberFormat="1" applyFont="1" applyBorder="1" applyAlignment="1">
      <alignment horizontal="center"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9" fontId="2" fillId="2" borderId="1" xfId="2" applyNumberFormat="1" applyFont="1" applyFill="1" applyBorder="1" applyAlignment="1">
      <alignment horizontal="center" vertical="center"/>
    </xf>
    <xf numFmtId="0" fontId="16" fillId="0" borderId="1" xfId="6" applyFont="1" applyBorder="1" applyAlignment="1">
      <alignment horizontal="center" vertical="center" wrapText="1"/>
    </xf>
    <xf numFmtId="42" fontId="16" fillId="2" borderId="1" xfId="2" applyFont="1" applyFill="1" applyBorder="1" applyAlignment="1">
      <alignment horizontal="center" vertical="center" wrapText="1"/>
    </xf>
    <xf numFmtId="0" fontId="18" fillId="0" borderId="1" xfId="6" applyFont="1" applyBorder="1" applyAlignment="1">
      <alignment horizontal="center" vertical="center" wrapText="1"/>
    </xf>
    <xf numFmtId="164" fontId="2" fillId="0" borderId="14" xfId="2" applyNumberFormat="1"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164" fontId="2" fillId="0" borderId="0" xfId="0" applyNumberFormat="1" applyFont="1" applyAlignment="1">
      <alignment horizontal="center" vertical="center"/>
    </xf>
    <xf numFmtId="0" fontId="13" fillId="0" borderId="1" xfId="0" applyFont="1" applyBorder="1"/>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 xfId="7" applyFont="1" applyFill="1" applyBorder="1" applyAlignment="1">
      <alignment horizontal="center" vertical="center" wrapText="1"/>
    </xf>
    <xf numFmtId="42" fontId="0" fillId="0" borderId="1" xfId="0" applyNumberFormat="1" applyBorder="1"/>
    <xf numFmtId="0" fontId="0" fillId="0" borderId="1" xfId="0" applyBorder="1" applyAlignment="1">
      <alignment vertical="center"/>
    </xf>
    <xf numFmtId="0" fontId="13" fillId="0" borderId="0" xfId="0" applyFont="1" applyAlignment="1">
      <alignment wrapText="1"/>
    </xf>
    <xf numFmtId="0" fontId="13" fillId="0" borderId="1" xfId="0" applyFont="1" applyBorder="1" applyAlignment="1">
      <alignment horizontal="center" vertical="center"/>
    </xf>
    <xf numFmtId="0" fontId="17" fillId="12" borderId="15" xfId="0" applyFont="1" applyFill="1" applyBorder="1" applyAlignment="1">
      <alignment horizontal="center" vertical="center" wrapText="1"/>
    </xf>
    <xf numFmtId="3" fontId="17" fillId="12" borderId="1" xfId="0" applyNumberFormat="1" applyFont="1" applyFill="1" applyBorder="1" applyAlignment="1">
      <alignment horizontal="center" vertical="center" wrapText="1"/>
    </xf>
    <xf numFmtId="3" fontId="17" fillId="12" borderId="31" xfId="0" applyNumberFormat="1" applyFont="1" applyFill="1" applyBorder="1" applyAlignment="1">
      <alignment horizontal="center" vertical="center" wrapText="1"/>
    </xf>
    <xf numFmtId="9" fontId="2" fillId="0" borderId="1" xfId="2" applyNumberFormat="1" applyFont="1" applyFill="1" applyBorder="1" applyAlignment="1">
      <alignment horizontal="center" vertical="center"/>
    </xf>
    <xf numFmtId="9" fontId="2" fillId="0" borderId="1" xfId="8" applyFont="1" applyBorder="1" applyAlignment="1">
      <alignment horizontal="center" vertical="center"/>
    </xf>
    <xf numFmtId="171" fontId="13" fillId="0" borderId="1" xfId="0" applyNumberFormat="1" applyFont="1" applyBorder="1" applyAlignment="1">
      <alignment horizontal="center" vertical="center"/>
    </xf>
    <xf numFmtId="9" fontId="13" fillId="0" borderId="1" xfId="8" applyFont="1" applyFill="1" applyBorder="1" applyAlignment="1">
      <alignment horizontal="center" vertical="center"/>
    </xf>
    <xf numFmtId="0" fontId="2" fillId="0" borderId="35" xfId="0" applyFont="1" applyBorder="1" applyAlignment="1">
      <alignment horizontal="center" vertical="center"/>
    </xf>
    <xf numFmtId="0" fontId="2" fillId="0" borderId="31" xfId="0" applyFont="1" applyBorder="1" applyAlignment="1">
      <alignment horizontal="center" vertical="center"/>
    </xf>
    <xf numFmtId="0" fontId="13" fillId="0" borderId="31" xfId="0" applyFont="1" applyBorder="1" applyAlignment="1">
      <alignment horizontal="center" vertical="center"/>
    </xf>
    <xf numFmtId="171" fontId="13" fillId="0" borderId="1" xfId="0" applyNumberFormat="1" applyFont="1" applyBorder="1" applyAlignment="1">
      <alignment vertical="center"/>
    </xf>
    <xf numFmtId="42" fontId="13" fillId="0" borderId="1" xfId="2" applyFont="1" applyBorder="1" applyAlignment="1">
      <alignment vertical="center"/>
    </xf>
    <xf numFmtId="42" fontId="13" fillId="0" borderId="1" xfId="0" applyNumberFormat="1" applyFont="1" applyBorder="1" applyAlignment="1">
      <alignment vertical="center"/>
    </xf>
    <xf numFmtId="42" fontId="13" fillId="0" borderId="1" xfId="2" applyFont="1" applyFill="1" applyBorder="1" applyAlignment="1">
      <alignment vertical="center"/>
    </xf>
    <xf numFmtId="0" fontId="13" fillId="0" borderId="1" xfId="0" applyFont="1" applyBorder="1" applyAlignment="1">
      <alignment vertical="center"/>
    </xf>
    <xf numFmtId="164" fontId="2" fillId="0" borderId="1" xfId="2" applyNumberFormat="1" applyFont="1" applyFill="1" applyBorder="1" applyAlignment="1">
      <alignment horizontal="right" vertical="center" wrapText="1"/>
    </xf>
    <xf numFmtId="0" fontId="10" fillId="0" borderId="14" xfId="0" applyFont="1" applyBorder="1" applyAlignment="1">
      <alignment horizontal="center" vertical="center" wrapText="1"/>
    </xf>
    <xf numFmtId="164" fontId="2" fillId="0" borderId="1" xfId="2" applyNumberFormat="1" applyFont="1" applyFill="1" applyBorder="1" applyAlignment="1">
      <alignment horizontal="center" vertical="center"/>
    </xf>
    <xf numFmtId="0" fontId="2" fillId="0" borderId="1" xfId="3" applyFont="1" applyBorder="1"/>
    <xf numFmtId="0" fontId="13" fillId="2" borderId="1" xfId="0" applyFont="1" applyFill="1" applyBorder="1" applyAlignment="1">
      <alignment horizontal="center" vertical="center" wrapText="1"/>
    </xf>
    <xf numFmtId="0" fontId="13" fillId="0" borderId="0" xfId="0" applyFont="1" applyAlignment="1">
      <alignment vertical="center" wrapText="1"/>
    </xf>
    <xf numFmtId="0" fontId="15" fillId="5" borderId="0" xfId="0" applyFont="1" applyFill="1" applyAlignment="1">
      <alignment vertical="center" wrapText="1"/>
    </xf>
    <xf numFmtId="0" fontId="2" fillId="2" borderId="0" xfId="3" applyFont="1" applyFill="1" applyAlignment="1">
      <alignment wrapText="1"/>
    </xf>
    <xf numFmtId="165" fontId="13" fillId="2" borderId="1" xfId="0" applyNumberFormat="1" applyFont="1" applyFill="1" applyBorder="1" applyAlignment="1">
      <alignment horizontal="center" vertical="center" wrapText="1"/>
    </xf>
    <xf numFmtId="165" fontId="13" fillId="2" borderId="1" xfId="1" applyNumberFormat="1" applyFont="1" applyFill="1" applyBorder="1" applyAlignment="1">
      <alignment horizontal="center" vertical="center"/>
    </xf>
    <xf numFmtId="166" fontId="2" fillId="0" borderId="1" xfId="0" applyNumberFormat="1" applyFont="1" applyBorder="1" applyAlignment="1">
      <alignment horizontal="center" vertical="center" wrapText="1"/>
    </xf>
    <xf numFmtId="44" fontId="13" fillId="0" borderId="1" xfId="1" applyFont="1" applyBorder="1" applyAlignment="1">
      <alignment horizontal="center" vertical="center"/>
    </xf>
    <xf numFmtId="44" fontId="13" fillId="0" borderId="1" xfId="1" applyFont="1" applyFill="1" applyBorder="1" applyAlignment="1">
      <alignment horizontal="center" vertical="center"/>
    </xf>
    <xf numFmtId="42" fontId="2" fillId="0" borderId="1" xfId="2" applyFont="1" applyFill="1" applyBorder="1" applyAlignment="1">
      <alignment horizontal="center" vertical="center" wrapText="1"/>
    </xf>
    <xf numFmtId="166" fontId="13" fillId="0" borderId="1" xfId="1" applyNumberFormat="1" applyFont="1" applyBorder="1" applyAlignment="1">
      <alignment horizontal="center" vertical="center"/>
    </xf>
    <xf numFmtId="0" fontId="2" fillId="0" borderId="1" xfId="3" applyFont="1" applyBorder="1" applyAlignment="1">
      <alignment horizontal="center" vertical="center" wrapText="1"/>
    </xf>
    <xf numFmtId="44" fontId="13" fillId="2" borderId="1" xfId="1" applyFont="1" applyFill="1" applyBorder="1" applyAlignment="1">
      <alignment horizontal="center" vertical="center"/>
    </xf>
    <xf numFmtId="165" fontId="13" fillId="0" borderId="1" xfId="1" applyNumberFormat="1" applyFont="1" applyFill="1" applyBorder="1" applyAlignment="1">
      <alignment horizontal="center" vertical="center"/>
    </xf>
    <xf numFmtId="0" fontId="2" fillId="0" borderId="1" xfId="1" applyNumberFormat="1" applyFont="1" applyFill="1" applyBorder="1" applyAlignment="1">
      <alignment horizontal="center" vertical="center" wrapText="1"/>
    </xf>
    <xf numFmtId="0" fontId="2" fillId="2" borderId="1" xfId="4" applyNumberFormat="1" applyFont="1" applyFill="1" applyBorder="1" applyAlignment="1">
      <alignment horizontal="center" vertical="center" wrapText="1"/>
    </xf>
    <xf numFmtId="171" fontId="9" fillId="0" borderId="1" xfId="0" applyNumberFormat="1" applyFont="1" applyBorder="1"/>
    <xf numFmtId="0" fontId="22" fillId="0" borderId="1" xfId="0" applyFont="1" applyBorder="1"/>
    <xf numFmtId="0" fontId="21" fillId="0" borderId="1" xfId="0" applyFont="1" applyBorder="1"/>
    <xf numFmtId="42" fontId="22" fillId="0" borderId="1" xfId="2" applyFont="1" applyBorder="1"/>
    <xf numFmtId="0" fontId="17" fillId="12" borderId="20" xfId="0" applyFont="1" applyFill="1" applyBorder="1" applyAlignment="1">
      <alignment horizontal="center" vertical="center" wrapText="1"/>
    </xf>
    <xf numFmtId="0" fontId="0" fillId="0" borderId="1" xfId="0" applyBorder="1" applyAlignment="1">
      <alignment vertical="center" wrapText="1"/>
    </xf>
    <xf numFmtId="42" fontId="0" fillId="0" borderId="1" xfId="2" applyFont="1" applyBorder="1" applyAlignment="1">
      <alignment vertical="center"/>
    </xf>
    <xf numFmtId="42" fontId="0" fillId="0" borderId="0" xfId="0" applyNumberFormat="1"/>
    <xf numFmtId="168" fontId="2" fillId="0" borderId="1" xfId="2" applyNumberFormat="1" applyFont="1" applyBorder="1" applyAlignment="1">
      <alignment horizontal="left" vertical="center" indent="1"/>
    </xf>
    <xf numFmtId="172" fontId="21" fillId="0" borderId="1" xfId="2" applyNumberFormat="1" applyFont="1" applyBorder="1"/>
    <xf numFmtId="6" fontId="2" fillId="2" borderId="1" xfId="2" applyNumberFormat="1" applyFont="1" applyFill="1" applyBorder="1" applyAlignment="1">
      <alignment horizontal="center" vertical="center"/>
    </xf>
    <xf numFmtId="0" fontId="23" fillId="0" borderId="0" xfId="0" applyFont="1"/>
    <xf numFmtId="3" fontId="0" fillId="0" borderId="0" xfId="0" applyNumberFormat="1"/>
    <xf numFmtId="3" fontId="23" fillId="0" borderId="0" xfId="0" applyNumberFormat="1" applyFont="1"/>
    <xf numFmtId="42" fontId="0" fillId="0" borderId="0" xfId="2" applyFont="1"/>
    <xf numFmtId="44" fontId="0" fillId="13" borderId="0" xfId="0" applyNumberFormat="1" applyFill="1"/>
    <xf numFmtId="166" fontId="2" fillId="2" borderId="1" xfId="0" applyNumberFormat="1" applyFont="1" applyFill="1" applyBorder="1" applyAlignment="1">
      <alignment horizontal="center" vertical="center" wrapText="1"/>
    </xf>
    <xf numFmtId="166" fontId="13" fillId="2" borderId="1" xfId="1" applyNumberFormat="1" applyFont="1" applyFill="1" applyBorder="1" applyAlignment="1">
      <alignment horizontal="center" vertical="center"/>
    </xf>
    <xf numFmtId="42" fontId="2" fillId="2" borderId="1" xfId="2" applyFont="1" applyFill="1" applyBorder="1" applyAlignment="1">
      <alignment horizontal="center" vertical="center" wrapText="1"/>
    </xf>
    <xf numFmtId="165" fontId="13" fillId="0" borderId="1" xfId="1" applyNumberFormat="1" applyFont="1" applyFill="1" applyBorder="1" applyAlignment="1">
      <alignment horizontal="center" vertical="center" wrapText="1"/>
    </xf>
    <xf numFmtId="0" fontId="2" fillId="0" borderId="1" xfId="5" applyFont="1" applyBorder="1" applyAlignment="1">
      <alignment horizontal="center" vertical="center" wrapText="1"/>
    </xf>
    <xf numFmtId="0" fontId="2" fillId="0" borderId="1" xfId="4" applyNumberFormat="1" applyFont="1" applyFill="1" applyBorder="1" applyAlignment="1">
      <alignment horizontal="center" vertical="center" wrapText="1"/>
    </xf>
    <xf numFmtId="0" fontId="2" fillId="0" borderId="1" xfId="3" applyFont="1" applyBorder="1" applyAlignment="1">
      <alignment horizontal="center" vertical="center"/>
    </xf>
    <xf numFmtId="0" fontId="2" fillId="0" borderId="31" xfId="0" applyFont="1" applyBorder="1" applyAlignment="1">
      <alignment horizontal="center" vertical="center" wrapText="1"/>
    </xf>
    <xf numFmtId="0" fontId="11" fillId="0" borderId="1" xfId="6" applyFont="1" applyFill="1" applyBorder="1" applyAlignment="1">
      <alignment horizontal="center" vertical="center" wrapText="1"/>
    </xf>
    <xf numFmtId="166" fontId="13" fillId="0" borderId="1" xfId="1" applyNumberFormat="1" applyFont="1" applyFill="1" applyBorder="1" applyAlignment="1">
      <alignment horizontal="center" vertical="center"/>
    </xf>
    <xf numFmtId="0" fontId="2" fillId="0" borderId="0" xfId="3" applyFont="1" applyAlignment="1">
      <alignment horizontal="center" vertical="center"/>
    </xf>
    <xf numFmtId="171" fontId="13" fillId="0" borderId="0" xfId="0" applyNumberFormat="1" applyFont="1"/>
    <xf numFmtId="42" fontId="13" fillId="0" borderId="0" xfId="2"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8" fillId="0" borderId="12" xfId="0" applyFont="1" applyBorder="1" applyAlignment="1">
      <alignment horizontal="center" vertical="center" wrapText="1"/>
    </xf>
    <xf numFmtId="0" fontId="8" fillId="0" borderId="0" xfId="0" applyFont="1" applyAlignment="1">
      <alignment horizontal="center" vertical="center" wrapText="1"/>
    </xf>
    <xf numFmtId="3" fontId="6" fillId="4" borderId="6" xfId="0" applyNumberFormat="1" applyFont="1" applyFill="1" applyBorder="1" applyAlignment="1">
      <alignment horizontal="center" vertical="center" wrapText="1"/>
    </xf>
    <xf numFmtId="3" fontId="6" fillId="4" borderId="16" xfId="0" applyNumberFormat="1" applyFont="1" applyFill="1" applyBorder="1" applyAlignment="1">
      <alignment horizontal="center" vertical="center" wrapText="1"/>
    </xf>
    <xf numFmtId="0" fontId="17" fillId="5" borderId="27" xfId="0" applyFont="1" applyFill="1" applyBorder="1" applyAlignment="1">
      <alignment horizontal="center" vertical="center" wrapText="1"/>
    </xf>
    <xf numFmtId="0" fontId="17" fillId="5" borderId="28" xfId="0" applyFont="1" applyFill="1" applyBorder="1" applyAlignment="1">
      <alignment horizontal="center" vertical="center" wrapText="1"/>
    </xf>
    <xf numFmtId="164" fontId="8" fillId="3" borderId="4" xfId="2" applyNumberFormat="1" applyFont="1" applyFill="1" applyBorder="1" applyAlignment="1">
      <alignment horizontal="center" vertical="center"/>
    </xf>
    <xf numFmtId="164" fontId="8" fillId="3" borderId="3" xfId="2" applyNumberFormat="1" applyFont="1" applyFill="1" applyBorder="1" applyAlignment="1">
      <alignment horizontal="center" vertical="center"/>
    </xf>
    <xf numFmtId="164" fontId="8" fillId="3" borderId="13" xfId="2" applyNumberFormat="1" applyFont="1" applyFill="1" applyBorder="1" applyAlignment="1">
      <alignment horizontal="center" vertical="center"/>
    </xf>
    <xf numFmtId="0" fontId="7" fillId="4" borderId="11"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3" xfId="0" applyFont="1" applyFill="1" applyBorder="1" applyAlignment="1">
      <alignment horizontal="center" vertical="center" wrapText="1"/>
    </xf>
    <xf numFmtId="164" fontId="20" fillId="0" borderId="2" xfId="2" applyNumberFormat="1" applyFont="1" applyFill="1" applyBorder="1" applyAlignment="1">
      <alignment horizontal="center" vertical="center"/>
    </xf>
    <xf numFmtId="164" fontId="20" fillId="0" borderId="0" xfId="2" applyNumberFormat="1" applyFont="1" applyFill="1" applyBorder="1" applyAlignment="1">
      <alignment horizontal="center" vertical="center"/>
    </xf>
    <xf numFmtId="3" fontId="6" fillId="4" borderId="2" xfId="0" applyNumberFormat="1" applyFont="1" applyFill="1" applyBorder="1" applyAlignment="1">
      <alignment horizontal="center" vertical="center" wrapText="1"/>
    </xf>
    <xf numFmtId="3" fontId="6" fillId="4" borderId="5" xfId="0" applyNumberFormat="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17" fillId="5" borderId="12" xfId="0" applyFont="1" applyFill="1" applyBorder="1" applyAlignment="1">
      <alignment horizontal="center" vertical="center" wrapText="1"/>
    </xf>
    <xf numFmtId="0" fontId="17" fillId="5" borderId="0" xfId="0" applyFont="1" applyFill="1" applyAlignment="1">
      <alignment horizontal="center" vertical="center" wrapText="1"/>
    </xf>
    <xf numFmtId="0" fontId="2" fillId="0" borderId="14" xfId="3" applyFont="1" applyBorder="1" applyAlignment="1">
      <alignment horizontal="center" vertical="center"/>
    </xf>
    <xf numFmtId="0" fontId="2" fillId="0" borderId="33" xfId="3" applyFont="1" applyBorder="1" applyAlignment="1">
      <alignment horizontal="center" vertical="center"/>
    </xf>
    <xf numFmtId="0" fontId="2" fillId="0" borderId="15" xfId="3" applyFont="1" applyBorder="1" applyAlignment="1">
      <alignment horizontal="center" vertical="center"/>
    </xf>
    <xf numFmtId="0" fontId="13" fillId="0" borderId="1" xfId="0" applyFont="1" applyBorder="1" applyAlignment="1">
      <alignment horizontal="center" vertical="center"/>
    </xf>
    <xf numFmtId="0" fontId="2" fillId="0" borderId="1" xfId="3" applyFont="1" applyBorder="1" applyAlignment="1">
      <alignment horizontal="center" vertical="center"/>
    </xf>
    <xf numFmtId="0" fontId="2" fillId="2" borderId="1" xfId="3" applyFont="1" applyFill="1" applyBorder="1" applyAlignment="1">
      <alignment horizontal="center" vertical="center"/>
    </xf>
    <xf numFmtId="0" fontId="6" fillId="4" borderId="38" xfId="0" applyFont="1" applyFill="1" applyBorder="1" applyAlignment="1">
      <alignment horizontal="center" vertical="center" wrapText="1"/>
    </xf>
    <xf numFmtId="0" fontId="2" fillId="0" borderId="14" xfId="3" applyFont="1" applyBorder="1" applyAlignment="1">
      <alignment horizontal="center"/>
    </xf>
    <xf numFmtId="0" fontId="2" fillId="0" borderId="33" xfId="3" applyFont="1" applyBorder="1" applyAlignment="1">
      <alignment horizontal="center"/>
    </xf>
    <xf numFmtId="0" fontId="2" fillId="0" borderId="15" xfId="3" applyFont="1" applyBorder="1" applyAlignment="1">
      <alignment horizontal="center"/>
    </xf>
    <xf numFmtId="0" fontId="6" fillId="4" borderId="26"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6" fillId="4" borderId="24" xfId="0" applyFont="1" applyFill="1" applyBorder="1" applyAlignment="1">
      <alignment horizontal="center" vertical="center" wrapText="1"/>
    </xf>
    <xf numFmtId="164" fontId="7" fillId="4" borderId="4" xfId="2" applyNumberFormat="1" applyFont="1" applyFill="1" applyBorder="1" applyAlignment="1">
      <alignment vertical="center" wrapText="1"/>
    </xf>
    <xf numFmtId="42" fontId="7" fillId="4" borderId="3" xfId="2" applyFont="1" applyFill="1" applyBorder="1" applyAlignment="1">
      <alignment vertical="center" wrapText="1"/>
    </xf>
    <xf numFmtId="42" fontId="7" fillId="4" borderId="13" xfId="2" applyFont="1" applyFill="1" applyBorder="1" applyAlignment="1">
      <alignment vertical="center" wrapText="1"/>
    </xf>
    <xf numFmtId="0" fontId="2" fillId="9" borderId="6" xfId="0" applyFont="1" applyFill="1" applyBorder="1" applyAlignment="1">
      <alignment horizontal="center" vertical="center" wrapText="1"/>
    </xf>
    <xf numFmtId="0" fontId="2" fillId="9" borderId="16"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 xfId="0" applyFont="1" applyFill="1" applyBorder="1" applyAlignment="1">
      <alignment vertical="center" wrapText="1"/>
    </xf>
    <xf numFmtId="0" fontId="6" fillId="8" borderId="13" xfId="0" applyFont="1" applyFill="1" applyBorder="1" applyAlignment="1">
      <alignment horizontal="center" vertical="center" wrapText="1"/>
    </xf>
    <xf numFmtId="3" fontId="6" fillId="4" borderId="36" xfId="0" applyNumberFormat="1"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3" borderId="13" xfId="0" applyFont="1" applyFill="1" applyBorder="1" applyAlignment="1">
      <alignment horizontal="center" vertical="center" wrapText="1"/>
    </xf>
    <xf numFmtId="164" fontId="7" fillId="3" borderId="4" xfId="2" applyNumberFormat="1" applyFont="1" applyFill="1" applyBorder="1" applyAlignment="1">
      <alignment horizontal="center" vertical="center" wrapText="1"/>
    </xf>
    <xf numFmtId="42" fontId="7" fillId="3" borderId="3" xfId="2" applyFont="1" applyFill="1" applyBorder="1" applyAlignment="1">
      <alignment horizontal="center" vertical="center" wrapText="1"/>
    </xf>
    <xf numFmtId="42" fontId="7" fillId="3" borderId="13" xfId="2"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3" xfId="0" applyFont="1" applyFill="1" applyBorder="1" applyAlignment="1">
      <alignment horizontal="center" vertical="center" wrapText="1"/>
    </xf>
    <xf numFmtId="164" fontId="7" fillId="4" borderId="4" xfId="2" applyNumberFormat="1" applyFont="1" applyFill="1" applyBorder="1" applyAlignment="1">
      <alignment horizontal="center" vertical="center" wrapText="1"/>
    </xf>
    <xf numFmtId="42" fontId="7" fillId="4" borderId="3" xfId="2" applyFont="1" applyFill="1" applyBorder="1" applyAlignment="1">
      <alignment horizontal="center" vertical="center" wrapText="1"/>
    </xf>
    <xf numFmtId="42" fontId="7" fillId="4" borderId="13" xfId="2" applyFont="1" applyFill="1" applyBorder="1" applyAlignment="1">
      <alignment horizontal="center" vertical="center" wrapText="1"/>
    </xf>
    <xf numFmtId="0" fontId="6" fillId="6" borderId="2" xfId="0" applyFont="1" applyFill="1" applyBorder="1" applyAlignment="1">
      <alignment horizontal="center" vertical="center" wrapText="1"/>
    </xf>
    <xf numFmtId="164" fontId="7" fillId="4" borderId="2" xfId="2" applyNumberFormat="1" applyFont="1" applyFill="1" applyBorder="1" applyAlignment="1">
      <alignment horizontal="center" vertical="center" wrapText="1"/>
    </xf>
    <xf numFmtId="42" fontId="7" fillId="4" borderId="0" xfId="2" applyFont="1" applyFill="1" applyBorder="1" applyAlignment="1">
      <alignment horizontal="center" vertical="center" wrapText="1"/>
    </xf>
    <xf numFmtId="42" fontId="7" fillId="4" borderId="37" xfId="2"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6" fillId="7" borderId="3" xfId="0" applyFont="1" applyFill="1" applyBorder="1" applyAlignment="1">
      <alignment vertical="center" wrapText="1"/>
    </xf>
    <xf numFmtId="0" fontId="6" fillId="7" borderId="13" xfId="0" applyFont="1" applyFill="1" applyBorder="1" applyAlignment="1">
      <alignment horizontal="center" vertical="center" wrapText="1"/>
    </xf>
    <xf numFmtId="0" fontId="6" fillId="10" borderId="4"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0" borderId="3" xfId="0" applyFont="1" applyFill="1" applyBorder="1" applyAlignment="1">
      <alignment vertical="center" wrapText="1"/>
    </xf>
    <xf numFmtId="0" fontId="6" fillId="10" borderId="13"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17" fillId="5" borderId="20"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19" xfId="0" applyFont="1" applyFill="1" applyBorder="1" applyAlignment="1">
      <alignment vertical="center" wrapText="1"/>
    </xf>
    <xf numFmtId="0" fontId="17" fillId="5" borderId="18" xfId="0" applyFont="1" applyFill="1" applyBorder="1" applyAlignment="1">
      <alignment horizontal="center" vertical="center" wrapText="1"/>
    </xf>
    <xf numFmtId="0" fontId="2" fillId="0" borderId="0" xfId="0" applyFont="1" applyAlignment="1">
      <alignment horizontal="center" vertical="center"/>
    </xf>
    <xf numFmtId="0" fontId="13" fillId="0" borderId="0" xfId="0" applyFont="1"/>
    <xf numFmtId="0" fontId="8" fillId="0" borderId="29" xfId="0" applyFont="1" applyBorder="1" applyAlignment="1">
      <alignment horizontal="center" vertical="center"/>
    </xf>
    <xf numFmtId="0" fontId="8" fillId="0" borderId="30" xfId="0" applyFont="1" applyBorder="1" applyAlignment="1">
      <alignment horizontal="center" vertical="center"/>
    </xf>
    <xf numFmtId="3" fontId="17" fillId="12" borderId="12" xfId="0" applyNumberFormat="1" applyFont="1" applyFill="1" applyBorder="1" applyAlignment="1">
      <alignment horizontal="center" vertical="center" wrapText="1"/>
    </xf>
    <xf numFmtId="3" fontId="17" fillId="12" borderId="34" xfId="0" applyNumberFormat="1" applyFont="1" applyFill="1" applyBorder="1" applyAlignment="1">
      <alignment horizontal="center" vertical="center" wrapText="1"/>
    </xf>
    <xf numFmtId="0" fontId="9" fillId="0" borderId="1" xfId="0" applyFont="1" applyBorder="1" applyAlignment="1">
      <alignment horizontal="center"/>
    </xf>
    <xf numFmtId="0" fontId="17" fillId="12" borderId="1" xfId="0" applyFont="1" applyFill="1" applyBorder="1" applyAlignment="1">
      <alignment horizontal="center" vertical="center" wrapText="1"/>
    </xf>
    <xf numFmtId="0" fontId="17" fillId="12" borderId="1" xfId="0" applyFont="1" applyFill="1" applyBorder="1" applyAlignment="1">
      <alignment horizontal="center" vertical="center"/>
    </xf>
    <xf numFmtId="0" fontId="17" fillId="12" borderId="14" xfId="0" applyFont="1" applyFill="1" applyBorder="1" applyAlignment="1">
      <alignment horizontal="center" vertical="center" wrapText="1"/>
    </xf>
    <xf numFmtId="0" fontId="17" fillId="12" borderId="15" xfId="0" applyFont="1" applyFill="1" applyBorder="1" applyAlignment="1">
      <alignment horizontal="center" vertical="center" wrapText="1"/>
    </xf>
    <xf numFmtId="0" fontId="17" fillId="11" borderId="31" xfId="0" applyFont="1" applyFill="1" applyBorder="1" applyAlignment="1">
      <alignment horizontal="center" vertical="center" wrapText="1"/>
    </xf>
    <xf numFmtId="0" fontId="17" fillId="11" borderId="32" xfId="0" applyFont="1" applyFill="1" applyBorder="1" applyAlignment="1">
      <alignment horizontal="center" vertical="center" wrapText="1"/>
    </xf>
    <xf numFmtId="0" fontId="17" fillId="11" borderId="21" xfId="0" applyFont="1" applyFill="1" applyBorder="1" applyAlignment="1">
      <alignment horizontal="center" vertical="center" wrapText="1"/>
    </xf>
    <xf numFmtId="0" fontId="0" fillId="0" borderId="1" xfId="0" applyBorder="1" applyAlignment="1">
      <alignment horizontal="center"/>
    </xf>
    <xf numFmtId="0" fontId="8" fillId="0" borderId="1" xfId="0" applyFont="1" applyBorder="1" applyAlignment="1">
      <alignment horizontal="center" vertical="center"/>
    </xf>
    <xf numFmtId="0" fontId="23" fillId="0" borderId="0" xfId="0" applyFont="1"/>
    <xf numFmtId="2" fontId="2" fillId="0" borderId="1" xfId="9" applyNumberFormat="1" applyFont="1" applyFill="1" applyBorder="1" applyAlignment="1">
      <alignment horizontal="center" vertical="center" wrapText="1"/>
    </xf>
    <xf numFmtId="165" fontId="25" fillId="0" borderId="1" xfId="0" applyNumberFormat="1" applyFont="1" applyBorder="1" applyAlignment="1">
      <alignment horizontal="center" vertical="center"/>
    </xf>
    <xf numFmtId="0" fontId="2" fillId="0" borderId="1" xfId="0" applyNumberFormat="1" applyFont="1" applyBorder="1" applyAlignment="1">
      <alignment horizontal="center" vertical="center" wrapText="1"/>
    </xf>
    <xf numFmtId="0" fontId="2" fillId="0" borderId="1" xfId="9" applyNumberFormat="1" applyFont="1" applyFill="1" applyBorder="1" applyAlignment="1">
      <alignment horizontal="center" vertical="center" wrapText="1"/>
    </xf>
    <xf numFmtId="0" fontId="6" fillId="4" borderId="0" xfId="0" applyFont="1" applyFill="1" applyBorder="1" applyAlignment="1">
      <alignment vertical="center" wrapText="1"/>
    </xf>
    <xf numFmtId="0" fontId="6" fillId="4" borderId="0" xfId="0" applyFont="1" applyFill="1" applyBorder="1" applyAlignment="1">
      <alignment horizontal="center" vertical="center" wrapText="1"/>
    </xf>
    <xf numFmtId="164" fontId="2" fillId="0" borderId="1" xfId="2" applyNumberFormat="1" applyFont="1" applyBorder="1" applyAlignment="1">
      <alignment horizontal="center" vertical="center" wrapText="1"/>
    </xf>
    <xf numFmtId="0" fontId="2" fillId="0" borderId="31" xfId="0" applyFont="1" applyBorder="1" applyAlignment="1">
      <alignment vertical="center" wrapText="1"/>
    </xf>
    <xf numFmtId="0" fontId="13" fillId="0" borderId="0" xfId="0" applyFont="1" applyBorder="1" applyAlignment="1">
      <alignment vertical="center"/>
    </xf>
    <xf numFmtId="0" fontId="13" fillId="0" borderId="0" xfId="0" applyFont="1" applyBorder="1"/>
    <xf numFmtId="0" fontId="0" fillId="0" borderId="0" xfId="0" applyBorder="1" applyAlignment="1">
      <alignment vertical="center"/>
    </xf>
    <xf numFmtId="0" fontId="6" fillId="4" borderId="39"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28" xfId="0" applyFont="1" applyFill="1" applyBorder="1" applyAlignment="1">
      <alignment vertical="center" wrapText="1"/>
    </xf>
    <xf numFmtId="164" fontId="7" fillId="4" borderId="39" xfId="2" applyNumberFormat="1" applyFont="1" applyFill="1" applyBorder="1" applyAlignment="1">
      <alignment horizontal="center" vertical="center" wrapText="1"/>
    </xf>
    <xf numFmtId="42" fontId="7" fillId="4" borderId="28" xfId="2" applyFont="1" applyFill="1" applyBorder="1" applyAlignment="1">
      <alignment horizontal="center" vertical="center" wrapText="1"/>
    </xf>
    <xf numFmtId="42" fontId="7" fillId="4" borderId="40" xfId="2" applyFont="1" applyFill="1" applyBorder="1" applyAlignment="1">
      <alignment horizontal="center" vertical="center" wrapText="1"/>
    </xf>
    <xf numFmtId="0" fontId="2" fillId="0" borderId="30" xfId="0" applyFont="1" applyBorder="1" applyAlignment="1">
      <alignment vertical="center" wrapText="1"/>
    </xf>
    <xf numFmtId="0" fontId="2" fillId="0" borderId="41" xfId="0" applyFont="1" applyBorder="1" applyAlignment="1">
      <alignment horizontal="center" vertical="center" wrapText="1"/>
    </xf>
    <xf numFmtId="0" fontId="11" fillId="0" borderId="42" xfId="6" applyFont="1" applyFill="1" applyBorder="1" applyAlignment="1">
      <alignment vertical="center" wrapText="1"/>
    </xf>
    <xf numFmtId="0" fontId="2" fillId="0" borderId="43" xfId="0" applyFont="1" applyBorder="1" applyAlignment="1">
      <alignment horizontal="center" vertical="center" wrapText="1"/>
    </xf>
    <xf numFmtId="0" fontId="11" fillId="0" borderId="44" xfId="6" applyFont="1" applyFill="1" applyBorder="1" applyAlignment="1">
      <alignment vertical="center" wrapText="1"/>
    </xf>
    <xf numFmtId="165" fontId="4" fillId="0" borderId="44" xfId="1" applyNumberFormat="1" applyFont="1" applyFill="1" applyBorder="1" applyAlignment="1">
      <alignment horizontal="center" vertical="center" wrapText="1"/>
    </xf>
    <xf numFmtId="0" fontId="19" fillId="0" borderId="44" xfId="6" applyFont="1" applyFill="1" applyBorder="1" applyAlignment="1">
      <alignment vertical="center" wrapText="1"/>
    </xf>
    <xf numFmtId="0" fontId="11" fillId="4" borderId="45" xfId="6" applyFont="1" applyFill="1" applyBorder="1" applyAlignment="1">
      <alignment vertical="center" wrapText="1"/>
    </xf>
    <xf numFmtId="0" fontId="11" fillId="0" borderId="37" xfId="6" applyFont="1" applyBorder="1" applyAlignment="1">
      <alignment vertical="center" wrapText="1"/>
    </xf>
    <xf numFmtId="0" fontId="2" fillId="0" borderId="44" xfId="0" applyFont="1" applyBorder="1" applyAlignment="1">
      <alignment vertical="center" wrapText="1"/>
    </xf>
    <xf numFmtId="0" fontId="11" fillId="0" borderId="44" xfId="6" applyFont="1" applyBorder="1" applyAlignment="1">
      <alignment vertical="center" wrapText="1"/>
    </xf>
    <xf numFmtId="0" fontId="5" fillId="0" borderId="44" xfId="6" applyFill="1" applyBorder="1" applyAlignment="1">
      <alignment vertical="center" wrapText="1"/>
    </xf>
    <xf numFmtId="0" fontId="5" fillId="0" borderId="44" xfId="6" applyBorder="1" applyAlignment="1">
      <alignment vertical="center" wrapText="1"/>
    </xf>
    <xf numFmtId="0" fontId="2" fillId="0" borderId="37" xfId="0" applyFont="1" applyBorder="1" applyAlignment="1">
      <alignment vertical="center" wrapText="1"/>
    </xf>
    <xf numFmtId="0" fontId="2" fillId="0" borderId="46" xfId="0" applyFont="1" applyBorder="1" applyAlignment="1">
      <alignment horizontal="center" vertical="center" wrapText="1"/>
    </xf>
    <xf numFmtId="0" fontId="2" fillId="0" borderId="45" xfId="0" applyFont="1" applyBorder="1" applyAlignment="1">
      <alignment vertical="center" wrapText="1"/>
    </xf>
    <xf numFmtId="0" fontId="6" fillId="6" borderId="0" xfId="0" applyFont="1" applyFill="1" applyBorder="1" applyAlignment="1">
      <alignment horizontal="center" vertical="center" wrapText="1"/>
    </xf>
    <xf numFmtId="0" fontId="6" fillId="6" borderId="0" xfId="0" applyFont="1" applyFill="1" applyBorder="1" applyAlignment="1">
      <alignment vertical="center" wrapText="1"/>
    </xf>
    <xf numFmtId="0" fontId="6" fillId="6" borderId="37" xfId="0" applyFont="1" applyFill="1" applyBorder="1" applyAlignment="1">
      <alignment horizontal="center" vertical="center" wrapText="1"/>
    </xf>
    <xf numFmtId="0" fontId="10" fillId="0" borderId="43"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48" xfId="0" applyFont="1" applyBorder="1" applyAlignment="1">
      <alignment vertical="center" wrapText="1"/>
    </xf>
    <xf numFmtId="0" fontId="10" fillId="0" borderId="48" xfId="0" applyFont="1" applyBorder="1" applyAlignment="1">
      <alignment vertical="center" wrapText="1"/>
    </xf>
    <xf numFmtId="42" fontId="2" fillId="0" borderId="48" xfId="2" applyFont="1" applyFill="1" applyBorder="1" applyAlignment="1">
      <alignment vertical="center" wrapText="1"/>
    </xf>
    <xf numFmtId="42" fontId="2" fillId="0" borderId="48" xfId="2" applyFont="1" applyFill="1" applyBorder="1" applyAlignment="1">
      <alignment horizontal="right" vertical="center" wrapText="1"/>
    </xf>
    <xf numFmtId="0" fontId="2" fillId="0" borderId="49" xfId="0" applyFont="1" applyBorder="1" applyAlignment="1">
      <alignment vertical="center" wrapText="1"/>
    </xf>
    <xf numFmtId="164" fontId="13" fillId="0" borderId="0" xfId="0" applyNumberFormat="1" applyFont="1" applyBorder="1" applyAlignment="1">
      <alignment vertical="center"/>
    </xf>
  </cellXfs>
  <cellStyles count="10">
    <cellStyle name="Hipervínculo" xfId="6" builtinId="8"/>
    <cellStyle name="Hyperlink" xfId="7" xr:uid="{7FC763C1-6B0F-4BCF-8E1D-B7C4AABDBB3C}"/>
    <cellStyle name="Millares 2" xfId="4" xr:uid="{FEEC230B-7116-4C29-A31E-491CEC88A635}"/>
    <cellStyle name="Moneda" xfId="1" builtinId="4"/>
    <cellStyle name="Moneda [0]" xfId="2" builtinId="7"/>
    <cellStyle name="Moneda 2" xfId="9" xr:uid="{B2084FF6-E8A5-4734-B7DC-ABC5E085180D}"/>
    <cellStyle name="Normal" xfId="0" builtinId="0"/>
    <cellStyle name="Normal 2" xfId="5" xr:uid="{34EBCABE-D421-4DED-92FF-C6294828554C}"/>
    <cellStyle name="Normal 3" xfId="3" xr:uid="{64898C6D-B3F5-4728-9622-224B5492DF0D}"/>
    <cellStyle name="Porcentaje" xfId="8" builtinId="5"/>
  </cellStyles>
  <dxfs count="8">
    <dxf>
      <font>
        <color rgb="FFFFFFFF"/>
      </font>
    </dxf>
    <dxf>
      <font>
        <color theme="0"/>
      </font>
    </dxf>
    <dxf>
      <font>
        <color theme="0"/>
      </font>
    </dxf>
    <dxf>
      <font>
        <color rgb="FFFFFFFF"/>
      </font>
    </dxf>
    <dxf>
      <font>
        <color rgb="FFFFFFFF"/>
      </font>
    </dxf>
    <dxf>
      <font>
        <color theme="0"/>
      </font>
    </dxf>
    <dxf>
      <font>
        <color theme="0"/>
      </font>
    </dxf>
    <dxf>
      <font>
        <color rgb="FFFFFFFF"/>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152400</xdr:colOff>
      <xdr:row>0</xdr:row>
      <xdr:rowOff>6351</xdr:rowOff>
    </xdr:from>
    <xdr:ext cx="1200150" cy="927100"/>
    <xdr:pic>
      <xdr:nvPicPr>
        <xdr:cNvPr id="2" name="image1.png">
          <a:extLst>
            <a:ext uri="{FF2B5EF4-FFF2-40B4-BE49-F238E27FC236}">
              <a16:creationId xmlns:a16="http://schemas.microsoft.com/office/drawing/2014/main" id="{2D0AA4F1-4317-4136-A785-1D8472E0415F}"/>
            </a:ext>
          </a:extLst>
        </xdr:cNvPr>
        <xdr:cNvPicPr preferRelativeResize="0"/>
      </xdr:nvPicPr>
      <xdr:blipFill>
        <a:blip xmlns:r="http://schemas.openxmlformats.org/officeDocument/2006/relationships" r:embed="rId1" cstate="print"/>
        <a:stretch>
          <a:fillRect/>
        </a:stretch>
      </xdr:blipFill>
      <xdr:spPr>
        <a:xfrm>
          <a:off x="152400" y="6351"/>
          <a:ext cx="1200150" cy="9271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133350</xdr:colOff>
      <xdr:row>0</xdr:row>
      <xdr:rowOff>0</xdr:rowOff>
    </xdr:from>
    <xdr:ext cx="1200150" cy="927100"/>
    <xdr:pic>
      <xdr:nvPicPr>
        <xdr:cNvPr id="2" name="image1.png">
          <a:extLst>
            <a:ext uri="{FF2B5EF4-FFF2-40B4-BE49-F238E27FC236}">
              <a16:creationId xmlns:a16="http://schemas.microsoft.com/office/drawing/2014/main" id="{9FCA5A32-FE31-4BA7-9DA0-793AF7A401F1}"/>
            </a:ext>
          </a:extLst>
        </xdr:cNvPr>
        <xdr:cNvPicPr preferRelativeResize="0"/>
      </xdr:nvPicPr>
      <xdr:blipFill>
        <a:blip xmlns:r="http://schemas.openxmlformats.org/officeDocument/2006/relationships" r:embed="rId1" cstate="print"/>
        <a:stretch>
          <a:fillRect/>
        </a:stretch>
      </xdr:blipFill>
      <xdr:spPr>
        <a:xfrm>
          <a:off x="133350" y="0"/>
          <a:ext cx="1200150" cy="92710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152400</xdr:colOff>
      <xdr:row>0</xdr:row>
      <xdr:rowOff>6351</xdr:rowOff>
    </xdr:from>
    <xdr:ext cx="1200150" cy="927100"/>
    <xdr:pic>
      <xdr:nvPicPr>
        <xdr:cNvPr id="2" name="image1.png">
          <a:extLst>
            <a:ext uri="{FF2B5EF4-FFF2-40B4-BE49-F238E27FC236}">
              <a16:creationId xmlns:a16="http://schemas.microsoft.com/office/drawing/2014/main" id="{140A3E2C-8BDE-40B8-83CC-BB0689669EBA}"/>
            </a:ext>
          </a:extLst>
        </xdr:cNvPr>
        <xdr:cNvPicPr preferRelativeResize="0"/>
      </xdr:nvPicPr>
      <xdr:blipFill>
        <a:blip xmlns:r="http://schemas.openxmlformats.org/officeDocument/2006/relationships" r:embed="rId1" cstate="print"/>
        <a:stretch>
          <a:fillRect/>
        </a:stretch>
      </xdr:blipFill>
      <xdr:spPr>
        <a:xfrm>
          <a:off x="152400" y="6351"/>
          <a:ext cx="1200150" cy="9271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97182</xdr:colOff>
      <xdr:row>0</xdr:row>
      <xdr:rowOff>1</xdr:rowOff>
    </xdr:from>
    <xdr:ext cx="1045818" cy="952500"/>
    <xdr:pic>
      <xdr:nvPicPr>
        <xdr:cNvPr id="3" name="image1.png">
          <a:extLst>
            <a:ext uri="{FF2B5EF4-FFF2-40B4-BE49-F238E27FC236}">
              <a16:creationId xmlns:a16="http://schemas.microsoft.com/office/drawing/2014/main" id="{A54488E8-B26B-C54D-836C-E50B081F35A5}"/>
            </a:ext>
          </a:extLst>
        </xdr:cNvPr>
        <xdr:cNvPicPr preferRelativeResize="0"/>
      </xdr:nvPicPr>
      <xdr:blipFill>
        <a:blip xmlns:r="http://schemas.openxmlformats.org/officeDocument/2006/relationships" r:embed="rId1" cstate="print"/>
        <a:stretch>
          <a:fillRect/>
        </a:stretch>
      </xdr:blipFill>
      <xdr:spPr>
        <a:xfrm>
          <a:off x="97182" y="1"/>
          <a:ext cx="1045818" cy="95250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97182</xdr:colOff>
      <xdr:row>0</xdr:row>
      <xdr:rowOff>1</xdr:rowOff>
    </xdr:from>
    <xdr:ext cx="1045818" cy="952500"/>
    <xdr:pic>
      <xdr:nvPicPr>
        <xdr:cNvPr id="3" name="image1.png">
          <a:extLst>
            <a:ext uri="{FF2B5EF4-FFF2-40B4-BE49-F238E27FC236}">
              <a16:creationId xmlns:a16="http://schemas.microsoft.com/office/drawing/2014/main" id="{074314D6-7289-D640-BCBE-EA0E81F00270}"/>
            </a:ext>
          </a:extLst>
        </xdr:cNvPr>
        <xdr:cNvPicPr preferRelativeResize="0"/>
      </xdr:nvPicPr>
      <xdr:blipFill>
        <a:blip xmlns:r="http://schemas.openxmlformats.org/officeDocument/2006/relationships" r:embed="rId1" cstate="print"/>
        <a:stretch>
          <a:fillRect/>
        </a:stretch>
      </xdr:blipFill>
      <xdr:spPr>
        <a:xfrm>
          <a:off x="97182" y="1"/>
          <a:ext cx="1045818" cy="9525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6324564&amp;isFromPublicArea=True&amp;isModal=False" TargetMode="External"/><Relationship Id="rId13" Type="http://schemas.openxmlformats.org/officeDocument/2006/relationships/hyperlink" Target="https://community.secop.gov.co/Public/Tendering/OpportunityDetail/Index?noticeUID=CO1.NTC.6324564&amp;isFromPublicArea=True&amp;isModal=False" TargetMode="External"/><Relationship Id="rId3" Type="http://schemas.openxmlformats.org/officeDocument/2006/relationships/hyperlink" Target="https://community.secop.gov.co/Public/Tendering/OpportunityDetail/Index?noticeUID=CO1.NTC.6324564&amp;isFromPublicArea=True&amp;isModal=False" TargetMode="External"/><Relationship Id="rId7" Type="http://schemas.openxmlformats.org/officeDocument/2006/relationships/hyperlink" Target="https://community.secop.gov.co/Public/Tendering/OpportunityDetail/Index?noticeUID=CO1.NTC.6324564&amp;isFromPublicArea=True&amp;isModal=False" TargetMode="External"/><Relationship Id="rId12" Type="http://schemas.openxmlformats.org/officeDocument/2006/relationships/hyperlink" Target="https://community.secop.gov.co/Public/Tendering/OpportunityDetail/Index?noticeUID=CO1.NTC.6324564&amp;isFromPublicArea=True&amp;isModal=False" TargetMode="External"/><Relationship Id="rId17" Type="http://schemas.openxmlformats.org/officeDocument/2006/relationships/drawing" Target="../drawings/drawing1.xml"/><Relationship Id="rId2" Type="http://schemas.openxmlformats.org/officeDocument/2006/relationships/hyperlink" Target="https://community.secop.gov.co/Public/Tendering/OpportunityDetail/Index?noticeUID=CO1.NTC.6324564&amp;isFromPublicArea=True&amp;isModal=False" TargetMode="External"/><Relationship Id="rId16" Type="http://schemas.openxmlformats.org/officeDocument/2006/relationships/hyperlink" Target="https://community.secop.gov.co/Public/Tendering/OpportunityDetail/Index?noticeUID=CO1.NTC.6324564&amp;isFromPublicArea=True&amp;isModal=False" TargetMode="External"/><Relationship Id="rId1" Type="http://schemas.openxmlformats.org/officeDocument/2006/relationships/hyperlink" Target="https://community.secop.gov.co/Public/Tendering/OpportunityDetail/Index?noticeUID=CO1.NTC.6324564&amp;isFromPublicArea=True&amp;isModal=False" TargetMode="External"/><Relationship Id="rId6" Type="http://schemas.openxmlformats.org/officeDocument/2006/relationships/hyperlink" Target="https://community.secop.gov.co/Public/Tendering/OpportunityDetail/Index?noticeUID=CO1.NTC.6324564&amp;isFromPublicArea=True&amp;isModal=False" TargetMode="External"/><Relationship Id="rId11" Type="http://schemas.openxmlformats.org/officeDocument/2006/relationships/hyperlink" Target="https://community.secop.gov.co/Public/Tendering/OpportunityDetail/Index?noticeUID=CO1.NTC.6324564&amp;isFromPublicArea=True&amp;isModal=False" TargetMode="External"/><Relationship Id="rId5" Type="http://schemas.openxmlformats.org/officeDocument/2006/relationships/hyperlink" Target="https://community.secop.gov.co/Public/Tendering/OpportunityDetail/Index?noticeUID=CO1.NTC.6324564&amp;isFromPublicArea=True&amp;isModal=False" TargetMode="External"/><Relationship Id="rId15" Type="http://schemas.openxmlformats.org/officeDocument/2006/relationships/hyperlink" Target="https://community.secop.gov.co/Public/Tendering/OpportunityDetail/Index?noticeUID=CO1.NTC.6324564&amp;isFromPublicArea=True&amp;isModal=False" TargetMode="External"/><Relationship Id="rId10" Type="http://schemas.openxmlformats.org/officeDocument/2006/relationships/hyperlink" Target="https://community.secop.gov.co/Public/Tendering/OpportunityDetail/Index?noticeUID=CO1.NTC.6324564&amp;isFromPublicArea=True&amp;isModal=False" TargetMode="External"/><Relationship Id="rId4" Type="http://schemas.openxmlformats.org/officeDocument/2006/relationships/hyperlink" Target="https://community.secop.gov.co/Public/Tendering/OpportunityDetail/Index?noticeUID=CO1.NTC.6324564&amp;isFromPublicArea=True&amp;isModal=False" TargetMode="External"/><Relationship Id="rId9" Type="http://schemas.openxmlformats.org/officeDocument/2006/relationships/hyperlink" Target="https://community.secop.gov.co/Public/Tendering/OpportunityDetail/Index?noticeUID=CO1.NTC.6324564&amp;isFromPublicArea=True&amp;isModal=False" TargetMode="External"/><Relationship Id="rId14" Type="http://schemas.openxmlformats.org/officeDocument/2006/relationships/hyperlink" Target="https://community.secop.gov.co/Public/Tendering/OpportunityDetail/Index?noticeUID=CO1.NTC.6324564&amp;isFromPublicArea=True&amp;isModal=False"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ww.banrepcultural.org/bogota/museo-del-oro"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384511" TargetMode="External"/><Relationship Id="rId18"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26"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39"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21"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34"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2"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47" Type="http://schemas.openxmlformats.org/officeDocument/2006/relationships/hyperlink" Target="https://operaciones.colombiacompra.gov.co/sites/cce_public/files/cce_update_purchase_order/modificacion_orden_compra_115328-2023.pdf?utm_source=chatgpt.com" TargetMode="External"/><Relationship Id="rId50" Type="http://schemas.openxmlformats.org/officeDocument/2006/relationships/hyperlink" Target="https://www.micelio.co/product-page/sustracoco-esteril?srsltid=AfmBOooacDbg_ZkpGsdSKnRtLTMg51XPXqfaXS13tFxzyEa9eX_itob5-Iw" TargetMode="External"/><Relationship Id="rId7" Type="http://schemas.openxmlformats.org/officeDocument/2006/relationships/hyperlink" Target="https://www.secop.gov.co/CO1BusinessLine/Tendering/ContractNoticeView/Index?prevCtxLbl=Buscar+procesos&amp;prevCtxUrl=https%3a%2f%2fwww.secop.gov.co%3a443%2fCO1BusinessLine%2fTendering%2fContractNoticeManagement%25" TargetMode="External"/><Relationship Id="rId2"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16" Type="http://schemas.openxmlformats.org/officeDocument/2006/relationships/hyperlink" Target="https://community.secop.gov.co/Public/Tendering/OpportunityDetail/Index?noticeUID=CO1.NTC.6324564&amp;isFromPublicArea=True&amp;isModal=False" TargetMode="External"/><Relationship Id="rId29"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11"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4890587" TargetMode="External"/><Relationship Id="rId24"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32"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37"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0"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5"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5"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15" Type="http://schemas.openxmlformats.org/officeDocument/2006/relationships/hyperlink" Target="https://community.secop.gov.co/Public/Tendering/OpportunityDetail/Index?noticeUID=CO1.NTC.6324564&amp;isFromPublicArea=True&amp;isModal=False" TargetMode="External"/><Relationship Id="rId23"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28"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36"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9" Type="http://schemas.openxmlformats.org/officeDocument/2006/relationships/hyperlink" Target="https://operaciones.colombiacompra.gov.co/tienda-virtual-del-estado-colombiano/ordenes-compra/69712/2" TargetMode="External"/><Relationship Id="rId10"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19"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31"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4"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52" Type="http://schemas.openxmlformats.org/officeDocument/2006/relationships/drawing" Target="../drawings/drawing3.xml"/><Relationship Id="rId4"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9"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14" Type="http://schemas.openxmlformats.org/officeDocument/2006/relationships/hyperlink" Target="https://community.secop.gov.co/Public/Tendering/OpportunityDetail/Index?noticeUID=CO1.NTC.6324564&amp;isFromPublicArea=True&amp;isModal=False" TargetMode="External"/><Relationship Id="rId22"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27" Type="http://schemas.openxmlformats.org/officeDocument/2006/relationships/hyperlink" Target="https://community.secop.gov.co/Public/Tendering/OpportunityDetail/Index?noticeUID=CO1.NTC.6324564&amp;isFromPublicArea=True&amp;isModal=FalseANTONIO%20NARI&#209;O%20350%20-%20%20FDLAN-LP-003-2024" TargetMode="External"/><Relationship Id="rId30"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35"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3"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48" Type="http://schemas.openxmlformats.org/officeDocument/2006/relationships/hyperlink" Target="https://operaciones.colombiacompra.gov.co/tienda-virtual-del-estado-colombiano/ordenes-compra/130346" TargetMode="External"/><Relationship Id="rId8"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969785" TargetMode="External"/><Relationship Id="rId51" Type="http://schemas.openxmlformats.org/officeDocument/2006/relationships/hyperlink" Target="https://www.homecenter.com.co/homecenter-co/product/552193/sustrato-universal-2-kg/552193/" TargetMode="External"/><Relationship Id="rId3"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12"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384511" TargetMode="External"/><Relationship Id="rId17"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25"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33"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38" Type="http://schemas.openxmlformats.org/officeDocument/2006/relationships/hyperlink" Target="https://community.secop.gov.co/Public/Tendering/OpportunityDetail/Index?noticeUID=CO1.NTC.6324564&amp;isFromPublicArea=True&amp;isModal=False%2520ANTONIO%2520NARI%C3%91O%2520350%2520-%2520%2520FDLAN-LP-003-2024" TargetMode="External"/><Relationship Id="rId46"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8421079" TargetMode="External"/><Relationship Id="rId20"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41" Type="http://schemas.openxmlformats.org/officeDocument/2006/relationships/hyperlink" Target="https://community.secop.gov.co/Public/Tendering/OpportunityDetail/Index?noticeUID=CO1.NTC.6324564&amp;isFromPublicArea=True&amp;isModal=False%20ANTONIO%20NARI&#209;O%20350%20-%20%20FDLAN-LP-003-2024" TargetMode="External"/><Relationship Id="rId1"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238512" TargetMode="External"/><Relationship Id="rId6"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7109314"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community.secop.gov.co/Public/Tendering/OpportunityDetail/Index?noticeUID=CO1.NTC.6324564&amp;isFromPublicArea=True&amp;isModal=False" TargetMode="External"/><Relationship Id="rId1" Type="http://schemas.openxmlformats.org/officeDocument/2006/relationships/hyperlink" Target="https://community.secop.gov.co/Public/TEndering/OpportunityDetail/Index?noticeUID=CO1.NTC.7083759&amp;isFromPublicArea=True&amp;isModal=true&amp;asPopupView=true"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AB2B3-C0FA-45DD-B051-14040A910222}">
  <dimension ref="A1:M79"/>
  <sheetViews>
    <sheetView topLeftCell="A43" zoomScale="90" workbookViewId="0">
      <selection activeCell="D36" sqref="D36"/>
    </sheetView>
  </sheetViews>
  <sheetFormatPr baseColWidth="10" defaultColWidth="10.81640625" defaultRowHeight="14.5" x14ac:dyDescent="0.35"/>
  <cols>
    <col min="1" max="1" width="7.1796875" style="42" customWidth="1"/>
    <col min="2" max="2" width="13.81640625" style="42" customWidth="1"/>
    <col min="3" max="3" width="19.36328125" style="42" customWidth="1"/>
    <col min="4" max="4" width="41.6328125" style="42" customWidth="1"/>
    <col min="5" max="5" width="17.6328125" style="42" customWidth="1"/>
    <col min="6" max="6" width="19.36328125" style="42" customWidth="1"/>
    <col min="7" max="7" width="10.81640625" style="42"/>
    <col min="8" max="11" width="22.1796875" style="42" customWidth="1"/>
    <col min="12" max="12" width="23.1796875" style="42" customWidth="1"/>
    <col min="13" max="13" width="31.81640625" style="42" customWidth="1"/>
    <col min="14" max="16384" width="10.81640625" style="42"/>
  </cols>
  <sheetData>
    <row r="1" spans="1:13" s="38" customFormat="1" ht="15" customHeight="1" x14ac:dyDescent="0.35">
      <c r="A1" s="145"/>
      <c r="B1" s="146"/>
      <c r="C1" s="147" t="s">
        <v>75</v>
      </c>
      <c r="D1" s="148"/>
      <c r="E1" s="148"/>
      <c r="F1" s="148"/>
      <c r="G1" s="148"/>
      <c r="H1" s="148"/>
      <c r="I1" s="148"/>
      <c r="J1" s="148"/>
      <c r="K1" s="148"/>
      <c r="L1" s="148"/>
      <c r="M1" s="148"/>
    </row>
    <row r="2" spans="1:13" s="38" customFormat="1" ht="15" customHeight="1" x14ac:dyDescent="0.35">
      <c r="A2" s="146"/>
      <c r="B2" s="146"/>
      <c r="C2" s="147" t="s">
        <v>74</v>
      </c>
      <c r="D2" s="148"/>
      <c r="E2" s="148"/>
      <c r="F2" s="148"/>
      <c r="G2" s="148"/>
      <c r="H2" s="148"/>
      <c r="I2" s="148"/>
      <c r="J2" s="148"/>
      <c r="K2" s="148"/>
      <c r="L2" s="148"/>
      <c r="M2" s="148"/>
    </row>
    <row r="3" spans="1:13" s="38" customFormat="1" ht="44" customHeight="1" x14ac:dyDescent="0.35">
      <c r="A3" s="146"/>
      <c r="B3" s="146"/>
      <c r="C3" s="147" t="s">
        <v>605</v>
      </c>
      <c r="D3" s="148"/>
      <c r="E3" s="148"/>
      <c r="F3" s="148"/>
      <c r="G3" s="148"/>
      <c r="H3" s="148"/>
      <c r="I3" s="148"/>
      <c r="J3" s="148"/>
      <c r="K3" s="148"/>
      <c r="L3" s="148"/>
      <c r="M3" s="148"/>
    </row>
    <row r="4" spans="1:13" s="38" customFormat="1" ht="20" customHeight="1" thickBot="1" x14ac:dyDescent="0.4">
      <c r="A4" s="151" t="s">
        <v>73</v>
      </c>
      <c r="B4" s="152"/>
      <c r="C4" s="152"/>
      <c r="D4" s="152"/>
      <c r="E4" s="152"/>
      <c r="F4" s="152"/>
      <c r="G4" s="152"/>
      <c r="H4" s="152"/>
      <c r="I4" s="152"/>
      <c r="J4" s="152"/>
      <c r="K4" s="152"/>
      <c r="L4" s="152"/>
      <c r="M4" s="152"/>
    </row>
    <row r="5" spans="1:13" s="38" customFormat="1" ht="23.5" customHeight="1" thickBot="1" x14ac:dyDescent="0.4">
      <c r="A5" s="158" t="s">
        <v>72</v>
      </c>
      <c r="B5" s="158" t="s">
        <v>71</v>
      </c>
      <c r="C5" s="158" t="s">
        <v>228</v>
      </c>
      <c r="D5" s="156" t="s">
        <v>70</v>
      </c>
      <c r="E5" s="158" t="s">
        <v>227</v>
      </c>
      <c r="F5" s="156" t="s">
        <v>69</v>
      </c>
      <c r="G5" s="158" t="s">
        <v>68</v>
      </c>
      <c r="H5" s="160" t="s">
        <v>67</v>
      </c>
      <c r="I5" s="161"/>
      <c r="J5" s="162"/>
      <c r="K5" s="149" t="s">
        <v>226</v>
      </c>
      <c r="L5" s="149" t="s">
        <v>66</v>
      </c>
      <c r="M5" s="149" t="s">
        <v>458</v>
      </c>
    </row>
    <row r="6" spans="1:13" s="38" customFormat="1" ht="29.5" thickBot="1" x14ac:dyDescent="0.4">
      <c r="A6" s="159"/>
      <c r="B6" s="159"/>
      <c r="C6" s="159"/>
      <c r="D6" s="157"/>
      <c r="E6" s="159"/>
      <c r="F6" s="157"/>
      <c r="G6" s="159"/>
      <c r="H6" s="8" t="s">
        <v>65</v>
      </c>
      <c r="I6" s="8" t="s">
        <v>64</v>
      </c>
      <c r="J6" s="8" t="s">
        <v>63</v>
      </c>
      <c r="K6" s="150"/>
      <c r="L6" s="150"/>
      <c r="M6" s="150"/>
    </row>
    <row r="7" spans="1:13" ht="43.5" x14ac:dyDescent="0.35">
      <c r="A7" s="58">
        <v>1</v>
      </c>
      <c r="B7" s="5" t="s">
        <v>195</v>
      </c>
      <c r="C7" s="5" t="s">
        <v>596</v>
      </c>
      <c r="D7" s="59" t="s">
        <v>225</v>
      </c>
      <c r="E7" s="58">
        <v>6</v>
      </c>
      <c r="F7" s="5" t="s">
        <v>597</v>
      </c>
      <c r="G7" s="58">
        <v>86100000</v>
      </c>
      <c r="H7" s="51" t="s">
        <v>509</v>
      </c>
      <c r="I7" s="60">
        <v>0</v>
      </c>
      <c r="J7" s="55">
        <v>0</v>
      </c>
      <c r="K7" s="55">
        <v>4917000</v>
      </c>
      <c r="L7" s="124">
        <f>+K7*E7</f>
        <v>29502000</v>
      </c>
      <c r="M7" s="21" t="s">
        <v>478</v>
      </c>
    </row>
    <row r="8" spans="1:13" ht="43.5" x14ac:dyDescent="0.35">
      <c r="A8" s="58">
        <v>2</v>
      </c>
      <c r="B8" s="5" t="s">
        <v>195</v>
      </c>
      <c r="C8" s="5" t="s">
        <v>224</v>
      </c>
      <c r="D8" s="59" t="s">
        <v>223</v>
      </c>
      <c r="E8" s="58">
        <v>12</v>
      </c>
      <c r="F8" s="58" t="s">
        <v>77</v>
      </c>
      <c r="G8" s="58">
        <v>86100000</v>
      </c>
      <c r="H8" s="51" t="s">
        <v>509</v>
      </c>
      <c r="I8" s="62">
        <v>0</v>
      </c>
      <c r="J8" s="55">
        <v>0</v>
      </c>
      <c r="K8" s="55">
        <v>3137500</v>
      </c>
      <c r="L8" s="124">
        <f>+K8*E8</f>
        <v>37650000</v>
      </c>
      <c r="M8" s="21" t="s">
        <v>478</v>
      </c>
    </row>
    <row r="9" spans="1:13" ht="58" x14ac:dyDescent="0.35">
      <c r="A9" s="58">
        <v>3</v>
      </c>
      <c r="B9" s="5" t="s">
        <v>195</v>
      </c>
      <c r="C9" s="5" t="s">
        <v>222</v>
      </c>
      <c r="D9" s="59" t="s">
        <v>221</v>
      </c>
      <c r="E9" s="58">
        <v>1</v>
      </c>
      <c r="F9" s="58" t="s">
        <v>77</v>
      </c>
      <c r="G9" s="58">
        <v>86100001</v>
      </c>
      <c r="H9" s="51" t="s">
        <v>509</v>
      </c>
      <c r="I9" s="62">
        <v>0</v>
      </c>
      <c r="J9" s="55">
        <v>0</v>
      </c>
      <c r="K9" s="55">
        <v>3137500</v>
      </c>
      <c r="L9" s="124">
        <f t="shared" ref="L9:L38" si="0">+K9*E9</f>
        <v>3137500</v>
      </c>
      <c r="M9" s="21" t="s">
        <v>478</v>
      </c>
    </row>
    <row r="10" spans="1:13" ht="174" x14ac:dyDescent="0.35">
      <c r="A10" s="58">
        <v>4</v>
      </c>
      <c r="B10" s="5" t="s">
        <v>220</v>
      </c>
      <c r="C10" s="5" t="s">
        <v>219</v>
      </c>
      <c r="D10" s="59" t="s">
        <v>218</v>
      </c>
      <c r="E10" s="5">
        <v>1</v>
      </c>
      <c r="F10" s="58" t="s">
        <v>77</v>
      </c>
      <c r="G10" s="58">
        <v>43230000</v>
      </c>
      <c r="H10" s="51" t="s">
        <v>509</v>
      </c>
      <c r="I10" s="62">
        <v>0</v>
      </c>
      <c r="J10" s="55">
        <v>0</v>
      </c>
      <c r="K10" s="55">
        <v>3137500</v>
      </c>
      <c r="L10" s="55">
        <f t="shared" si="0"/>
        <v>3137500</v>
      </c>
      <c r="M10" s="21" t="s">
        <v>478</v>
      </c>
    </row>
    <row r="11" spans="1:13" ht="159.5" x14ac:dyDescent="0.35">
      <c r="A11" s="58">
        <v>5</v>
      </c>
      <c r="B11" s="5" t="s">
        <v>159</v>
      </c>
      <c r="C11" s="40" t="s">
        <v>217</v>
      </c>
      <c r="D11" s="59" t="s">
        <v>602</v>
      </c>
      <c r="E11" s="58">
        <v>6</v>
      </c>
      <c r="F11" s="58" t="s">
        <v>77</v>
      </c>
      <c r="G11" s="5" t="s">
        <v>157</v>
      </c>
      <c r="H11" s="51">
        <v>3600000</v>
      </c>
      <c r="I11" s="65">
        <v>0</v>
      </c>
      <c r="J11" s="51">
        <v>3600000</v>
      </c>
      <c r="K11" s="51">
        <v>3600000</v>
      </c>
      <c r="L11" s="124">
        <f>+K11*E11</f>
        <v>21600000</v>
      </c>
      <c r="M11" s="21" t="s">
        <v>478</v>
      </c>
    </row>
    <row r="12" spans="1:13" ht="130.5" x14ac:dyDescent="0.35">
      <c r="A12" s="58">
        <v>6</v>
      </c>
      <c r="B12" s="5" t="s">
        <v>83</v>
      </c>
      <c r="C12" s="40" t="s">
        <v>216</v>
      </c>
      <c r="D12" s="59" t="s">
        <v>215</v>
      </c>
      <c r="E12" s="58">
        <v>150</v>
      </c>
      <c r="F12" s="58" t="s">
        <v>77</v>
      </c>
      <c r="G12" s="58">
        <v>49161500</v>
      </c>
      <c r="H12" s="51">
        <f>+J12/1.19</f>
        <v>155924.36974789915</v>
      </c>
      <c r="I12" s="65">
        <v>0.19</v>
      </c>
      <c r="J12" s="55">
        <v>185550</v>
      </c>
      <c r="K12" s="55">
        <f>+J12*1.0516</f>
        <v>195124.38</v>
      </c>
      <c r="L12" s="55">
        <f t="shared" si="0"/>
        <v>29268657</v>
      </c>
      <c r="M12" s="47" t="s">
        <v>102</v>
      </c>
    </row>
    <row r="13" spans="1:13" ht="116" x14ac:dyDescent="0.35">
      <c r="A13" s="58">
        <v>7</v>
      </c>
      <c r="B13" s="40" t="s">
        <v>149</v>
      </c>
      <c r="C13" s="40" t="s">
        <v>214</v>
      </c>
      <c r="D13" s="59" t="s">
        <v>147</v>
      </c>
      <c r="E13" s="64">
        <v>160</v>
      </c>
      <c r="F13" s="64" t="s">
        <v>77</v>
      </c>
      <c r="G13" s="64">
        <v>90141500</v>
      </c>
      <c r="H13" s="53">
        <f>+J13/1.19</f>
        <v>13501.680672268909</v>
      </c>
      <c r="I13" s="65">
        <v>0.19</v>
      </c>
      <c r="J13" s="54">
        <v>16067</v>
      </c>
      <c r="K13" s="54">
        <f>+J13*1.0483</f>
        <v>16843.036100000001</v>
      </c>
      <c r="L13" s="55">
        <f t="shared" si="0"/>
        <v>2694885.7760000001</v>
      </c>
      <c r="M13" s="57" t="s">
        <v>476</v>
      </c>
    </row>
    <row r="14" spans="1:13" ht="72.5" x14ac:dyDescent="0.35">
      <c r="A14" s="58">
        <v>8</v>
      </c>
      <c r="B14" s="5" t="s">
        <v>146</v>
      </c>
      <c r="C14" s="5" t="s">
        <v>145</v>
      </c>
      <c r="D14" s="59" t="s">
        <v>213</v>
      </c>
      <c r="E14" s="58">
        <v>150</v>
      </c>
      <c r="F14" s="58" t="s">
        <v>77</v>
      </c>
      <c r="G14" s="58">
        <v>60101600</v>
      </c>
      <c r="H14" s="51">
        <f t="shared" ref="H14:H18" si="1">+J14/1.19</f>
        <v>9833.6134453781524</v>
      </c>
      <c r="I14" s="62">
        <v>0.19</v>
      </c>
      <c r="J14" s="55">
        <v>11702</v>
      </c>
      <c r="K14" s="55">
        <f>+J14*1.0516</f>
        <v>12305.823200000001</v>
      </c>
      <c r="L14" s="55">
        <f t="shared" si="0"/>
        <v>1845873.4800000002</v>
      </c>
      <c r="M14" s="66" t="s">
        <v>36</v>
      </c>
    </row>
    <row r="15" spans="1:13" ht="87" x14ac:dyDescent="0.35">
      <c r="A15" s="58">
        <v>9</v>
      </c>
      <c r="B15" s="40" t="s">
        <v>83</v>
      </c>
      <c r="C15" s="40" t="s">
        <v>212</v>
      </c>
      <c r="D15" s="63" t="s">
        <v>211</v>
      </c>
      <c r="E15" s="64">
        <v>50</v>
      </c>
      <c r="F15" s="64" t="s">
        <v>77</v>
      </c>
      <c r="G15" s="64">
        <v>49161500</v>
      </c>
      <c r="H15" s="53">
        <v>2750000</v>
      </c>
      <c r="I15" s="65">
        <v>0.19</v>
      </c>
      <c r="J15" s="54">
        <f>+H15*1.19</f>
        <v>3272500</v>
      </c>
      <c r="K15" s="54">
        <f>+J15*1.0483</f>
        <v>3430561.75</v>
      </c>
      <c r="L15" s="55">
        <f t="shared" si="0"/>
        <v>171528087.5</v>
      </c>
      <c r="M15" s="67" t="s">
        <v>186</v>
      </c>
    </row>
    <row r="16" spans="1:13" ht="116" x14ac:dyDescent="0.35">
      <c r="A16" s="58">
        <v>10</v>
      </c>
      <c r="B16" s="5" t="s">
        <v>159</v>
      </c>
      <c r="C16" s="40" t="s">
        <v>210</v>
      </c>
      <c r="D16" s="59" t="s">
        <v>603</v>
      </c>
      <c r="E16" s="58">
        <v>6</v>
      </c>
      <c r="F16" s="58" t="s">
        <v>77</v>
      </c>
      <c r="G16" s="5" t="s">
        <v>157</v>
      </c>
      <c r="H16" s="51">
        <v>3600000</v>
      </c>
      <c r="I16" s="62">
        <v>0</v>
      </c>
      <c r="J16" s="51">
        <v>3600000</v>
      </c>
      <c r="K16" s="55">
        <f>+J16</f>
        <v>3600000</v>
      </c>
      <c r="L16" s="124">
        <f>+K16*E16*3</f>
        <v>64800000</v>
      </c>
      <c r="M16" s="61" t="s">
        <v>156</v>
      </c>
    </row>
    <row r="17" spans="1:13" ht="116" x14ac:dyDescent="0.35">
      <c r="A17" s="58">
        <v>11</v>
      </c>
      <c r="B17" s="5" t="s">
        <v>159</v>
      </c>
      <c r="C17" s="40" t="s">
        <v>210</v>
      </c>
      <c r="D17" s="59" t="s">
        <v>604</v>
      </c>
      <c r="E17" s="58">
        <v>6</v>
      </c>
      <c r="F17" s="58" t="s">
        <v>77</v>
      </c>
      <c r="G17" s="5" t="s">
        <v>157</v>
      </c>
      <c r="H17" s="51">
        <v>3600000</v>
      </c>
      <c r="I17" s="62">
        <v>0</v>
      </c>
      <c r="J17" s="51">
        <v>3600000</v>
      </c>
      <c r="K17" s="51">
        <v>3600000</v>
      </c>
      <c r="L17" s="124">
        <f t="shared" si="0"/>
        <v>21600000</v>
      </c>
      <c r="M17" s="61" t="s">
        <v>156</v>
      </c>
    </row>
    <row r="18" spans="1:13" ht="145" x14ac:dyDescent="0.35">
      <c r="A18" s="58">
        <v>12</v>
      </c>
      <c r="B18" s="40" t="s">
        <v>83</v>
      </c>
      <c r="C18" s="40" t="s">
        <v>209</v>
      </c>
      <c r="D18" s="63" t="s">
        <v>600</v>
      </c>
      <c r="E18" s="64">
        <v>100</v>
      </c>
      <c r="F18" s="64" t="s">
        <v>77</v>
      </c>
      <c r="G18" s="64">
        <v>49161500</v>
      </c>
      <c r="H18" s="53">
        <f t="shared" si="1"/>
        <v>155924.36974789915</v>
      </c>
      <c r="I18" s="65">
        <v>0.19</v>
      </c>
      <c r="J18" s="54">
        <v>185550</v>
      </c>
      <c r="K18" s="54">
        <f>+J18*1.0516</f>
        <v>195124.38</v>
      </c>
      <c r="L18" s="55">
        <f t="shared" si="0"/>
        <v>19512438</v>
      </c>
      <c r="M18" s="47" t="s">
        <v>102</v>
      </c>
    </row>
    <row r="19" spans="1:13" ht="116" x14ac:dyDescent="0.35">
      <c r="A19" s="58">
        <v>13</v>
      </c>
      <c r="B19" s="40" t="s">
        <v>149</v>
      </c>
      <c r="C19" s="40" t="s">
        <v>208</v>
      </c>
      <c r="D19" s="63" t="s">
        <v>207</v>
      </c>
      <c r="E19" s="64">
        <v>110</v>
      </c>
      <c r="F19" s="64" t="s">
        <v>77</v>
      </c>
      <c r="G19" s="64">
        <v>80141900</v>
      </c>
      <c r="H19" s="54">
        <v>16067</v>
      </c>
      <c r="I19" s="65">
        <v>0</v>
      </c>
      <c r="J19" s="54">
        <v>16067</v>
      </c>
      <c r="K19" s="54">
        <f>+J19*1.0483</f>
        <v>16843.036100000001</v>
      </c>
      <c r="L19" s="55">
        <f t="shared" si="0"/>
        <v>1852733.9710000001</v>
      </c>
      <c r="M19" s="57" t="s">
        <v>125</v>
      </c>
    </row>
    <row r="20" spans="1:13" ht="72.5" x14ac:dyDescent="0.35">
      <c r="A20" s="58">
        <v>14</v>
      </c>
      <c r="B20" s="5" t="s">
        <v>146</v>
      </c>
      <c r="C20" s="5" t="s">
        <v>145</v>
      </c>
      <c r="D20" s="59" t="s">
        <v>206</v>
      </c>
      <c r="E20" s="58">
        <v>100</v>
      </c>
      <c r="F20" s="58" t="s">
        <v>77</v>
      </c>
      <c r="G20" s="58">
        <v>60101600</v>
      </c>
      <c r="H20" s="51">
        <f t="shared" ref="H20:H51" si="2">+J20/1.19</f>
        <v>9833.6134453781524</v>
      </c>
      <c r="I20" s="62">
        <v>0.19</v>
      </c>
      <c r="J20" s="55">
        <v>11702</v>
      </c>
      <c r="K20" s="55">
        <f t="shared" ref="K20:K27" si="3">+J20*1.0516</f>
        <v>12305.823200000001</v>
      </c>
      <c r="L20" s="55">
        <f t="shared" si="0"/>
        <v>1230582.32</v>
      </c>
      <c r="M20" s="68" t="s">
        <v>36</v>
      </c>
    </row>
    <row r="21" spans="1:13" ht="72.5" x14ac:dyDescent="0.35">
      <c r="A21" s="58">
        <v>15</v>
      </c>
      <c r="B21" s="5" t="s">
        <v>83</v>
      </c>
      <c r="C21" s="5" t="s">
        <v>205</v>
      </c>
      <c r="D21" s="59" t="s">
        <v>204</v>
      </c>
      <c r="E21" s="5">
        <v>200</v>
      </c>
      <c r="F21" s="58" t="s">
        <v>77</v>
      </c>
      <c r="G21" s="58">
        <v>49161500</v>
      </c>
      <c r="H21" s="51">
        <f t="shared" si="2"/>
        <v>88333.613445378156</v>
      </c>
      <c r="I21" s="62">
        <v>0.19</v>
      </c>
      <c r="J21" s="55">
        <v>105117</v>
      </c>
      <c r="K21" s="55">
        <f t="shared" si="3"/>
        <v>110541.03720000001</v>
      </c>
      <c r="L21" s="55">
        <f t="shared" si="0"/>
        <v>22108207.440000001</v>
      </c>
      <c r="M21" s="68" t="s">
        <v>36</v>
      </c>
    </row>
    <row r="22" spans="1:13" ht="72.5" x14ac:dyDescent="0.35">
      <c r="A22" s="58">
        <v>16</v>
      </c>
      <c r="B22" s="5" t="s">
        <v>83</v>
      </c>
      <c r="C22" s="5" t="s">
        <v>203</v>
      </c>
      <c r="D22" s="59" t="s">
        <v>202</v>
      </c>
      <c r="E22" s="5">
        <v>80</v>
      </c>
      <c r="F22" s="58" t="s">
        <v>77</v>
      </c>
      <c r="G22" s="58">
        <v>49161500</v>
      </c>
      <c r="H22" s="51">
        <f t="shared" si="2"/>
        <v>88333.613445378156</v>
      </c>
      <c r="I22" s="62">
        <v>0.19</v>
      </c>
      <c r="J22" s="55">
        <v>105117</v>
      </c>
      <c r="K22" s="55">
        <f t="shared" si="3"/>
        <v>110541.03720000001</v>
      </c>
      <c r="L22" s="55">
        <f t="shared" si="0"/>
        <v>8843282.9759999998</v>
      </c>
      <c r="M22" s="68" t="s">
        <v>36</v>
      </c>
    </row>
    <row r="23" spans="1:13" ht="72.5" x14ac:dyDescent="0.35">
      <c r="A23" s="58">
        <v>17</v>
      </c>
      <c r="B23" s="5" t="s">
        <v>83</v>
      </c>
      <c r="C23" s="5" t="s">
        <v>201</v>
      </c>
      <c r="D23" s="59" t="s">
        <v>200</v>
      </c>
      <c r="E23" s="5">
        <v>30</v>
      </c>
      <c r="F23" s="58" t="s">
        <v>77</v>
      </c>
      <c r="G23" s="58">
        <v>49161500</v>
      </c>
      <c r="H23" s="51">
        <f t="shared" si="2"/>
        <v>88333.613445378156</v>
      </c>
      <c r="I23" s="62">
        <v>0.19</v>
      </c>
      <c r="J23" s="55">
        <v>105117</v>
      </c>
      <c r="K23" s="55">
        <f t="shared" si="3"/>
        <v>110541.03720000001</v>
      </c>
      <c r="L23" s="55">
        <f t="shared" si="0"/>
        <v>3316231.1160000004</v>
      </c>
      <c r="M23" s="68" t="s">
        <v>36</v>
      </c>
    </row>
    <row r="24" spans="1:13" ht="116" x14ac:dyDescent="0.35">
      <c r="A24" s="58">
        <v>18</v>
      </c>
      <c r="B24" s="5" t="s">
        <v>83</v>
      </c>
      <c r="C24" s="5" t="s">
        <v>199</v>
      </c>
      <c r="D24" s="59" t="s">
        <v>198</v>
      </c>
      <c r="E24" s="5">
        <v>15</v>
      </c>
      <c r="F24" s="58" t="s">
        <v>77</v>
      </c>
      <c r="G24" s="58">
        <v>49161500</v>
      </c>
      <c r="H24" s="51">
        <f t="shared" si="2"/>
        <v>100840.33613445378</v>
      </c>
      <c r="I24" s="62">
        <v>0.19</v>
      </c>
      <c r="J24" s="55">
        <v>120000</v>
      </c>
      <c r="K24" s="55">
        <f t="shared" si="3"/>
        <v>126192.00000000001</v>
      </c>
      <c r="L24" s="55">
        <f t="shared" si="0"/>
        <v>1892880.0000000002</v>
      </c>
      <c r="M24" s="47" t="s">
        <v>125</v>
      </c>
    </row>
    <row r="25" spans="1:13" ht="101.5" x14ac:dyDescent="0.35">
      <c r="A25" s="58">
        <v>19</v>
      </c>
      <c r="B25" s="5" t="s">
        <v>83</v>
      </c>
      <c r="C25" s="5" t="s">
        <v>197</v>
      </c>
      <c r="D25" s="59" t="s">
        <v>196</v>
      </c>
      <c r="E25" s="5">
        <v>40</v>
      </c>
      <c r="F25" s="58" t="s">
        <v>77</v>
      </c>
      <c r="G25" s="58">
        <v>49161500</v>
      </c>
      <c r="H25" s="51">
        <f t="shared" si="2"/>
        <v>22521.008403361346</v>
      </c>
      <c r="I25" s="62">
        <v>0.19</v>
      </c>
      <c r="J25" s="55">
        <v>26800</v>
      </c>
      <c r="K25" s="55">
        <f t="shared" si="3"/>
        <v>28182.880000000001</v>
      </c>
      <c r="L25" s="55">
        <f t="shared" si="0"/>
        <v>1127315.2</v>
      </c>
      <c r="M25" s="47" t="s">
        <v>102</v>
      </c>
    </row>
    <row r="26" spans="1:13" ht="87" x14ac:dyDescent="0.35">
      <c r="A26" s="58">
        <v>20</v>
      </c>
      <c r="B26" s="40" t="s">
        <v>195</v>
      </c>
      <c r="C26" s="40" t="s">
        <v>194</v>
      </c>
      <c r="D26" s="63" t="s">
        <v>193</v>
      </c>
      <c r="E26" s="40">
        <v>30</v>
      </c>
      <c r="F26" s="64" t="s">
        <v>77</v>
      </c>
      <c r="G26" s="64">
        <v>90141501</v>
      </c>
      <c r="H26" s="53">
        <f t="shared" si="2"/>
        <v>142857.14285714287</v>
      </c>
      <c r="I26" s="65">
        <v>0.19</v>
      </c>
      <c r="J26" s="54">
        <v>170000</v>
      </c>
      <c r="K26" s="54">
        <f t="shared" si="3"/>
        <v>178772.00000000003</v>
      </c>
      <c r="L26" s="124">
        <f t="shared" si="0"/>
        <v>5363160.0000000009</v>
      </c>
      <c r="M26" s="47" t="s">
        <v>192</v>
      </c>
    </row>
    <row r="27" spans="1:13" ht="87" x14ac:dyDescent="0.35">
      <c r="A27" s="58">
        <v>21</v>
      </c>
      <c r="B27" s="40" t="s">
        <v>87</v>
      </c>
      <c r="C27" s="40" t="s">
        <v>191</v>
      </c>
      <c r="D27" s="63" t="s">
        <v>190</v>
      </c>
      <c r="E27" s="40">
        <v>4</v>
      </c>
      <c r="F27" s="64" t="s">
        <v>77</v>
      </c>
      <c r="G27" s="64">
        <v>95131700</v>
      </c>
      <c r="H27" s="53">
        <f t="shared" si="2"/>
        <v>2188381.5126050422</v>
      </c>
      <c r="I27" s="65">
        <v>0.19</v>
      </c>
      <c r="J27" s="54">
        <v>2604174</v>
      </c>
      <c r="K27" s="54">
        <f t="shared" si="3"/>
        <v>2738549.3784000003</v>
      </c>
      <c r="L27" s="55">
        <f t="shared" si="0"/>
        <v>10954197.513600001</v>
      </c>
      <c r="M27" s="47" t="s">
        <v>90</v>
      </c>
    </row>
    <row r="28" spans="1:13" ht="116" x14ac:dyDescent="0.35">
      <c r="A28" s="58">
        <v>22</v>
      </c>
      <c r="B28" s="40" t="s">
        <v>189</v>
      </c>
      <c r="C28" s="40" t="s">
        <v>188</v>
      </c>
      <c r="D28" s="63" t="s">
        <v>187</v>
      </c>
      <c r="E28" s="40">
        <v>38</v>
      </c>
      <c r="F28" s="64" t="s">
        <v>77</v>
      </c>
      <c r="G28" s="64">
        <v>49161500</v>
      </c>
      <c r="H28" s="53">
        <v>100000</v>
      </c>
      <c r="I28" s="65">
        <v>0.19</v>
      </c>
      <c r="J28" s="54">
        <f>+H28*1.19</f>
        <v>119000</v>
      </c>
      <c r="K28" s="54">
        <v>119000</v>
      </c>
      <c r="L28" s="55">
        <f t="shared" si="0"/>
        <v>4522000</v>
      </c>
      <c r="M28" s="67" t="s">
        <v>186</v>
      </c>
    </row>
    <row r="29" spans="1:13" ht="116" x14ac:dyDescent="0.35">
      <c r="A29" s="58">
        <v>23</v>
      </c>
      <c r="B29" s="5" t="s">
        <v>83</v>
      </c>
      <c r="C29" s="5" t="s">
        <v>185</v>
      </c>
      <c r="D29" s="59" t="s">
        <v>184</v>
      </c>
      <c r="E29" s="5">
        <v>2</v>
      </c>
      <c r="F29" s="58" t="s">
        <v>77</v>
      </c>
      <c r="G29" s="58">
        <v>49161500</v>
      </c>
      <c r="H29" s="51">
        <f t="shared" si="2"/>
        <v>155924.36974789915</v>
      </c>
      <c r="I29" s="62">
        <v>0.19</v>
      </c>
      <c r="J29" s="55">
        <v>185550</v>
      </c>
      <c r="K29" s="55">
        <f t="shared" ref="K29:K42" si="4">+J29*1.0516</f>
        <v>195124.38</v>
      </c>
      <c r="L29" s="55">
        <f t="shared" si="0"/>
        <v>390248.76</v>
      </c>
      <c r="M29" s="47" t="s">
        <v>102</v>
      </c>
    </row>
    <row r="30" spans="1:13" ht="87" x14ac:dyDescent="0.35">
      <c r="A30" s="58">
        <v>24</v>
      </c>
      <c r="B30" s="5" t="s">
        <v>87</v>
      </c>
      <c r="C30" s="5" t="s">
        <v>183</v>
      </c>
      <c r="D30" s="59" t="s">
        <v>103</v>
      </c>
      <c r="E30" s="5">
        <v>4</v>
      </c>
      <c r="F30" s="58" t="s">
        <v>77</v>
      </c>
      <c r="G30" s="58">
        <v>49161500</v>
      </c>
      <c r="H30" s="51">
        <f t="shared" si="2"/>
        <v>175924.36974789918</v>
      </c>
      <c r="I30" s="62">
        <v>0.19</v>
      </c>
      <c r="J30" s="55">
        <v>209350</v>
      </c>
      <c r="K30" s="55">
        <f t="shared" si="4"/>
        <v>220152.46000000002</v>
      </c>
      <c r="L30" s="55">
        <f t="shared" si="0"/>
        <v>880609.84000000008</v>
      </c>
      <c r="M30" s="47" t="s">
        <v>102</v>
      </c>
    </row>
    <row r="31" spans="1:13" ht="101.5" x14ac:dyDescent="0.35">
      <c r="A31" s="58">
        <v>25</v>
      </c>
      <c r="B31" s="5" t="s">
        <v>149</v>
      </c>
      <c r="C31" s="40" t="s">
        <v>182</v>
      </c>
      <c r="D31" s="63" t="s">
        <v>181</v>
      </c>
      <c r="E31" s="5">
        <v>350</v>
      </c>
      <c r="F31" s="58" t="s">
        <v>77</v>
      </c>
      <c r="G31" s="58">
        <v>90101600</v>
      </c>
      <c r="H31" s="51">
        <f t="shared" si="2"/>
        <v>13501.680672268909</v>
      </c>
      <c r="I31" s="62">
        <v>0.19</v>
      </c>
      <c r="J31" s="55">
        <v>16067</v>
      </c>
      <c r="K31" s="55">
        <f>+J31*1.0483</f>
        <v>16843.036100000001</v>
      </c>
      <c r="L31" s="55">
        <f t="shared" si="0"/>
        <v>5895062.6350000007</v>
      </c>
      <c r="M31" s="47" t="s">
        <v>125</v>
      </c>
    </row>
    <row r="32" spans="1:13" ht="87" x14ac:dyDescent="0.35">
      <c r="A32" s="58">
        <v>26</v>
      </c>
      <c r="B32" s="5" t="s">
        <v>180</v>
      </c>
      <c r="C32" s="5" t="s">
        <v>179</v>
      </c>
      <c r="D32" s="59" t="s">
        <v>178</v>
      </c>
      <c r="E32" s="5">
        <v>273</v>
      </c>
      <c r="F32" s="58" t="s">
        <v>77</v>
      </c>
      <c r="G32" s="58">
        <v>90101600</v>
      </c>
      <c r="H32" s="51">
        <f t="shared" si="2"/>
        <v>31260.504201680673</v>
      </c>
      <c r="I32" s="62">
        <v>0.19</v>
      </c>
      <c r="J32" s="55">
        <v>37200</v>
      </c>
      <c r="K32" s="55">
        <f t="shared" si="4"/>
        <v>39119.520000000004</v>
      </c>
      <c r="L32" s="55">
        <f t="shared" si="0"/>
        <v>10679628.960000001</v>
      </c>
      <c r="M32" s="47" t="s">
        <v>102</v>
      </c>
    </row>
    <row r="33" spans="1:13" ht="72.5" x14ac:dyDescent="0.35">
      <c r="A33" s="58">
        <v>27</v>
      </c>
      <c r="B33" s="5" t="s">
        <v>83</v>
      </c>
      <c r="C33" s="5" t="s">
        <v>177</v>
      </c>
      <c r="D33" s="59" t="s">
        <v>134</v>
      </c>
      <c r="E33" s="5">
        <v>6</v>
      </c>
      <c r="F33" s="58" t="s">
        <v>77</v>
      </c>
      <c r="G33" s="58">
        <v>49161500</v>
      </c>
      <c r="H33" s="51">
        <f t="shared" si="2"/>
        <v>141120.16806722688</v>
      </c>
      <c r="I33" s="62">
        <v>0.19</v>
      </c>
      <c r="J33" s="55">
        <v>167933</v>
      </c>
      <c r="K33" s="55">
        <f t="shared" si="4"/>
        <v>176598.34280000001</v>
      </c>
      <c r="L33" s="55">
        <f t="shared" si="0"/>
        <v>1059590.0568000001</v>
      </c>
      <c r="M33" s="68" t="s">
        <v>36</v>
      </c>
    </row>
    <row r="34" spans="1:13" ht="87" x14ac:dyDescent="0.35">
      <c r="A34" s="58">
        <v>28</v>
      </c>
      <c r="B34" s="40" t="s">
        <v>83</v>
      </c>
      <c r="C34" s="40" t="s">
        <v>176</v>
      </c>
      <c r="D34" s="63" t="s">
        <v>175</v>
      </c>
      <c r="E34" s="40">
        <v>10</v>
      </c>
      <c r="F34" s="64" t="s">
        <v>77</v>
      </c>
      <c r="G34" s="64">
        <v>11161800</v>
      </c>
      <c r="H34" s="53">
        <f t="shared" si="2"/>
        <v>571378.15126050427</v>
      </c>
      <c r="I34" s="65">
        <v>0.19</v>
      </c>
      <c r="J34" s="54">
        <v>679940</v>
      </c>
      <c r="K34" s="54">
        <f t="shared" si="4"/>
        <v>715024.9040000001</v>
      </c>
      <c r="L34" s="55">
        <f t="shared" si="0"/>
        <v>7150249.040000001</v>
      </c>
      <c r="M34" s="57" t="s">
        <v>76</v>
      </c>
    </row>
    <row r="35" spans="1:13" ht="87" x14ac:dyDescent="0.35">
      <c r="A35" s="58">
        <v>29</v>
      </c>
      <c r="B35" s="40" t="s">
        <v>83</v>
      </c>
      <c r="C35" s="40" t="s">
        <v>174</v>
      </c>
      <c r="D35" s="63" t="s">
        <v>88</v>
      </c>
      <c r="E35" s="40">
        <v>4</v>
      </c>
      <c r="F35" s="64" t="s">
        <v>77</v>
      </c>
      <c r="G35" s="64">
        <v>56101500</v>
      </c>
      <c r="H35" s="53">
        <f t="shared" si="2"/>
        <v>83742.016806722691</v>
      </c>
      <c r="I35" s="65">
        <v>0.19</v>
      </c>
      <c r="J35" s="54">
        <v>99653</v>
      </c>
      <c r="K35" s="54">
        <f t="shared" si="4"/>
        <v>104795.09480000001</v>
      </c>
      <c r="L35" s="55">
        <f t="shared" si="0"/>
        <v>419180.37920000002</v>
      </c>
      <c r="M35" s="57" t="s">
        <v>84</v>
      </c>
    </row>
    <row r="36" spans="1:13" ht="87" x14ac:dyDescent="0.35">
      <c r="A36" s="58">
        <v>30</v>
      </c>
      <c r="B36" s="40" t="s">
        <v>99</v>
      </c>
      <c r="C36" s="40" t="s">
        <v>173</v>
      </c>
      <c r="D36" s="63" t="s">
        <v>85</v>
      </c>
      <c r="E36" s="40">
        <v>16</v>
      </c>
      <c r="F36" s="64" t="s">
        <v>77</v>
      </c>
      <c r="G36" s="64">
        <v>56101500</v>
      </c>
      <c r="H36" s="53">
        <f t="shared" si="2"/>
        <v>44327.731092436974</v>
      </c>
      <c r="I36" s="65">
        <v>0.19</v>
      </c>
      <c r="J36" s="54">
        <v>52750</v>
      </c>
      <c r="K36" s="54">
        <f t="shared" si="4"/>
        <v>55471.9</v>
      </c>
      <c r="L36" s="124">
        <f t="shared" si="0"/>
        <v>887550.4</v>
      </c>
      <c r="M36" s="57" t="s">
        <v>84</v>
      </c>
    </row>
    <row r="37" spans="1:13" ht="101.5" x14ac:dyDescent="0.35">
      <c r="A37" s="58">
        <v>31</v>
      </c>
      <c r="B37" s="5" t="s">
        <v>99</v>
      </c>
      <c r="C37" s="5" t="s">
        <v>172</v>
      </c>
      <c r="D37" s="59" t="s">
        <v>171</v>
      </c>
      <c r="E37" s="5">
        <v>8</v>
      </c>
      <c r="F37" s="58" t="s">
        <v>77</v>
      </c>
      <c r="G37" s="58">
        <v>56101500</v>
      </c>
      <c r="H37" s="51">
        <f t="shared" si="2"/>
        <v>110733.61344537816</v>
      </c>
      <c r="I37" s="62">
        <v>0.19</v>
      </c>
      <c r="J37" s="55">
        <v>131773</v>
      </c>
      <c r="K37" s="55">
        <f t="shared" si="4"/>
        <v>138572.48680000001</v>
      </c>
      <c r="L37" s="124">
        <f t="shared" si="0"/>
        <v>1108579.8944000001</v>
      </c>
      <c r="M37" s="68" t="s">
        <v>36</v>
      </c>
    </row>
    <row r="38" spans="1:13" ht="72.5" x14ac:dyDescent="0.35">
      <c r="A38" s="58">
        <v>32</v>
      </c>
      <c r="B38" s="5" t="s">
        <v>99</v>
      </c>
      <c r="C38" s="5" t="s">
        <v>170</v>
      </c>
      <c r="D38" s="59" t="s">
        <v>169</v>
      </c>
      <c r="E38" s="5">
        <v>20</v>
      </c>
      <c r="F38" s="58" t="s">
        <v>77</v>
      </c>
      <c r="G38" s="58">
        <v>31211500</v>
      </c>
      <c r="H38" s="51">
        <f t="shared" si="2"/>
        <v>11662.18487394958</v>
      </c>
      <c r="I38" s="62">
        <v>0.19</v>
      </c>
      <c r="J38" s="55">
        <v>13878</v>
      </c>
      <c r="K38" s="55">
        <f t="shared" si="4"/>
        <v>14594.104800000001</v>
      </c>
      <c r="L38" s="124">
        <f t="shared" si="0"/>
        <v>291882.09600000002</v>
      </c>
      <c r="M38" s="68" t="s">
        <v>36</v>
      </c>
    </row>
    <row r="39" spans="1:13" ht="130.5" x14ac:dyDescent="0.35">
      <c r="A39" s="58">
        <v>33</v>
      </c>
      <c r="B39" s="40" t="s">
        <v>83</v>
      </c>
      <c r="C39" s="40" t="s">
        <v>168</v>
      </c>
      <c r="D39" s="63" t="s">
        <v>167</v>
      </c>
      <c r="E39" s="40">
        <v>1</v>
      </c>
      <c r="F39" s="64" t="s">
        <v>77</v>
      </c>
      <c r="G39" s="64">
        <v>49171601</v>
      </c>
      <c r="H39" s="53">
        <f t="shared" si="2"/>
        <v>777403.36134453781</v>
      </c>
      <c r="I39" s="65">
        <v>0.19</v>
      </c>
      <c r="J39" s="54">
        <v>925110</v>
      </c>
      <c r="K39" s="54">
        <f t="shared" si="4"/>
        <v>972845.67600000009</v>
      </c>
      <c r="L39" s="55">
        <f t="shared" ref="L39:L70" si="5">+K39*E39</f>
        <v>972845.67600000009</v>
      </c>
      <c r="M39" s="67" t="s">
        <v>166</v>
      </c>
    </row>
    <row r="40" spans="1:13" ht="87" x14ac:dyDescent="0.35">
      <c r="A40" s="58">
        <v>34</v>
      </c>
      <c r="B40" s="5" t="s">
        <v>83</v>
      </c>
      <c r="C40" s="5" t="s">
        <v>165</v>
      </c>
      <c r="D40" s="59" t="s">
        <v>136</v>
      </c>
      <c r="E40" s="5">
        <v>3</v>
      </c>
      <c r="F40" s="58" t="s">
        <v>77</v>
      </c>
      <c r="G40" s="58">
        <v>49161500</v>
      </c>
      <c r="H40" s="51">
        <f t="shared" si="2"/>
        <v>178565.5462184874</v>
      </c>
      <c r="I40" s="62">
        <v>0.19</v>
      </c>
      <c r="J40" s="55">
        <v>212493</v>
      </c>
      <c r="K40" s="55">
        <f t="shared" si="4"/>
        <v>223457.63880000002</v>
      </c>
      <c r="L40" s="55">
        <f t="shared" si="5"/>
        <v>670372.91639999999</v>
      </c>
      <c r="M40" s="68" t="s">
        <v>36</v>
      </c>
    </row>
    <row r="41" spans="1:13" ht="87" x14ac:dyDescent="0.35">
      <c r="A41" s="58">
        <v>35</v>
      </c>
      <c r="B41" s="5" t="s">
        <v>83</v>
      </c>
      <c r="C41" s="5" t="s">
        <v>164</v>
      </c>
      <c r="D41" s="59" t="s">
        <v>163</v>
      </c>
      <c r="E41" s="5">
        <v>2</v>
      </c>
      <c r="F41" s="58" t="s">
        <v>77</v>
      </c>
      <c r="G41" s="58">
        <v>49161500</v>
      </c>
      <c r="H41" s="51">
        <f t="shared" si="2"/>
        <v>165846.21848739497</v>
      </c>
      <c r="I41" s="62">
        <v>0.19</v>
      </c>
      <c r="J41" s="55">
        <v>197357</v>
      </c>
      <c r="K41" s="55">
        <f t="shared" si="4"/>
        <v>207540.62120000002</v>
      </c>
      <c r="L41" s="55">
        <f t="shared" si="5"/>
        <v>415081.24240000005</v>
      </c>
      <c r="M41" s="68" t="s">
        <v>36</v>
      </c>
    </row>
    <row r="42" spans="1:13" ht="87" x14ac:dyDescent="0.35">
      <c r="A42" s="58">
        <v>36</v>
      </c>
      <c r="B42" s="5" t="s">
        <v>83</v>
      </c>
      <c r="C42" s="40" t="s">
        <v>162</v>
      </c>
      <c r="D42" s="59" t="s">
        <v>161</v>
      </c>
      <c r="E42" s="5">
        <v>5</v>
      </c>
      <c r="F42" s="58" t="s">
        <v>77</v>
      </c>
      <c r="G42" s="58">
        <v>49161500</v>
      </c>
      <c r="H42" s="51">
        <f t="shared" si="2"/>
        <v>118000</v>
      </c>
      <c r="I42" s="62">
        <v>0.19</v>
      </c>
      <c r="J42" s="55">
        <v>140420</v>
      </c>
      <c r="K42" s="55">
        <f t="shared" si="4"/>
        <v>147665.67200000002</v>
      </c>
      <c r="L42" s="55">
        <f t="shared" si="5"/>
        <v>738328.3600000001</v>
      </c>
      <c r="M42" s="61" t="s">
        <v>160</v>
      </c>
    </row>
    <row r="43" spans="1:13" ht="174" x14ac:dyDescent="0.35">
      <c r="A43" s="58">
        <v>37</v>
      </c>
      <c r="B43" s="40" t="s">
        <v>159</v>
      </c>
      <c r="C43" s="40" t="s">
        <v>158</v>
      </c>
      <c r="D43" s="63" t="s">
        <v>601</v>
      </c>
      <c r="E43" s="64">
        <v>6</v>
      </c>
      <c r="F43" s="64" t="s">
        <v>77</v>
      </c>
      <c r="G43" s="40" t="s">
        <v>157</v>
      </c>
      <c r="H43" s="126">
        <v>3600000</v>
      </c>
      <c r="I43" s="65" t="s">
        <v>509</v>
      </c>
      <c r="J43" s="54"/>
      <c r="K43" s="54">
        <f>+H43</f>
        <v>3600000</v>
      </c>
      <c r="L43" s="124">
        <f t="shared" si="5"/>
        <v>21600000</v>
      </c>
      <c r="M43" s="67" t="s">
        <v>156</v>
      </c>
    </row>
    <row r="44" spans="1:13" ht="145" x14ac:dyDescent="0.35">
      <c r="A44" s="58">
        <v>38</v>
      </c>
      <c r="B44" s="5" t="s">
        <v>83</v>
      </c>
      <c r="C44" s="5" t="s">
        <v>155</v>
      </c>
      <c r="D44" s="59" t="s">
        <v>154</v>
      </c>
      <c r="E44" s="58">
        <v>150</v>
      </c>
      <c r="F44" s="58" t="s">
        <v>77</v>
      </c>
      <c r="G44" s="58">
        <v>49161500</v>
      </c>
      <c r="H44" s="51">
        <f t="shared" si="2"/>
        <v>0</v>
      </c>
      <c r="I44" s="62">
        <v>0.19</v>
      </c>
      <c r="J44" s="55"/>
      <c r="K44" s="55">
        <v>145050</v>
      </c>
      <c r="L44" s="55">
        <f t="shared" si="5"/>
        <v>21757500</v>
      </c>
      <c r="M44" s="47" t="s">
        <v>102</v>
      </c>
    </row>
    <row r="45" spans="1:13" ht="159.5" x14ac:dyDescent="0.35">
      <c r="A45" s="58">
        <v>39</v>
      </c>
      <c r="B45" s="5" t="s">
        <v>83</v>
      </c>
      <c r="C45" s="5" t="s">
        <v>153</v>
      </c>
      <c r="D45" s="59" t="s">
        <v>152</v>
      </c>
      <c r="E45" s="58">
        <v>150</v>
      </c>
      <c r="F45" s="58" t="s">
        <v>77</v>
      </c>
      <c r="G45" s="58">
        <v>49171500</v>
      </c>
      <c r="H45" s="51">
        <f t="shared" si="2"/>
        <v>32680.672268907565</v>
      </c>
      <c r="I45" s="62">
        <v>0.19</v>
      </c>
      <c r="J45" s="55">
        <v>38890</v>
      </c>
      <c r="K45" s="55">
        <f t="shared" ref="K45:K75" si="6">+J45*1.0516</f>
        <v>40896.724000000002</v>
      </c>
      <c r="L45" s="55">
        <f t="shared" si="5"/>
        <v>6134508.6000000006</v>
      </c>
      <c r="M45" s="68" t="s">
        <v>36</v>
      </c>
    </row>
    <row r="46" spans="1:13" ht="203" x14ac:dyDescent="0.35">
      <c r="A46" s="58">
        <v>40</v>
      </c>
      <c r="B46" s="5" t="s">
        <v>83</v>
      </c>
      <c r="C46" s="5" t="s">
        <v>151</v>
      </c>
      <c r="D46" s="59" t="s">
        <v>150</v>
      </c>
      <c r="E46" s="58">
        <v>150</v>
      </c>
      <c r="F46" s="58" t="s">
        <v>77</v>
      </c>
      <c r="G46" s="58">
        <v>49171500</v>
      </c>
      <c r="H46" s="51">
        <f t="shared" si="2"/>
        <v>79537.815126050424</v>
      </c>
      <c r="I46" s="62">
        <v>0.19</v>
      </c>
      <c r="J46" s="54">
        <v>94650</v>
      </c>
      <c r="K46" s="55">
        <f t="shared" si="6"/>
        <v>99533.94</v>
      </c>
      <c r="L46" s="55">
        <f t="shared" si="5"/>
        <v>14930091</v>
      </c>
      <c r="M46" s="57" t="s">
        <v>125</v>
      </c>
    </row>
    <row r="47" spans="1:13" ht="116" x14ac:dyDescent="0.35">
      <c r="A47" s="58">
        <v>41</v>
      </c>
      <c r="B47" s="40" t="s">
        <v>149</v>
      </c>
      <c r="C47" s="40" t="s">
        <v>148</v>
      </c>
      <c r="D47" s="63" t="s">
        <v>147</v>
      </c>
      <c r="E47" s="64">
        <v>160</v>
      </c>
      <c r="F47" s="64" t="s">
        <v>77</v>
      </c>
      <c r="G47" s="64">
        <v>80141900</v>
      </c>
      <c r="H47" s="53">
        <f t="shared" si="2"/>
        <v>13501.680672268909</v>
      </c>
      <c r="I47" s="65">
        <v>0.19</v>
      </c>
      <c r="J47" s="54">
        <v>16067</v>
      </c>
      <c r="K47" s="54">
        <f>+J47*1.0483</f>
        <v>16843.036100000001</v>
      </c>
      <c r="L47" s="55">
        <f t="shared" si="5"/>
        <v>2694885.7760000001</v>
      </c>
      <c r="M47" s="57" t="s">
        <v>125</v>
      </c>
    </row>
    <row r="48" spans="1:13" ht="72.5" x14ac:dyDescent="0.35">
      <c r="A48" s="58">
        <v>42</v>
      </c>
      <c r="B48" s="5" t="s">
        <v>146</v>
      </c>
      <c r="C48" s="5" t="s">
        <v>145</v>
      </c>
      <c r="D48" s="59" t="s">
        <v>144</v>
      </c>
      <c r="E48" s="58">
        <v>150</v>
      </c>
      <c r="F48" s="58" t="s">
        <v>77</v>
      </c>
      <c r="G48" s="58">
        <v>60101600</v>
      </c>
      <c r="H48" s="51">
        <f t="shared" si="2"/>
        <v>9833.6134453781524</v>
      </c>
      <c r="I48" s="62">
        <v>0.19</v>
      </c>
      <c r="J48" s="55">
        <v>11702</v>
      </c>
      <c r="K48" s="55">
        <f t="shared" si="6"/>
        <v>12305.823200000001</v>
      </c>
      <c r="L48" s="55">
        <f t="shared" si="5"/>
        <v>1845873.4800000002</v>
      </c>
      <c r="M48" s="68" t="s">
        <v>36</v>
      </c>
    </row>
    <row r="49" spans="1:13" ht="87" x14ac:dyDescent="0.35">
      <c r="A49" s="58">
        <v>43</v>
      </c>
      <c r="B49" s="5" t="s">
        <v>99</v>
      </c>
      <c r="C49" s="40" t="s">
        <v>143</v>
      </c>
      <c r="D49" s="63" t="s">
        <v>142</v>
      </c>
      <c r="E49" s="64">
        <v>8</v>
      </c>
      <c r="F49" s="58" t="s">
        <v>77</v>
      </c>
      <c r="G49" s="58">
        <v>49161500</v>
      </c>
      <c r="H49" s="51">
        <f t="shared" si="2"/>
        <v>203571.42857142858</v>
      </c>
      <c r="I49" s="62">
        <v>0.19</v>
      </c>
      <c r="J49" s="55">
        <v>242250</v>
      </c>
      <c r="K49" s="55">
        <f t="shared" si="6"/>
        <v>254750.10000000003</v>
      </c>
      <c r="L49" s="124">
        <f t="shared" si="5"/>
        <v>2038000.8000000003</v>
      </c>
      <c r="M49" s="47" t="s">
        <v>102</v>
      </c>
    </row>
    <row r="50" spans="1:13" ht="87" x14ac:dyDescent="0.35">
      <c r="A50" s="58">
        <v>44</v>
      </c>
      <c r="B50" s="5" t="s">
        <v>99</v>
      </c>
      <c r="C50" s="40" t="s">
        <v>141</v>
      </c>
      <c r="D50" s="63" t="s">
        <v>140</v>
      </c>
      <c r="E50" s="64">
        <v>16</v>
      </c>
      <c r="F50" s="58" t="s">
        <v>77</v>
      </c>
      <c r="G50" s="58">
        <v>49161500</v>
      </c>
      <c r="H50" s="51">
        <f t="shared" si="2"/>
        <v>48178.991596638654</v>
      </c>
      <c r="I50" s="62">
        <v>0.19</v>
      </c>
      <c r="J50" s="55">
        <v>57333</v>
      </c>
      <c r="K50" s="55">
        <f t="shared" si="6"/>
        <v>60291.382800000007</v>
      </c>
      <c r="L50" s="124">
        <f t="shared" si="5"/>
        <v>964662.12480000011</v>
      </c>
      <c r="M50" s="47" t="s">
        <v>125</v>
      </c>
    </row>
    <row r="51" spans="1:13" ht="87" x14ac:dyDescent="0.35">
      <c r="A51" s="58">
        <v>45</v>
      </c>
      <c r="B51" s="5" t="s">
        <v>99</v>
      </c>
      <c r="C51" s="40" t="s">
        <v>139</v>
      </c>
      <c r="D51" s="63" t="s">
        <v>138</v>
      </c>
      <c r="E51" s="64">
        <v>8</v>
      </c>
      <c r="F51" s="58" t="s">
        <v>77</v>
      </c>
      <c r="G51" s="58">
        <v>49161500</v>
      </c>
      <c r="H51" s="51">
        <f t="shared" si="2"/>
        <v>117647.05882352941</v>
      </c>
      <c r="I51" s="62">
        <v>0.19</v>
      </c>
      <c r="J51" s="55">
        <v>140000</v>
      </c>
      <c r="K51" s="55">
        <f t="shared" si="6"/>
        <v>147224</v>
      </c>
      <c r="L51" s="124">
        <f t="shared" si="5"/>
        <v>1177792</v>
      </c>
      <c r="M51" s="47" t="s">
        <v>125</v>
      </c>
    </row>
    <row r="52" spans="1:13" ht="87" x14ac:dyDescent="0.35">
      <c r="A52" s="58">
        <v>46</v>
      </c>
      <c r="B52" s="5" t="s">
        <v>99</v>
      </c>
      <c r="C52" s="40" t="s">
        <v>137</v>
      </c>
      <c r="D52" s="63" t="s">
        <v>136</v>
      </c>
      <c r="E52" s="64">
        <v>10</v>
      </c>
      <c r="F52" s="58" t="s">
        <v>77</v>
      </c>
      <c r="G52" s="58">
        <v>49161500</v>
      </c>
      <c r="H52" s="51">
        <f t="shared" ref="H52:H75" si="7">+J52/1.19</f>
        <v>178565.5462184874</v>
      </c>
      <c r="I52" s="62">
        <v>0.19</v>
      </c>
      <c r="J52" s="55">
        <v>212493</v>
      </c>
      <c r="K52" s="55">
        <f t="shared" si="6"/>
        <v>223457.63880000002</v>
      </c>
      <c r="L52" s="124">
        <f t="shared" si="5"/>
        <v>2234576.3880000003</v>
      </c>
      <c r="M52" s="68" t="s">
        <v>36</v>
      </c>
    </row>
    <row r="53" spans="1:13" ht="72.5" x14ac:dyDescent="0.35">
      <c r="A53" s="58">
        <v>47</v>
      </c>
      <c r="B53" s="5" t="s">
        <v>99</v>
      </c>
      <c r="C53" s="40" t="s">
        <v>135</v>
      </c>
      <c r="D53" s="63" t="s">
        <v>134</v>
      </c>
      <c r="E53" s="64">
        <v>10</v>
      </c>
      <c r="F53" s="58" t="s">
        <v>77</v>
      </c>
      <c r="G53" s="58">
        <v>49161500</v>
      </c>
      <c r="H53" s="51">
        <f t="shared" si="7"/>
        <v>141120.16806722688</v>
      </c>
      <c r="I53" s="62">
        <v>0.19</v>
      </c>
      <c r="J53" s="55">
        <v>167933</v>
      </c>
      <c r="K53" s="55">
        <f t="shared" si="6"/>
        <v>176598.34280000001</v>
      </c>
      <c r="L53" s="124">
        <f t="shared" si="5"/>
        <v>1765983.4280000001</v>
      </c>
      <c r="M53" s="68" t="s">
        <v>36</v>
      </c>
    </row>
    <row r="54" spans="1:13" ht="101.5" x14ac:dyDescent="0.35">
      <c r="A54" s="58">
        <v>48</v>
      </c>
      <c r="B54" s="5" t="s">
        <v>83</v>
      </c>
      <c r="C54" s="40" t="s">
        <v>133</v>
      </c>
      <c r="D54" s="63" t="s">
        <v>132</v>
      </c>
      <c r="E54" s="64">
        <v>10</v>
      </c>
      <c r="F54" s="58" t="s">
        <v>77</v>
      </c>
      <c r="G54" s="58">
        <v>49161500</v>
      </c>
      <c r="H54" s="51">
        <f t="shared" si="7"/>
        <v>127731.0924369748</v>
      </c>
      <c r="I54" s="62">
        <v>0.19</v>
      </c>
      <c r="J54" s="55">
        <v>152000</v>
      </c>
      <c r="K54" s="55">
        <f t="shared" si="6"/>
        <v>159843.20000000001</v>
      </c>
      <c r="L54" s="55">
        <f t="shared" si="5"/>
        <v>1598432</v>
      </c>
      <c r="M54" s="47" t="s">
        <v>102</v>
      </c>
    </row>
    <row r="55" spans="1:13" ht="87" x14ac:dyDescent="0.35">
      <c r="A55" s="58">
        <v>49</v>
      </c>
      <c r="B55" s="5" t="s">
        <v>83</v>
      </c>
      <c r="C55" s="40" t="s">
        <v>131</v>
      </c>
      <c r="D55" s="63" t="s">
        <v>130</v>
      </c>
      <c r="E55" s="64">
        <v>10</v>
      </c>
      <c r="F55" s="58" t="s">
        <v>77</v>
      </c>
      <c r="G55" s="58">
        <v>49161500</v>
      </c>
      <c r="H55" s="51">
        <f t="shared" si="7"/>
        <v>132310.9243697479</v>
      </c>
      <c r="I55" s="62">
        <v>0.19</v>
      </c>
      <c r="J55" s="55">
        <v>157450</v>
      </c>
      <c r="K55" s="55">
        <f t="shared" si="6"/>
        <v>165574.42000000001</v>
      </c>
      <c r="L55" s="55">
        <f t="shared" si="5"/>
        <v>1655744.2000000002</v>
      </c>
      <c r="M55" s="47" t="s">
        <v>102</v>
      </c>
    </row>
    <row r="56" spans="1:13" ht="87" x14ac:dyDescent="0.35">
      <c r="A56" s="58">
        <v>50</v>
      </c>
      <c r="B56" s="5" t="s">
        <v>83</v>
      </c>
      <c r="C56" s="40" t="s">
        <v>129</v>
      </c>
      <c r="D56" s="63" t="s">
        <v>128</v>
      </c>
      <c r="E56" s="64">
        <v>10</v>
      </c>
      <c r="F56" s="58" t="s">
        <v>77</v>
      </c>
      <c r="G56" s="58">
        <v>49161500</v>
      </c>
      <c r="H56" s="51">
        <f t="shared" si="7"/>
        <v>88781.512605042022</v>
      </c>
      <c r="I56" s="62">
        <v>0.19</v>
      </c>
      <c r="J56" s="55">
        <v>105650</v>
      </c>
      <c r="K56" s="55">
        <f t="shared" si="6"/>
        <v>111101.54000000001</v>
      </c>
      <c r="L56" s="55">
        <f t="shared" si="5"/>
        <v>1111015.4000000001</v>
      </c>
      <c r="M56" s="47" t="s">
        <v>102</v>
      </c>
    </row>
    <row r="57" spans="1:13" ht="87" x14ac:dyDescent="0.35">
      <c r="A57" s="58">
        <v>51</v>
      </c>
      <c r="B57" s="40" t="s">
        <v>83</v>
      </c>
      <c r="C57" s="40" t="s">
        <v>127</v>
      </c>
      <c r="D57" s="63" t="s">
        <v>126</v>
      </c>
      <c r="E57" s="64">
        <v>10</v>
      </c>
      <c r="F57" s="64" t="s">
        <v>77</v>
      </c>
      <c r="G57" s="64">
        <v>49161500</v>
      </c>
      <c r="H57" s="53">
        <f t="shared" si="7"/>
        <v>28683.193277310926</v>
      </c>
      <c r="I57" s="65">
        <v>0.19</v>
      </c>
      <c r="J57" s="54">
        <v>34133</v>
      </c>
      <c r="K57" s="54">
        <f t="shared" si="6"/>
        <v>35894.262800000004</v>
      </c>
      <c r="L57" s="55">
        <f t="shared" si="5"/>
        <v>358942.62800000003</v>
      </c>
      <c r="M57" s="57" t="s">
        <v>125</v>
      </c>
    </row>
    <row r="58" spans="1:13" ht="159.5" x14ac:dyDescent="0.35">
      <c r="A58" s="58">
        <v>52</v>
      </c>
      <c r="B58" s="5" t="s">
        <v>118</v>
      </c>
      <c r="C58" s="40" t="s">
        <v>124</v>
      </c>
      <c r="D58" s="63" t="s">
        <v>123</v>
      </c>
      <c r="E58" s="64">
        <v>1</v>
      </c>
      <c r="F58" s="58" t="s">
        <v>77</v>
      </c>
      <c r="G58" s="58">
        <v>43210000</v>
      </c>
      <c r="H58" s="51">
        <f t="shared" si="7"/>
        <v>7260294.1176470593</v>
      </c>
      <c r="I58" s="62">
        <v>0.19</v>
      </c>
      <c r="J58" s="55">
        <v>8639750</v>
      </c>
      <c r="K58" s="55">
        <f t="shared" si="6"/>
        <v>9085561.1000000015</v>
      </c>
      <c r="L58" s="55">
        <f t="shared" si="5"/>
        <v>9085561.1000000015</v>
      </c>
      <c r="M58" s="47" t="s">
        <v>84</v>
      </c>
    </row>
    <row r="59" spans="1:13" ht="87" x14ac:dyDescent="0.35">
      <c r="A59" s="58">
        <v>53</v>
      </c>
      <c r="B59" s="5" t="s">
        <v>87</v>
      </c>
      <c r="C59" s="40" t="s">
        <v>122</v>
      </c>
      <c r="D59" s="63" t="s">
        <v>121</v>
      </c>
      <c r="E59" s="64">
        <v>1</v>
      </c>
      <c r="F59" s="58" t="s">
        <v>77</v>
      </c>
      <c r="G59" s="58">
        <v>141118</v>
      </c>
      <c r="H59" s="51">
        <f t="shared" si="7"/>
        <v>715146.21848739497</v>
      </c>
      <c r="I59" s="62">
        <v>0.19</v>
      </c>
      <c r="J59" s="55">
        <v>851024</v>
      </c>
      <c r="K59" s="55">
        <f t="shared" si="6"/>
        <v>894936.83840000012</v>
      </c>
      <c r="L59" s="55">
        <f t="shared" si="5"/>
        <v>894936.83840000012</v>
      </c>
      <c r="M59" s="61" t="s">
        <v>84</v>
      </c>
    </row>
    <row r="60" spans="1:13" ht="188.5" x14ac:dyDescent="0.35">
      <c r="A60" s="58">
        <v>54</v>
      </c>
      <c r="B60" s="5" t="s">
        <v>118</v>
      </c>
      <c r="C60" s="40" t="s">
        <v>120</v>
      </c>
      <c r="D60" s="63" t="s">
        <v>119</v>
      </c>
      <c r="E60" s="64">
        <v>1</v>
      </c>
      <c r="F60" s="58" t="s">
        <v>77</v>
      </c>
      <c r="G60" s="58">
        <v>43210000</v>
      </c>
      <c r="H60" s="51">
        <f t="shared" si="7"/>
        <v>1885300</v>
      </c>
      <c r="I60" s="62">
        <v>0.19</v>
      </c>
      <c r="J60" s="55">
        <v>2243507</v>
      </c>
      <c r="K60" s="55">
        <f t="shared" si="6"/>
        <v>2359271.9612000003</v>
      </c>
      <c r="L60" s="55">
        <f t="shared" si="5"/>
        <v>2359271.9612000003</v>
      </c>
      <c r="M60" s="57" t="s">
        <v>84</v>
      </c>
    </row>
    <row r="61" spans="1:13" ht="87" x14ac:dyDescent="0.35">
      <c r="A61" s="58">
        <v>55</v>
      </c>
      <c r="B61" s="5" t="s">
        <v>118</v>
      </c>
      <c r="C61" s="40" t="s">
        <v>117</v>
      </c>
      <c r="D61" s="63" t="s">
        <v>116</v>
      </c>
      <c r="E61" s="64">
        <v>2</v>
      </c>
      <c r="F61" s="58" t="s">
        <v>77</v>
      </c>
      <c r="G61" s="58">
        <v>43210000</v>
      </c>
      <c r="H61" s="51">
        <f t="shared" si="7"/>
        <v>1917434.4537815128</v>
      </c>
      <c r="I61" s="62">
        <v>0.19</v>
      </c>
      <c r="J61" s="55">
        <v>2281747</v>
      </c>
      <c r="K61" s="55">
        <f t="shared" si="6"/>
        <v>2399485.1452000001</v>
      </c>
      <c r="L61" s="55">
        <f t="shared" si="5"/>
        <v>4798970.2904000003</v>
      </c>
      <c r="M61" s="47" t="s">
        <v>115</v>
      </c>
    </row>
    <row r="62" spans="1:13" ht="87" x14ac:dyDescent="0.35">
      <c r="A62" s="58">
        <v>56</v>
      </c>
      <c r="B62" s="40" t="s">
        <v>99</v>
      </c>
      <c r="C62" s="40" t="s">
        <v>114</v>
      </c>
      <c r="D62" s="63" t="s">
        <v>113</v>
      </c>
      <c r="E62" s="64">
        <v>1</v>
      </c>
      <c r="F62" s="64" t="s">
        <v>77</v>
      </c>
      <c r="G62" s="64">
        <v>90141700</v>
      </c>
      <c r="H62" s="53">
        <f t="shared" si="7"/>
        <v>1230839.4957983193</v>
      </c>
      <c r="I62" s="65">
        <v>0.19</v>
      </c>
      <c r="J62" s="54">
        <v>1464699</v>
      </c>
      <c r="K62" s="54">
        <f t="shared" si="6"/>
        <v>1540277.4684000001</v>
      </c>
      <c r="L62" s="124">
        <f t="shared" si="5"/>
        <v>1540277.4684000001</v>
      </c>
      <c r="M62" s="57" t="s">
        <v>102</v>
      </c>
    </row>
    <row r="63" spans="1:13" ht="116" x14ac:dyDescent="0.35">
      <c r="A63" s="58">
        <v>57</v>
      </c>
      <c r="B63" s="5" t="s">
        <v>99</v>
      </c>
      <c r="C63" s="40" t="s">
        <v>112</v>
      </c>
      <c r="D63" s="63" t="s">
        <v>111</v>
      </c>
      <c r="E63" s="64">
        <v>1</v>
      </c>
      <c r="F63" s="58" t="s">
        <v>77</v>
      </c>
      <c r="G63" s="58">
        <v>90141700</v>
      </c>
      <c r="H63" s="51">
        <f t="shared" si="7"/>
        <v>1218705.8823529412</v>
      </c>
      <c r="I63" s="62">
        <v>0.19</v>
      </c>
      <c r="J63" s="55">
        <v>1450260</v>
      </c>
      <c r="K63" s="55">
        <f t="shared" si="6"/>
        <v>1525093.4160000002</v>
      </c>
      <c r="L63" s="124">
        <f t="shared" si="5"/>
        <v>1525093.4160000002</v>
      </c>
      <c r="M63" s="47" t="s">
        <v>102</v>
      </c>
    </row>
    <row r="64" spans="1:13" ht="87" x14ac:dyDescent="0.35">
      <c r="A64" s="58">
        <v>58</v>
      </c>
      <c r="B64" s="5" t="s">
        <v>83</v>
      </c>
      <c r="C64" s="40" t="s">
        <v>110</v>
      </c>
      <c r="D64" s="63" t="s">
        <v>109</v>
      </c>
      <c r="E64" s="64">
        <v>50</v>
      </c>
      <c r="F64" s="58" t="s">
        <v>77</v>
      </c>
      <c r="G64" s="58">
        <v>90141700</v>
      </c>
      <c r="H64" s="51">
        <f t="shared" si="7"/>
        <v>10672.268907563026</v>
      </c>
      <c r="I64" s="62">
        <v>0.19</v>
      </c>
      <c r="J64" s="55">
        <v>12700</v>
      </c>
      <c r="K64" s="55">
        <f t="shared" si="6"/>
        <v>13355.320000000002</v>
      </c>
      <c r="L64" s="55">
        <f t="shared" si="5"/>
        <v>667766.00000000012</v>
      </c>
      <c r="M64" s="47" t="s">
        <v>102</v>
      </c>
    </row>
    <row r="65" spans="1:13" ht="87" x14ac:dyDescent="0.35">
      <c r="A65" s="58">
        <v>59</v>
      </c>
      <c r="B65" s="5" t="s">
        <v>87</v>
      </c>
      <c r="C65" s="40" t="s">
        <v>108</v>
      </c>
      <c r="D65" s="63" t="s">
        <v>107</v>
      </c>
      <c r="E65" s="64">
        <v>2</v>
      </c>
      <c r="F65" s="58" t="s">
        <v>77</v>
      </c>
      <c r="G65" s="58">
        <v>90141700</v>
      </c>
      <c r="H65" s="51">
        <f t="shared" si="7"/>
        <v>58823.529411764706</v>
      </c>
      <c r="I65" s="62">
        <v>0.19</v>
      </c>
      <c r="J65" s="55">
        <v>70000</v>
      </c>
      <c r="K65" s="55">
        <f t="shared" si="6"/>
        <v>73612</v>
      </c>
      <c r="L65" s="55">
        <f t="shared" si="5"/>
        <v>147224</v>
      </c>
      <c r="M65" s="47" t="s">
        <v>102</v>
      </c>
    </row>
    <row r="66" spans="1:13" ht="232" x14ac:dyDescent="0.35">
      <c r="A66" s="58">
        <v>60</v>
      </c>
      <c r="B66" s="5" t="s">
        <v>87</v>
      </c>
      <c r="C66" s="40" t="s">
        <v>106</v>
      </c>
      <c r="D66" s="63" t="s">
        <v>105</v>
      </c>
      <c r="E66" s="64">
        <v>1</v>
      </c>
      <c r="F66" s="58" t="s">
        <v>77</v>
      </c>
      <c r="G66" s="58">
        <v>90141700</v>
      </c>
      <c r="H66" s="51">
        <f t="shared" si="7"/>
        <v>2049957.9831932774</v>
      </c>
      <c r="I66" s="62">
        <v>0.19</v>
      </c>
      <c r="J66" s="55">
        <v>2439450</v>
      </c>
      <c r="K66" s="55">
        <f t="shared" si="6"/>
        <v>2565325.62</v>
      </c>
      <c r="L66" s="55">
        <f t="shared" si="5"/>
        <v>2565325.62</v>
      </c>
      <c r="M66" s="47" t="s">
        <v>102</v>
      </c>
    </row>
    <row r="67" spans="1:13" ht="87" x14ac:dyDescent="0.35">
      <c r="A67" s="58">
        <v>61</v>
      </c>
      <c r="B67" s="5" t="s">
        <v>83</v>
      </c>
      <c r="C67" s="40" t="s">
        <v>104</v>
      </c>
      <c r="D67" s="63" t="s">
        <v>103</v>
      </c>
      <c r="E67" s="64">
        <v>1</v>
      </c>
      <c r="F67" s="58" t="s">
        <v>77</v>
      </c>
      <c r="G67" s="58">
        <v>90141700</v>
      </c>
      <c r="H67" s="51">
        <f t="shared" si="7"/>
        <v>175924.36974789918</v>
      </c>
      <c r="I67" s="62">
        <v>0.19</v>
      </c>
      <c r="J67" s="55">
        <v>209350</v>
      </c>
      <c r="K67" s="55">
        <f t="shared" si="6"/>
        <v>220152.46000000002</v>
      </c>
      <c r="L67" s="55">
        <f t="shared" si="5"/>
        <v>220152.46000000002</v>
      </c>
      <c r="M67" s="47" t="s">
        <v>102</v>
      </c>
    </row>
    <row r="68" spans="1:13" ht="130.5" x14ac:dyDescent="0.35">
      <c r="A68" s="58">
        <v>62</v>
      </c>
      <c r="B68" s="5" t="s">
        <v>83</v>
      </c>
      <c r="C68" s="40" t="s">
        <v>101</v>
      </c>
      <c r="D68" s="63" t="s">
        <v>100</v>
      </c>
      <c r="E68" s="64">
        <v>4</v>
      </c>
      <c r="F68" s="58" t="s">
        <v>77</v>
      </c>
      <c r="G68" s="58">
        <v>90141700</v>
      </c>
      <c r="H68" s="51">
        <f t="shared" si="7"/>
        <v>132294.11764705883</v>
      </c>
      <c r="I68" s="62">
        <v>0.19</v>
      </c>
      <c r="J68" s="55">
        <v>157430</v>
      </c>
      <c r="K68" s="55">
        <f t="shared" si="6"/>
        <v>165553.38800000001</v>
      </c>
      <c r="L68" s="55">
        <f t="shared" si="5"/>
        <v>662213.55200000003</v>
      </c>
      <c r="M68" s="68" t="s">
        <v>36</v>
      </c>
    </row>
    <row r="69" spans="1:13" ht="72.5" x14ac:dyDescent="0.35">
      <c r="A69" s="58">
        <v>63</v>
      </c>
      <c r="B69" s="5" t="s">
        <v>99</v>
      </c>
      <c r="C69" s="40" t="s">
        <v>98</v>
      </c>
      <c r="D69" s="63" t="s">
        <v>97</v>
      </c>
      <c r="E69" s="64">
        <v>24</v>
      </c>
      <c r="F69" s="58" t="s">
        <v>77</v>
      </c>
      <c r="G69" s="58">
        <v>90141700</v>
      </c>
      <c r="H69" s="51">
        <f t="shared" si="7"/>
        <v>14722.689075630253</v>
      </c>
      <c r="I69" s="62">
        <v>0.19</v>
      </c>
      <c r="J69" s="55">
        <v>17520</v>
      </c>
      <c r="K69" s="55">
        <f t="shared" si="6"/>
        <v>18424.032000000003</v>
      </c>
      <c r="L69" s="124">
        <f t="shared" si="5"/>
        <v>442176.76800000004</v>
      </c>
      <c r="M69" s="68" t="s">
        <v>36</v>
      </c>
    </row>
    <row r="70" spans="1:13" ht="72.5" x14ac:dyDescent="0.35">
      <c r="A70" s="58">
        <v>64</v>
      </c>
      <c r="B70" s="5" t="s">
        <v>83</v>
      </c>
      <c r="C70" s="40" t="s">
        <v>96</v>
      </c>
      <c r="D70" s="63" t="s">
        <v>95</v>
      </c>
      <c r="E70" s="64">
        <v>2</v>
      </c>
      <c r="F70" s="58" t="s">
        <v>77</v>
      </c>
      <c r="G70" s="58">
        <v>90141700</v>
      </c>
      <c r="H70" s="51">
        <f t="shared" si="7"/>
        <v>69756.302521008402</v>
      </c>
      <c r="I70" s="62">
        <v>0.19</v>
      </c>
      <c r="J70" s="55">
        <v>83010</v>
      </c>
      <c r="K70" s="55">
        <f t="shared" si="6"/>
        <v>87293.316000000006</v>
      </c>
      <c r="L70" s="55">
        <f t="shared" si="5"/>
        <v>174586.63200000001</v>
      </c>
      <c r="M70" s="68" t="s">
        <v>36</v>
      </c>
    </row>
    <row r="71" spans="1:13" ht="159.5" x14ac:dyDescent="0.35">
      <c r="A71" s="58">
        <v>65</v>
      </c>
      <c r="B71" s="5" t="s">
        <v>83</v>
      </c>
      <c r="C71" s="40" t="s">
        <v>94</v>
      </c>
      <c r="D71" s="63" t="s">
        <v>93</v>
      </c>
      <c r="E71" s="64">
        <v>6</v>
      </c>
      <c r="F71" s="58" t="s">
        <v>77</v>
      </c>
      <c r="G71" s="58">
        <v>49161500</v>
      </c>
      <c r="H71" s="51">
        <f t="shared" si="7"/>
        <v>61050.420168067227</v>
      </c>
      <c r="I71" s="62">
        <v>0.19</v>
      </c>
      <c r="J71" s="55">
        <v>72650</v>
      </c>
      <c r="K71" s="55">
        <f t="shared" si="6"/>
        <v>76398.740000000005</v>
      </c>
      <c r="L71" s="55">
        <f t="shared" ref="L71:L75" si="8">+K71*E71</f>
        <v>458392.44000000006</v>
      </c>
      <c r="M71" s="68" t="s">
        <v>36</v>
      </c>
    </row>
    <row r="72" spans="1:13" ht="87" x14ac:dyDescent="0.35">
      <c r="A72" s="58">
        <v>66</v>
      </c>
      <c r="B72" s="5" t="s">
        <v>87</v>
      </c>
      <c r="C72" s="40" t="s">
        <v>92</v>
      </c>
      <c r="D72" s="63" t="s">
        <v>91</v>
      </c>
      <c r="E72" s="64">
        <v>1</v>
      </c>
      <c r="F72" s="58" t="s">
        <v>77</v>
      </c>
      <c r="G72" s="58">
        <v>95131700</v>
      </c>
      <c r="H72" s="51">
        <f t="shared" si="7"/>
        <v>2188381.5126050422</v>
      </c>
      <c r="I72" s="62">
        <v>0.19</v>
      </c>
      <c r="J72" s="54">
        <v>2604174</v>
      </c>
      <c r="K72" s="55">
        <f t="shared" si="6"/>
        <v>2738549.3784000003</v>
      </c>
      <c r="L72" s="55">
        <f t="shared" si="8"/>
        <v>2738549.3784000003</v>
      </c>
      <c r="M72" s="47" t="s">
        <v>90</v>
      </c>
    </row>
    <row r="73" spans="1:13" ht="87" x14ac:dyDescent="0.35">
      <c r="A73" s="58">
        <v>67</v>
      </c>
      <c r="B73" s="5" t="s">
        <v>87</v>
      </c>
      <c r="C73" s="40" t="s">
        <v>89</v>
      </c>
      <c r="D73" s="63" t="s">
        <v>88</v>
      </c>
      <c r="E73" s="64">
        <v>4</v>
      </c>
      <c r="F73" s="58" t="s">
        <v>77</v>
      </c>
      <c r="G73" s="58">
        <v>56101500</v>
      </c>
      <c r="H73" s="51">
        <f t="shared" si="7"/>
        <v>83742.016806722691</v>
      </c>
      <c r="I73" s="62">
        <v>0.19</v>
      </c>
      <c r="J73" s="55">
        <v>99653</v>
      </c>
      <c r="K73" s="55">
        <f t="shared" si="6"/>
        <v>104795.09480000001</v>
      </c>
      <c r="L73" s="55">
        <f t="shared" si="8"/>
        <v>419180.37920000002</v>
      </c>
      <c r="M73" s="57" t="s">
        <v>84</v>
      </c>
    </row>
    <row r="74" spans="1:13" ht="87" x14ac:dyDescent="0.35">
      <c r="A74" s="58">
        <v>68</v>
      </c>
      <c r="B74" s="5" t="s">
        <v>87</v>
      </c>
      <c r="C74" s="40" t="s">
        <v>86</v>
      </c>
      <c r="D74" s="63" t="s">
        <v>85</v>
      </c>
      <c r="E74" s="64">
        <v>16</v>
      </c>
      <c r="F74" s="58" t="s">
        <v>77</v>
      </c>
      <c r="G74" s="58">
        <v>56101500</v>
      </c>
      <c r="H74" s="51">
        <f t="shared" si="7"/>
        <v>44327.731092436974</v>
      </c>
      <c r="I74" s="62">
        <v>0.19</v>
      </c>
      <c r="J74" s="55">
        <v>52750</v>
      </c>
      <c r="K74" s="55">
        <f t="shared" si="6"/>
        <v>55471.9</v>
      </c>
      <c r="L74" s="55">
        <f t="shared" si="8"/>
        <v>887550.4</v>
      </c>
      <c r="M74" s="57" t="s">
        <v>84</v>
      </c>
    </row>
    <row r="75" spans="1:13" ht="72.5" x14ac:dyDescent="0.35">
      <c r="A75" s="58">
        <v>69</v>
      </c>
      <c r="B75" s="5" t="s">
        <v>83</v>
      </c>
      <c r="C75" s="40" t="s">
        <v>82</v>
      </c>
      <c r="D75" s="63" t="s">
        <v>81</v>
      </c>
      <c r="E75" s="64">
        <v>6</v>
      </c>
      <c r="F75" s="58" t="s">
        <v>77</v>
      </c>
      <c r="G75" s="58">
        <v>49161500</v>
      </c>
      <c r="H75" s="51">
        <f t="shared" si="7"/>
        <v>82375.630252100847</v>
      </c>
      <c r="I75" s="62">
        <v>0.19</v>
      </c>
      <c r="J75" s="55">
        <v>98027</v>
      </c>
      <c r="K75" s="55">
        <f t="shared" si="6"/>
        <v>103085.19320000001</v>
      </c>
      <c r="L75" s="55">
        <f t="shared" si="8"/>
        <v>618511.15920000011</v>
      </c>
      <c r="M75" s="68" t="s">
        <v>36</v>
      </c>
    </row>
    <row r="76" spans="1:13" ht="218" thickBot="1" x14ac:dyDescent="0.4">
      <c r="A76" s="58">
        <v>70</v>
      </c>
      <c r="B76" s="5" t="s">
        <v>80</v>
      </c>
      <c r="C76" s="5" t="s">
        <v>79</v>
      </c>
      <c r="D76" s="59" t="s">
        <v>78</v>
      </c>
      <c r="E76" s="58">
        <v>1184</v>
      </c>
      <c r="F76" s="58" t="s">
        <v>477</v>
      </c>
      <c r="G76" s="58">
        <v>90141502</v>
      </c>
      <c r="H76" s="51">
        <v>39166</v>
      </c>
      <c r="I76" s="62">
        <v>0.19</v>
      </c>
      <c r="J76" s="55">
        <f>+H76*1.19</f>
        <v>46607.54</v>
      </c>
      <c r="K76" s="55">
        <f>+J76*1.0516</f>
        <v>49012.489064000009</v>
      </c>
      <c r="L76" s="69">
        <f>+K76*E76</f>
        <v>58030787.051776007</v>
      </c>
      <c r="M76" s="47" t="s">
        <v>76</v>
      </c>
    </row>
    <row r="77" spans="1:13" ht="34" customHeight="1" thickBot="1" x14ac:dyDescent="0.4">
      <c r="A77" s="163" t="s">
        <v>0</v>
      </c>
      <c r="B77" s="164"/>
      <c r="C77" s="164"/>
      <c r="D77" s="164"/>
      <c r="E77" s="164"/>
      <c r="F77" s="164"/>
      <c r="G77" s="164"/>
      <c r="H77" s="164"/>
      <c r="I77" s="164"/>
      <c r="J77" s="153">
        <f>SUM(L7:L76)</f>
        <v>669151277.28857613</v>
      </c>
      <c r="K77" s="154"/>
      <c r="L77" s="155"/>
      <c r="M77" s="47"/>
    </row>
    <row r="78" spans="1:13" x14ac:dyDescent="0.35">
      <c r="A78" s="70"/>
      <c r="B78" s="71"/>
      <c r="C78" s="70"/>
      <c r="D78" s="70"/>
      <c r="E78" s="70"/>
      <c r="F78" s="70"/>
      <c r="G78" s="70"/>
      <c r="H78" s="70"/>
      <c r="I78" s="72"/>
      <c r="J78" s="72"/>
      <c r="K78" s="72"/>
      <c r="L78" s="72"/>
      <c r="M78" s="70"/>
    </row>
    <row r="79" spans="1:13" x14ac:dyDescent="0.35">
      <c r="A79" s="70"/>
      <c r="B79" s="71"/>
      <c r="C79" s="70"/>
      <c r="D79" s="70"/>
      <c r="E79" s="70"/>
      <c r="F79" s="70"/>
      <c r="G79" s="70"/>
      <c r="H79" s="70"/>
      <c r="I79" s="72"/>
      <c r="J79" s="72"/>
      <c r="K79" s="72"/>
      <c r="L79" s="72"/>
      <c r="M79" s="70"/>
    </row>
  </sheetData>
  <autoFilter ref="A5:M77" xr:uid="{9C23A7B9-8838-4A69-9BFD-121CE6220507}">
    <filterColumn colId="7" showButton="0"/>
    <filterColumn colId="8" showButton="0"/>
  </autoFilter>
  <mergeCells count="18">
    <mergeCell ref="J77:L77"/>
    <mergeCell ref="F5:F6"/>
    <mergeCell ref="G5:G6"/>
    <mergeCell ref="H5:J5"/>
    <mergeCell ref="L5:L6"/>
    <mergeCell ref="K5:K6"/>
    <mergeCell ref="A77:I77"/>
    <mergeCell ref="A5:A6"/>
    <mergeCell ref="B5:B6"/>
    <mergeCell ref="C5:C6"/>
    <mergeCell ref="D5:D6"/>
    <mergeCell ref="E5:E6"/>
    <mergeCell ref="A1:B3"/>
    <mergeCell ref="C1:M1"/>
    <mergeCell ref="M5:M6"/>
    <mergeCell ref="A4:M4"/>
    <mergeCell ref="C3:M3"/>
    <mergeCell ref="C2:M2"/>
  </mergeCells>
  <hyperlinks>
    <hyperlink ref="M75" r:id="rId1" display="https://community.secop.gov.co/Public/Tendering/OpportunityDetail/Index?noticeUID=CO1.NTC.6324564&amp;isFromPublicArea=True&amp;isModal=False" xr:uid="{9B1BC3F9-B1DE-4D62-BE76-147C7A55649E}"/>
    <hyperlink ref="M71" r:id="rId2" display="https://community.secop.gov.co/Public/Tendering/OpportunityDetail/Index?noticeUID=CO1.NTC.6324564&amp;isFromPublicArea=True&amp;isModal=False" xr:uid="{C2399936-0B03-4723-852A-71F4F9CA3A6A}"/>
    <hyperlink ref="M70" r:id="rId3" display="https://community.secop.gov.co/Public/Tendering/OpportunityDetail/Index?noticeUID=CO1.NTC.6324564&amp;isFromPublicArea=True&amp;isModal=False" xr:uid="{74D4761C-AE98-480B-A375-FE0985E2EA3B}"/>
    <hyperlink ref="M69" r:id="rId4" display="https://community.secop.gov.co/Public/Tendering/OpportunityDetail/Index?noticeUID=CO1.NTC.6324564&amp;isFromPublicArea=True&amp;isModal=False" xr:uid="{B76BC71D-92B4-4335-976A-BC9EFB98C6EB}"/>
    <hyperlink ref="M52:M53" r:id="rId5" display="https://community.secop.gov.co/Public/Tendering/OpportunityDetail/Index?noticeUID=CO1.NTC.6324564&amp;isFromPublicArea=True&amp;isModal=False" xr:uid="{996D1A86-884F-4A3E-9D20-A391DFADA486}"/>
    <hyperlink ref="M48" r:id="rId6" display="https://community.secop.gov.co/Public/Tendering/OpportunityDetail/Index?noticeUID=CO1.NTC.6324564&amp;isFromPublicArea=True&amp;isModal=False" xr:uid="{508CBE10-308C-440A-99A5-682EDA3EC564}"/>
    <hyperlink ref="M45" r:id="rId7" display="https://community.secop.gov.co/Public/Tendering/OpportunityDetail/Index?noticeUID=CO1.NTC.6324564&amp;isFromPublicArea=True&amp;isModal=False" xr:uid="{3131A780-04D1-46D6-B63E-3A164FAC674B}"/>
    <hyperlink ref="M40:M41" r:id="rId8" display="https://community.secop.gov.co/Public/Tendering/OpportunityDetail/Index?noticeUID=CO1.NTC.6324564&amp;isFromPublicArea=True&amp;isModal=False" xr:uid="{1E4C684D-2250-44EE-99BA-63F1AEA8F92D}"/>
    <hyperlink ref="M37:M38" r:id="rId9" display="https://community.secop.gov.co/Public/Tendering/OpportunityDetail/Index?noticeUID=CO1.NTC.6324564&amp;isFromPublicArea=True&amp;isModal=False" xr:uid="{4016EAE5-DAC2-4768-87D8-FCEF6650719A}"/>
    <hyperlink ref="M33" r:id="rId10" display="https://community.secop.gov.co/Public/Tendering/OpportunityDetail/Index?noticeUID=CO1.NTC.6324564&amp;isFromPublicArea=True&amp;isModal=False" xr:uid="{A0C01781-F95B-48C8-9E46-FC9E40073FAE}"/>
    <hyperlink ref="M23" r:id="rId11" display="https://community.secop.gov.co/Public/Tendering/OpportunityDetail/Index?noticeUID=CO1.NTC.6324564&amp;isFromPublicArea=True&amp;isModal=False" xr:uid="{BFB6E5D7-645B-4826-9E62-AF8FF856C795}"/>
    <hyperlink ref="M22" r:id="rId12" display="https://community.secop.gov.co/Public/Tendering/OpportunityDetail/Index?noticeUID=CO1.NTC.6324564&amp;isFromPublicArea=True&amp;isModal=False" xr:uid="{1226EFA0-DE1C-45E9-8E5E-8D8C5B33E43E}"/>
    <hyperlink ref="M21" r:id="rId13" display="https://community.secop.gov.co/Public/Tendering/OpportunityDetail/Index?noticeUID=CO1.NTC.6324564&amp;isFromPublicArea=True&amp;isModal=False" xr:uid="{B07473E5-3BB9-41BB-BD9E-E1B20D228340}"/>
    <hyperlink ref="M20" r:id="rId14" display="https://community.secop.gov.co/Public/Tendering/OpportunityDetail/Index?noticeUID=CO1.NTC.6324564&amp;isFromPublicArea=True&amp;isModal=False" xr:uid="{49461CB7-4C1B-45DA-9D16-47121CEF5E7C}"/>
    <hyperlink ref="M14" r:id="rId15" display="https://community.secop.gov.co/Public/Tendering/OpportunityDetail/Index?noticeUID=CO1.NTC.6324564&amp;isFromPublicArea=True&amp;isModal=False" xr:uid="{7F3789A5-2EC0-4D81-A834-CF7E5677B96D}"/>
    <hyperlink ref="M68" r:id="rId16" display="https://community.secop.gov.co/Public/Tendering/OpportunityDetail/Index?noticeUID=CO1.NTC.6324564&amp;isFromPublicArea=True&amp;isModal=False" xr:uid="{4D215B9F-990F-4131-B70C-E8D8B86F5158}"/>
  </hyperlinks>
  <pageMargins left="0.7" right="0.7" top="0.75" bottom="0.75" header="0.3" footer="0.3"/>
  <drawing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7B05B-17B9-49D6-B026-6C6D9F4CF6F3}">
  <dimension ref="A1:P98"/>
  <sheetViews>
    <sheetView workbookViewId="0">
      <pane xSplit="1" ySplit="6" topLeftCell="G94" activePane="bottomRight" state="frozen"/>
      <selection pane="topRight" activeCell="B1" sqref="B1"/>
      <selection pane="bottomLeft" activeCell="A7" sqref="A7"/>
      <selection pane="bottomRight" activeCell="N95" sqref="N95"/>
    </sheetView>
  </sheetViews>
  <sheetFormatPr baseColWidth="10" defaultColWidth="10.81640625" defaultRowHeight="14.5" x14ac:dyDescent="0.35"/>
  <cols>
    <col min="1" max="1" width="9" style="42" customWidth="1"/>
    <col min="2" max="2" width="7.1796875" style="42" customWidth="1"/>
    <col min="3" max="3" width="13.81640625" style="42" customWidth="1"/>
    <col min="4" max="4" width="79.453125" style="42" customWidth="1"/>
    <col min="5" max="5" width="16.36328125" style="42" customWidth="1"/>
    <col min="6" max="7" width="17.6328125" style="42" customWidth="1"/>
    <col min="8" max="8" width="10.81640625" style="42"/>
    <col min="9" max="11" width="22.1796875" style="42" customWidth="1"/>
    <col min="12" max="12" width="31.81640625" style="42" customWidth="1"/>
    <col min="13" max="13" width="21" style="79" customWidth="1"/>
    <col min="14" max="16384" width="10.81640625" style="42"/>
  </cols>
  <sheetData>
    <row r="1" spans="1:13" s="38" customFormat="1" ht="15" customHeight="1" x14ac:dyDescent="0.35">
      <c r="B1" s="145" t="s">
        <v>1</v>
      </c>
      <c r="C1" s="146"/>
      <c r="D1" s="147" t="s">
        <v>75</v>
      </c>
      <c r="E1" s="148"/>
      <c r="F1" s="148"/>
      <c r="G1" s="148"/>
      <c r="H1" s="148"/>
      <c r="I1" s="148"/>
      <c r="J1" s="148"/>
      <c r="K1" s="148"/>
      <c r="L1" s="148"/>
      <c r="M1" s="101"/>
    </row>
    <row r="2" spans="1:13" s="38" customFormat="1" ht="15" customHeight="1" x14ac:dyDescent="0.35">
      <c r="B2" s="146"/>
      <c r="C2" s="146"/>
      <c r="D2" s="147" t="s">
        <v>74</v>
      </c>
      <c r="E2" s="148"/>
      <c r="F2" s="148"/>
      <c r="G2" s="148"/>
      <c r="H2" s="148"/>
      <c r="I2" s="148"/>
      <c r="J2" s="148"/>
      <c r="K2" s="148"/>
      <c r="L2" s="148"/>
      <c r="M2" s="101"/>
    </row>
    <row r="3" spans="1:13" s="38" customFormat="1" ht="47" customHeight="1" x14ac:dyDescent="0.35">
      <c r="B3" s="146"/>
      <c r="C3" s="146"/>
      <c r="D3" s="147" t="s">
        <v>606</v>
      </c>
      <c r="E3" s="148"/>
      <c r="F3" s="148"/>
      <c r="G3" s="148"/>
      <c r="H3" s="148"/>
      <c r="I3" s="148"/>
      <c r="J3" s="148"/>
      <c r="K3" s="148"/>
      <c r="L3" s="148"/>
      <c r="M3" s="148"/>
    </row>
    <row r="4" spans="1:13" s="38" customFormat="1" ht="18.5" customHeight="1" thickBot="1" x14ac:dyDescent="0.4">
      <c r="B4" s="173" t="s">
        <v>73</v>
      </c>
      <c r="C4" s="174"/>
      <c r="D4" s="174"/>
      <c r="E4" s="174"/>
      <c r="F4" s="174"/>
      <c r="G4" s="174"/>
      <c r="H4" s="174"/>
      <c r="I4" s="174"/>
      <c r="J4" s="174"/>
      <c r="K4" s="174"/>
      <c r="L4" s="174"/>
      <c r="M4" s="102">
        <v>1.0483</v>
      </c>
    </row>
    <row r="5" spans="1:13" s="38" customFormat="1" ht="15" customHeight="1" thickBot="1" x14ac:dyDescent="0.4">
      <c r="A5" s="158" t="s">
        <v>552</v>
      </c>
      <c r="B5" s="158" t="s">
        <v>72</v>
      </c>
      <c r="C5" s="158" t="s">
        <v>71</v>
      </c>
      <c r="D5" s="156" t="s">
        <v>70</v>
      </c>
      <c r="E5" s="169" t="s">
        <v>69</v>
      </c>
      <c r="F5" s="158" t="s">
        <v>227</v>
      </c>
      <c r="G5" s="171" t="s">
        <v>432</v>
      </c>
      <c r="H5" s="158" t="s">
        <v>68</v>
      </c>
      <c r="I5" s="160" t="s">
        <v>67</v>
      </c>
      <c r="J5" s="161"/>
      <c r="K5" s="162"/>
      <c r="L5" s="167" t="s">
        <v>66</v>
      </c>
      <c r="M5" s="167" t="s">
        <v>458</v>
      </c>
    </row>
    <row r="6" spans="1:13" s="38" customFormat="1" ht="29.5" thickBot="1" x14ac:dyDescent="0.4">
      <c r="A6" s="181"/>
      <c r="B6" s="159"/>
      <c r="C6" s="159"/>
      <c r="D6" s="157"/>
      <c r="E6" s="170"/>
      <c r="F6" s="159"/>
      <c r="G6" s="172"/>
      <c r="H6" s="159"/>
      <c r="I6" s="3" t="s">
        <v>65</v>
      </c>
      <c r="J6" s="3" t="s">
        <v>64</v>
      </c>
      <c r="K6" s="3" t="s">
        <v>63</v>
      </c>
      <c r="L6" s="168"/>
      <c r="M6" s="168"/>
    </row>
    <row r="7" spans="1:13" ht="130.5" x14ac:dyDescent="0.35">
      <c r="A7" s="178">
        <v>43381</v>
      </c>
      <c r="B7" s="111">
        <v>1</v>
      </c>
      <c r="C7" s="5" t="s">
        <v>41</v>
      </c>
      <c r="D7" s="5" t="s">
        <v>62</v>
      </c>
      <c r="E7" s="5" t="s">
        <v>512</v>
      </c>
      <c r="F7" s="114">
        <v>2</v>
      </c>
      <c r="G7" s="114" t="s">
        <v>61</v>
      </c>
      <c r="H7" s="5">
        <v>80111700</v>
      </c>
      <c r="I7" s="106">
        <v>5635001</v>
      </c>
      <c r="J7" s="108">
        <v>0</v>
      </c>
      <c r="K7" s="106">
        <v>5635001</v>
      </c>
      <c r="L7" s="113">
        <f>K7/30*4*F7</f>
        <v>1502666.9333333333</v>
      </c>
      <c r="M7" s="75" t="s">
        <v>3</v>
      </c>
    </row>
    <row r="8" spans="1:13" s="44" customFormat="1" ht="29" x14ac:dyDescent="0.35">
      <c r="A8" s="178"/>
      <c r="B8" s="5">
        <v>2</v>
      </c>
      <c r="C8" s="5" t="s">
        <v>2</v>
      </c>
      <c r="D8" s="5" t="s">
        <v>479</v>
      </c>
      <c r="E8" s="5" t="s">
        <v>510</v>
      </c>
      <c r="F8" s="114">
        <v>1</v>
      </c>
      <c r="G8" s="114" t="s">
        <v>51</v>
      </c>
      <c r="H8" s="5">
        <v>43221500</v>
      </c>
      <c r="I8" s="135">
        <f>420000*M4</f>
        <v>440286</v>
      </c>
      <c r="J8" s="113">
        <f>ROUND(I8*19%,0)</f>
        <v>83654</v>
      </c>
      <c r="K8" s="113">
        <f>+I8+J8</f>
        <v>523940</v>
      </c>
      <c r="L8" s="113">
        <f>K8*4</f>
        <v>2095760</v>
      </c>
      <c r="M8" s="111" t="s">
        <v>1</v>
      </c>
    </row>
    <row r="9" spans="1:13" s="44" customFormat="1" ht="29" x14ac:dyDescent="0.35">
      <c r="A9" s="178"/>
      <c r="B9" s="111">
        <v>3</v>
      </c>
      <c r="C9" s="5" t="s">
        <v>2</v>
      </c>
      <c r="D9" s="5" t="s">
        <v>511</v>
      </c>
      <c r="E9" s="5" t="s">
        <v>513</v>
      </c>
      <c r="F9" s="114">
        <v>1</v>
      </c>
      <c r="G9" s="114" t="s">
        <v>51</v>
      </c>
      <c r="H9" s="5">
        <v>45111609</v>
      </c>
      <c r="I9" s="113">
        <f>596673*1.0483</f>
        <v>625492.30590000004</v>
      </c>
      <c r="J9" s="113">
        <f>ROUND(I9*19%,0)</f>
        <v>118844</v>
      </c>
      <c r="K9" s="113">
        <f>+I9+J9</f>
        <v>744336.30590000004</v>
      </c>
      <c r="L9" s="113">
        <f>K9*4</f>
        <v>2977345.2236000001</v>
      </c>
      <c r="M9" s="111" t="s">
        <v>16</v>
      </c>
    </row>
    <row r="10" spans="1:13" s="44" customFormat="1" ht="29" x14ac:dyDescent="0.35">
      <c r="A10" s="178"/>
      <c r="B10" s="5">
        <v>4</v>
      </c>
      <c r="C10" s="5" t="s">
        <v>2</v>
      </c>
      <c r="D10" s="5" t="s">
        <v>35</v>
      </c>
      <c r="E10" s="5" t="s">
        <v>514</v>
      </c>
      <c r="F10" s="114">
        <v>1</v>
      </c>
      <c r="G10" s="114" t="s">
        <v>51</v>
      </c>
      <c r="H10" s="5">
        <v>43211500</v>
      </c>
      <c r="I10" s="113">
        <f>115800*M4</f>
        <v>121393.14</v>
      </c>
      <c r="J10" s="113">
        <f>ROUND(I10*19%,0)</f>
        <v>23065</v>
      </c>
      <c r="K10" s="113">
        <f>+I10+J10</f>
        <v>144458.14000000001</v>
      </c>
      <c r="L10" s="113">
        <f>K10*4</f>
        <v>577832.56000000006</v>
      </c>
      <c r="M10" s="111" t="s">
        <v>1</v>
      </c>
    </row>
    <row r="11" spans="1:13" s="44" customFormat="1" ht="232" x14ac:dyDescent="0.35">
      <c r="A11" s="178"/>
      <c r="B11" s="111">
        <v>5</v>
      </c>
      <c r="C11" s="5" t="s">
        <v>2</v>
      </c>
      <c r="D11" s="5" t="s">
        <v>611</v>
      </c>
      <c r="E11" s="5" t="s">
        <v>515</v>
      </c>
      <c r="F11" s="114">
        <v>1</v>
      </c>
      <c r="G11" s="114" t="s">
        <v>51</v>
      </c>
      <c r="H11" s="5">
        <v>95141707</v>
      </c>
      <c r="I11" s="108">
        <v>0</v>
      </c>
      <c r="J11" s="108">
        <v>0</v>
      </c>
      <c r="K11" s="108">
        <v>0</v>
      </c>
      <c r="L11" s="108">
        <v>0</v>
      </c>
      <c r="M11" s="111" t="s">
        <v>60</v>
      </c>
    </row>
    <row r="12" spans="1:13" s="44" customFormat="1" ht="29" x14ac:dyDescent="0.35">
      <c r="A12" s="178"/>
      <c r="B12" s="5">
        <v>6</v>
      </c>
      <c r="C12" s="5" t="s">
        <v>2</v>
      </c>
      <c r="D12" s="5" t="s">
        <v>59</v>
      </c>
      <c r="E12" s="5" t="s">
        <v>516</v>
      </c>
      <c r="F12" s="114">
        <v>48</v>
      </c>
      <c r="G12" s="114" t="s">
        <v>509</v>
      </c>
      <c r="H12" s="5">
        <v>60121523</v>
      </c>
      <c r="I12" s="113">
        <f>1933*M4</f>
        <v>2026.3639000000001</v>
      </c>
      <c r="J12" s="113">
        <f>ROUND(I12*19%,0)</f>
        <v>385</v>
      </c>
      <c r="K12" s="113">
        <f>+I12+J12</f>
        <v>2411.3639000000003</v>
      </c>
      <c r="L12" s="113">
        <f t="shared" ref="L12:L21" si="0">K12*F12</f>
        <v>115745.46720000001</v>
      </c>
      <c r="M12" s="111">
        <v>28831</v>
      </c>
    </row>
    <row r="13" spans="1:13" s="44" customFormat="1" ht="43.5" x14ac:dyDescent="0.35">
      <c r="A13" s="178"/>
      <c r="B13" s="111">
        <v>7</v>
      </c>
      <c r="C13" s="5" t="s">
        <v>2</v>
      </c>
      <c r="D13" s="5" t="s">
        <v>58</v>
      </c>
      <c r="E13" s="5" t="s">
        <v>517</v>
      </c>
      <c r="F13" s="114">
        <v>60</v>
      </c>
      <c r="G13" s="114">
        <v>1</v>
      </c>
      <c r="H13" s="5">
        <v>93141701</v>
      </c>
      <c r="I13" s="113">
        <v>5000</v>
      </c>
      <c r="J13" s="108"/>
      <c r="K13" s="113">
        <v>5000</v>
      </c>
      <c r="L13" s="113">
        <f t="shared" si="0"/>
        <v>300000</v>
      </c>
      <c r="M13" s="140" t="s">
        <v>57</v>
      </c>
    </row>
    <row r="14" spans="1:13" s="44" customFormat="1" ht="127.75" customHeight="1" x14ac:dyDescent="0.35">
      <c r="A14" s="178"/>
      <c r="B14" s="5">
        <v>8</v>
      </c>
      <c r="C14" s="5" t="s">
        <v>2</v>
      </c>
      <c r="D14" s="5" t="s">
        <v>56</v>
      </c>
      <c r="E14" s="5" t="s">
        <v>518</v>
      </c>
      <c r="F14" s="114">
        <v>48</v>
      </c>
      <c r="G14" s="114" t="s">
        <v>509</v>
      </c>
      <c r="H14" s="5">
        <v>24122000</v>
      </c>
      <c r="I14" s="113">
        <f>12397*1.0483</f>
        <v>12995.775100000001</v>
      </c>
      <c r="J14" s="113">
        <f>ROUND(I14*19%,0)</f>
        <v>2469</v>
      </c>
      <c r="K14" s="113">
        <f>+I14+J14</f>
        <v>15464.775100000001</v>
      </c>
      <c r="L14" s="113">
        <f t="shared" si="0"/>
        <v>742309.20480000007</v>
      </c>
      <c r="M14" s="111" t="s">
        <v>18</v>
      </c>
    </row>
    <row r="15" spans="1:13" s="44" customFormat="1" ht="145" x14ac:dyDescent="0.35">
      <c r="A15" s="178"/>
      <c r="B15" s="111">
        <v>9</v>
      </c>
      <c r="C15" s="5" t="s">
        <v>2</v>
      </c>
      <c r="D15" s="5" t="s">
        <v>15</v>
      </c>
      <c r="E15" s="5" t="s">
        <v>519</v>
      </c>
      <c r="F15" s="114">
        <v>120</v>
      </c>
      <c r="G15" s="114" t="s">
        <v>509</v>
      </c>
      <c r="H15" s="5">
        <v>60121008</v>
      </c>
      <c r="I15" s="135">
        <f>4100*1.0483</f>
        <v>4298.03</v>
      </c>
      <c r="J15" s="50">
        <f>I15*19%</f>
        <v>816.62569999999994</v>
      </c>
      <c r="K15" s="50">
        <f>J15+I15</f>
        <v>5114.6556999999993</v>
      </c>
      <c r="L15" s="113">
        <f t="shared" si="0"/>
        <v>613758.68399999989</v>
      </c>
      <c r="M15" s="111" t="s">
        <v>1</v>
      </c>
    </row>
    <row r="16" spans="1:13" s="44" customFormat="1" ht="217.5" x14ac:dyDescent="0.35">
      <c r="A16" s="178"/>
      <c r="B16" s="5">
        <v>10</v>
      </c>
      <c r="C16" s="5" t="s">
        <v>2</v>
      </c>
      <c r="D16" s="5" t="s">
        <v>55</v>
      </c>
      <c r="E16" s="5" t="s">
        <v>520</v>
      </c>
      <c r="F16" s="114">
        <v>2</v>
      </c>
      <c r="G16" s="114" t="s">
        <v>494</v>
      </c>
      <c r="H16" s="5">
        <v>20102301</v>
      </c>
      <c r="I16" s="113">
        <f>843100*1.0483</f>
        <v>883821.73</v>
      </c>
      <c r="J16" s="50">
        <f>I16*19%</f>
        <v>167926.1287</v>
      </c>
      <c r="K16" s="50">
        <f>J16+I16</f>
        <v>1051747.8587</v>
      </c>
      <c r="L16" s="50">
        <f t="shared" si="0"/>
        <v>2103495.7174</v>
      </c>
      <c r="M16" s="111" t="s">
        <v>1</v>
      </c>
    </row>
    <row r="17" spans="1:16" s="44" customFormat="1" ht="71.5" customHeight="1" x14ac:dyDescent="0.35">
      <c r="A17" s="178"/>
      <c r="B17" s="111">
        <v>11</v>
      </c>
      <c r="C17" s="5" t="s">
        <v>2</v>
      </c>
      <c r="D17" s="5" t="s">
        <v>38</v>
      </c>
      <c r="E17" s="5" t="s">
        <v>521</v>
      </c>
      <c r="F17" s="114">
        <v>2</v>
      </c>
      <c r="G17" s="114" t="s">
        <v>494</v>
      </c>
      <c r="H17" s="5">
        <v>48101600</v>
      </c>
      <c r="I17" s="135">
        <f>360300*1.0483</f>
        <v>377702.49</v>
      </c>
      <c r="J17" s="50">
        <f>I17*19%</f>
        <v>71763.473100000003</v>
      </c>
      <c r="K17" s="50">
        <f>J17+I17</f>
        <v>449465.96309999999</v>
      </c>
      <c r="L17" s="113">
        <f t="shared" si="0"/>
        <v>898931.92619999999</v>
      </c>
      <c r="M17" s="111" t="s">
        <v>1</v>
      </c>
    </row>
    <row r="18" spans="1:16" s="44" customFormat="1" ht="116" x14ac:dyDescent="0.35">
      <c r="A18" s="178"/>
      <c r="B18" s="5">
        <v>12</v>
      </c>
      <c r="C18" s="5" t="s">
        <v>2</v>
      </c>
      <c r="D18" s="5" t="s">
        <v>10</v>
      </c>
      <c r="E18" s="5" t="s">
        <v>519</v>
      </c>
      <c r="F18" s="114">
        <v>6</v>
      </c>
      <c r="G18" s="114" t="s">
        <v>509</v>
      </c>
      <c r="H18" s="5">
        <v>14111500</v>
      </c>
      <c r="I18" s="113">
        <f>41555*1.0483</f>
        <v>43562.106500000002</v>
      </c>
      <c r="J18" s="50">
        <f>I18*19%</f>
        <v>8276.8002350000006</v>
      </c>
      <c r="K18" s="50">
        <f>J18+I18</f>
        <v>51838.906735000004</v>
      </c>
      <c r="L18" s="113">
        <f t="shared" si="0"/>
        <v>311033.44041000004</v>
      </c>
      <c r="M18" s="111" t="s">
        <v>9</v>
      </c>
    </row>
    <row r="19" spans="1:16" s="44" customFormat="1" ht="45.5" customHeight="1" x14ac:dyDescent="0.35">
      <c r="A19" s="178"/>
      <c r="B19" s="111">
        <v>13</v>
      </c>
      <c r="C19" s="5" t="s">
        <v>2</v>
      </c>
      <c r="D19" s="136" t="s">
        <v>31</v>
      </c>
      <c r="E19" s="136" t="s">
        <v>522</v>
      </c>
      <c r="F19" s="114">
        <v>48</v>
      </c>
      <c r="G19" s="114" t="s">
        <v>509</v>
      </c>
      <c r="H19" s="5">
        <v>14111514</v>
      </c>
      <c r="I19" s="109">
        <f>12100*1.0483</f>
        <v>12684.43</v>
      </c>
      <c r="J19" s="113">
        <f>ROUND(I19*19%,0)</f>
        <v>2410</v>
      </c>
      <c r="K19" s="113">
        <f>+I19+J19</f>
        <v>15094.43</v>
      </c>
      <c r="L19" s="113">
        <f t="shared" si="0"/>
        <v>724532.64</v>
      </c>
      <c r="M19" s="111">
        <v>28831</v>
      </c>
    </row>
    <row r="20" spans="1:16" s="44" customFormat="1" ht="116" x14ac:dyDescent="0.35">
      <c r="A20" s="178"/>
      <c r="B20" s="5">
        <v>14</v>
      </c>
      <c r="C20" s="5" t="s">
        <v>2</v>
      </c>
      <c r="D20" s="136" t="s">
        <v>37</v>
      </c>
      <c r="E20" s="136" t="s">
        <v>523</v>
      </c>
      <c r="F20" s="114">
        <v>48</v>
      </c>
      <c r="G20" s="114" t="s">
        <v>509</v>
      </c>
      <c r="H20" s="5">
        <v>14111608</v>
      </c>
      <c r="I20" s="51">
        <v>9834</v>
      </c>
      <c r="J20" s="113">
        <f>ROUND(I20*19%,0)</f>
        <v>1868</v>
      </c>
      <c r="K20" s="113">
        <f>+I20+J20</f>
        <v>11702</v>
      </c>
      <c r="L20" s="113">
        <f t="shared" si="0"/>
        <v>561696</v>
      </c>
      <c r="M20" s="111" t="s">
        <v>36</v>
      </c>
    </row>
    <row r="21" spans="1:16" s="44" customFormat="1" ht="58" x14ac:dyDescent="0.35">
      <c r="A21" s="178"/>
      <c r="B21" s="111">
        <v>15</v>
      </c>
      <c r="C21" s="5" t="s">
        <v>2</v>
      </c>
      <c r="D21" s="5" t="s">
        <v>54</v>
      </c>
      <c r="E21" s="5" t="s">
        <v>524</v>
      </c>
      <c r="F21" s="114">
        <v>24</v>
      </c>
      <c r="G21" s="114" t="s">
        <v>509</v>
      </c>
      <c r="H21" s="5" t="s">
        <v>6</v>
      </c>
      <c r="I21" s="108">
        <v>2000000</v>
      </c>
      <c r="J21" s="108">
        <v>0</v>
      </c>
      <c r="K21" s="108">
        <v>2000000</v>
      </c>
      <c r="L21" s="113">
        <f t="shared" si="0"/>
        <v>48000000</v>
      </c>
      <c r="M21" s="111" t="s">
        <v>53</v>
      </c>
    </row>
    <row r="22" spans="1:16" s="44" customFormat="1" ht="87" x14ac:dyDescent="0.35">
      <c r="A22" s="179">
        <v>38071</v>
      </c>
      <c r="B22" s="5">
        <v>16</v>
      </c>
      <c r="C22" s="5" t="s">
        <v>41</v>
      </c>
      <c r="D22" s="5" t="s">
        <v>594</v>
      </c>
      <c r="E22" s="5" t="s">
        <v>525</v>
      </c>
      <c r="F22" s="111">
        <v>2</v>
      </c>
      <c r="G22" s="111" t="s">
        <v>52</v>
      </c>
      <c r="H22" s="5">
        <v>80111700</v>
      </c>
      <c r="I22" s="106">
        <v>4917000</v>
      </c>
      <c r="J22" s="108">
        <f>+I22*0.19</f>
        <v>934230</v>
      </c>
      <c r="K22" s="106">
        <f>+J22+I22</f>
        <v>5851230</v>
      </c>
      <c r="L22" s="113">
        <f>K22/30*4</f>
        <v>780164</v>
      </c>
      <c r="M22" s="75" t="s">
        <v>3</v>
      </c>
      <c r="N22" s="42"/>
      <c r="O22" s="42"/>
      <c r="P22" s="42"/>
    </row>
    <row r="23" spans="1:16" s="44" customFormat="1" ht="43.5" x14ac:dyDescent="0.35">
      <c r="A23" s="179"/>
      <c r="B23" s="111">
        <v>17</v>
      </c>
      <c r="C23" s="5" t="s">
        <v>23</v>
      </c>
      <c r="D23" s="5" t="s">
        <v>22</v>
      </c>
      <c r="E23" s="5" t="s">
        <v>526</v>
      </c>
      <c r="F23" s="5">
        <v>1</v>
      </c>
      <c r="G23" s="5" t="s">
        <v>7</v>
      </c>
      <c r="H23" s="5">
        <v>80111700</v>
      </c>
      <c r="I23" s="113">
        <f>198700*1.0483</f>
        <v>208297.21</v>
      </c>
      <c r="J23" s="108" t="s">
        <v>21</v>
      </c>
      <c r="K23" s="113">
        <f>I23</f>
        <v>208297.21</v>
      </c>
      <c r="L23" s="113">
        <f>K23*2</f>
        <v>416594.42</v>
      </c>
      <c r="M23" s="111">
        <v>36983</v>
      </c>
    </row>
    <row r="24" spans="1:16" s="44" customFormat="1" ht="29" x14ac:dyDescent="0.35">
      <c r="A24" s="179"/>
      <c r="B24" s="5">
        <v>18</v>
      </c>
      <c r="C24" s="5" t="s">
        <v>2</v>
      </c>
      <c r="D24" s="5" t="s">
        <v>479</v>
      </c>
      <c r="E24" s="5" t="s">
        <v>510</v>
      </c>
      <c r="F24" s="5">
        <v>2</v>
      </c>
      <c r="G24" s="5" t="s">
        <v>51</v>
      </c>
      <c r="H24" s="5">
        <v>43221500</v>
      </c>
      <c r="I24" s="135">
        <f>420000*1.0483</f>
        <v>440286</v>
      </c>
      <c r="J24" s="113">
        <f>ROUND(I24*19%,0)</f>
        <v>83654</v>
      </c>
      <c r="K24" s="113">
        <f>+I24+J24</f>
        <v>523940</v>
      </c>
      <c r="L24" s="113">
        <f>K24*4</f>
        <v>2095760</v>
      </c>
      <c r="M24" s="111" t="s">
        <v>1</v>
      </c>
    </row>
    <row r="25" spans="1:16" s="44" customFormat="1" ht="29" x14ac:dyDescent="0.35">
      <c r="A25" s="179"/>
      <c r="B25" s="111">
        <v>19</v>
      </c>
      <c r="C25" s="5" t="s">
        <v>2</v>
      </c>
      <c r="D25" s="5" t="s">
        <v>527</v>
      </c>
      <c r="E25" s="5" t="s">
        <v>513</v>
      </c>
      <c r="F25" s="5">
        <v>1</v>
      </c>
      <c r="G25" s="5" t="s">
        <v>51</v>
      </c>
      <c r="H25" s="5">
        <v>45111609</v>
      </c>
      <c r="I25" s="113">
        <f>596673*1.0483</f>
        <v>625492.30590000004</v>
      </c>
      <c r="J25" s="113">
        <f>ROUND(I25*19%,0)</f>
        <v>118844</v>
      </c>
      <c r="K25" s="113">
        <f>+I25+J25</f>
        <v>744336.30590000004</v>
      </c>
      <c r="L25" s="113">
        <f>K25*4</f>
        <v>2977345.2236000001</v>
      </c>
      <c r="M25" s="111" t="s">
        <v>16</v>
      </c>
    </row>
    <row r="26" spans="1:16" s="44" customFormat="1" ht="246.5" x14ac:dyDescent="0.35">
      <c r="A26" s="179"/>
      <c r="B26" s="5">
        <v>20</v>
      </c>
      <c r="C26" s="5" t="s">
        <v>2</v>
      </c>
      <c r="D26" s="5" t="s">
        <v>481</v>
      </c>
      <c r="E26" s="5" t="s">
        <v>515</v>
      </c>
      <c r="F26" s="5">
        <v>1</v>
      </c>
      <c r="G26" s="5" t="s">
        <v>51</v>
      </c>
      <c r="H26" s="5">
        <v>95141707</v>
      </c>
      <c r="I26" s="108"/>
      <c r="J26" s="108"/>
      <c r="K26" s="108"/>
      <c r="L26" s="108"/>
      <c r="M26" s="111" t="s">
        <v>50</v>
      </c>
    </row>
    <row r="27" spans="1:16" s="44" customFormat="1" ht="130.5" x14ac:dyDescent="0.35">
      <c r="A27" s="179"/>
      <c r="B27" s="111">
        <v>21</v>
      </c>
      <c r="C27" s="5" t="s">
        <v>2</v>
      </c>
      <c r="D27" s="5" t="s">
        <v>482</v>
      </c>
      <c r="E27" s="5" t="s">
        <v>528</v>
      </c>
      <c r="F27" s="5">
        <v>100</v>
      </c>
      <c r="G27" s="5" t="s">
        <v>509</v>
      </c>
      <c r="H27" s="5" t="s">
        <v>49</v>
      </c>
      <c r="I27" s="108">
        <v>500000</v>
      </c>
      <c r="J27" s="108">
        <f>+I27*0.19</f>
        <v>95000</v>
      </c>
      <c r="K27" s="108">
        <f>+I27+J27</f>
        <v>595000</v>
      </c>
      <c r="L27" s="108">
        <f>+K27*F27</f>
        <v>59500000</v>
      </c>
      <c r="M27" s="111" t="s">
        <v>48</v>
      </c>
    </row>
    <row r="28" spans="1:16" s="44" customFormat="1" ht="116" x14ac:dyDescent="0.35">
      <c r="A28" s="179"/>
      <c r="B28" s="5">
        <v>22</v>
      </c>
      <c r="C28" s="5" t="s">
        <v>2</v>
      </c>
      <c r="D28" s="136" t="s">
        <v>37</v>
      </c>
      <c r="E28" s="136" t="s">
        <v>523</v>
      </c>
      <c r="F28" s="114">
        <v>100</v>
      </c>
      <c r="G28" s="114" t="s">
        <v>509</v>
      </c>
      <c r="H28" s="5">
        <v>14111608</v>
      </c>
      <c r="I28" s="51">
        <f>9834*1.0483</f>
        <v>10308.9822</v>
      </c>
      <c r="J28" s="113">
        <f>ROUND(I28*19%,0)</f>
        <v>1959</v>
      </c>
      <c r="K28" s="113">
        <f>+I28+J28</f>
        <v>12267.9822</v>
      </c>
      <c r="L28" s="113">
        <f>K28*100</f>
        <v>1226798.22</v>
      </c>
      <c r="M28" s="111" t="s">
        <v>36</v>
      </c>
    </row>
    <row r="29" spans="1:16" s="44" customFormat="1" ht="145" x14ac:dyDescent="0.35">
      <c r="A29" s="179"/>
      <c r="B29" s="111">
        <v>23</v>
      </c>
      <c r="C29" s="5" t="s">
        <v>2</v>
      </c>
      <c r="D29" s="5" t="s">
        <v>15</v>
      </c>
      <c r="E29" s="5" t="s">
        <v>519</v>
      </c>
      <c r="F29" s="114">
        <v>60</v>
      </c>
      <c r="G29" s="114" t="s">
        <v>509</v>
      </c>
      <c r="H29" s="5">
        <v>60121008</v>
      </c>
      <c r="I29" s="135">
        <f>4100*1.0483</f>
        <v>4298.03</v>
      </c>
      <c r="J29" s="50">
        <f t="shared" ref="J29:J37" si="1">I29*19%</f>
        <v>816.62569999999994</v>
      </c>
      <c r="K29" s="50">
        <f t="shared" ref="K29:K37" si="2">J29+I29</f>
        <v>5114.6556999999993</v>
      </c>
      <c r="L29" s="113">
        <f>K29*60</f>
        <v>306879.34199999995</v>
      </c>
      <c r="M29" s="111" t="s">
        <v>1</v>
      </c>
    </row>
    <row r="30" spans="1:16" s="46" customFormat="1" ht="29" x14ac:dyDescent="0.35">
      <c r="A30" s="179"/>
      <c r="B30" s="5">
        <v>24</v>
      </c>
      <c r="C30" s="5" t="s">
        <v>2</v>
      </c>
      <c r="D30" s="5" t="s">
        <v>13</v>
      </c>
      <c r="E30" s="5" t="s">
        <v>529</v>
      </c>
      <c r="F30" s="114" t="s">
        <v>530</v>
      </c>
      <c r="G30" s="114" t="s">
        <v>12</v>
      </c>
      <c r="H30" s="5">
        <v>80111700</v>
      </c>
      <c r="I30" s="113">
        <f>221500*1.0483</f>
        <v>232198.45</v>
      </c>
      <c r="J30" s="50">
        <f t="shared" si="1"/>
        <v>44117.705500000004</v>
      </c>
      <c r="K30" s="50">
        <f t="shared" si="2"/>
        <v>276316.15549999999</v>
      </c>
      <c r="L30" s="113">
        <f>K30*8</f>
        <v>2210529.2439999999</v>
      </c>
      <c r="M30" s="111" t="s">
        <v>1</v>
      </c>
    </row>
    <row r="31" spans="1:16" s="46" customFormat="1" ht="116" x14ac:dyDescent="0.35">
      <c r="A31" s="179"/>
      <c r="B31" s="111">
        <v>25</v>
      </c>
      <c r="C31" s="5" t="s">
        <v>2</v>
      </c>
      <c r="D31" s="5" t="s">
        <v>10</v>
      </c>
      <c r="E31" s="5" t="s">
        <v>519</v>
      </c>
      <c r="F31" s="114">
        <v>6</v>
      </c>
      <c r="G31" s="114" t="s">
        <v>509</v>
      </c>
      <c r="H31" s="5">
        <v>14111500</v>
      </c>
      <c r="I31" s="141">
        <f>41555*1.0483</f>
        <v>43562.106500000002</v>
      </c>
      <c r="J31" s="50">
        <f t="shared" si="1"/>
        <v>8276.8002350000006</v>
      </c>
      <c r="K31" s="50">
        <f t="shared" si="2"/>
        <v>51838.906735000004</v>
      </c>
      <c r="L31" s="113">
        <f>K31*6</f>
        <v>311033.44041000004</v>
      </c>
      <c r="M31" s="111" t="s">
        <v>9</v>
      </c>
    </row>
    <row r="32" spans="1:16" s="46" customFormat="1" ht="29" x14ac:dyDescent="0.35">
      <c r="A32" s="179"/>
      <c r="B32" s="5">
        <v>26</v>
      </c>
      <c r="C32" s="5" t="s">
        <v>2</v>
      </c>
      <c r="D32" s="5" t="s">
        <v>30</v>
      </c>
      <c r="E32" s="5" t="s">
        <v>531</v>
      </c>
      <c r="F32" s="114">
        <v>200</v>
      </c>
      <c r="G32" s="114" t="s">
        <v>12</v>
      </c>
      <c r="H32" s="5">
        <v>56101500</v>
      </c>
      <c r="I32" s="113">
        <f>1900*1.0483</f>
        <v>1991.77</v>
      </c>
      <c r="J32" s="50">
        <f t="shared" si="1"/>
        <v>378.43630000000002</v>
      </c>
      <c r="K32" s="50">
        <f t="shared" si="2"/>
        <v>2370.2062999999998</v>
      </c>
      <c r="L32" s="113">
        <f>K32*F32*2</f>
        <v>948082.5199999999</v>
      </c>
      <c r="M32" s="111" t="s">
        <v>1</v>
      </c>
    </row>
    <row r="33" spans="1:16" s="46" customFormat="1" ht="72.5" x14ac:dyDescent="0.35">
      <c r="A33" s="179"/>
      <c r="B33" s="111">
        <v>27</v>
      </c>
      <c r="C33" s="5" t="s">
        <v>2</v>
      </c>
      <c r="D33" s="5" t="s">
        <v>24</v>
      </c>
      <c r="E33" s="5" t="s">
        <v>532</v>
      </c>
      <c r="F33" s="114">
        <v>2</v>
      </c>
      <c r="G33" s="114" t="s">
        <v>12</v>
      </c>
      <c r="H33" s="142">
        <v>45111700</v>
      </c>
      <c r="I33" s="108">
        <v>1953400</v>
      </c>
      <c r="J33" s="50">
        <f t="shared" si="1"/>
        <v>371146</v>
      </c>
      <c r="K33" s="50">
        <f t="shared" si="2"/>
        <v>2324546</v>
      </c>
      <c r="L33" s="108">
        <f>+K33*F33</f>
        <v>4649092</v>
      </c>
      <c r="M33" s="111"/>
    </row>
    <row r="34" spans="1:16" s="46" customFormat="1" ht="29" x14ac:dyDescent="0.35">
      <c r="A34" s="179"/>
      <c r="B34" s="5">
        <v>28</v>
      </c>
      <c r="C34" s="5" t="s">
        <v>2</v>
      </c>
      <c r="D34" s="5" t="s">
        <v>483</v>
      </c>
      <c r="E34" s="5" t="s">
        <v>533</v>
      </c>
      <c r="F34" s="114">
        <v>2</v>
      </c>
      <c r="G34" s="114" t="s">
        <v>7</v>
      </c>
      <c r="H34" s="5">
        <v>39120000</v>
      </c>
      <c r="I34" s="108">
        <v>815700</v>
      </c>
      <c r="J34" s="50">
        <f t="shared" si="1"/>
        <v>154983</v>
      </c>
      <c r="K34" s="50">
        <f t="shared" si="2"/>
        <v>970683</v>
      </c>
      <c r="L34" s="108">
        <f>+K34*F34</f>
        <v>1941366</v>
      </c>
      <c r="M34" s="111"/>
    </row>
    <row r="35" spans="1:16" s="46" customFormat="1" ht="43.5" x14ac:dyDescent="0.35">
      <c r="A35" s="179"/>
      <c r="B35" s="111">
        <v>29</v>
      </c>
      <c r="C35" s="5" t="s">
        <v>2</v>
      </c>
      <c r="D35" s="5" t="s">
        <v>29</v>
      </c>
      <c r="E35" s="5" t="s">
        <v>534</v>
      </c>
      <c r="F35" s="114">
        <v>100</v>
      </c>
      <c r="G35" s="114" t="s">
        <v>509</v>
      </c>
      <c r="H35" s="5">
        <v>60101405</v>
      </c>
      <c r="I35" s="113">
        <f>5300*1.0483</f>
        <v>5555.99</v>
      </c>
      <c r="J35" s="50">
        <f t="shared" si="1"/>
        <v>1055.6380999999999</v>
      </c>
      <c r="K35" s="50">
        <f t="shared" si="2"/>
        <v>6611.6280999999999</v>
      </c>
      <c r="L35" s="113">
        <f>K35*100</f>
        <v>661162.80999999994</v>
      </c>
      <c r="M35" s="111" t="s">
        <v>1</v>
      </c>
    </row>
    <row r="36" spans="1:16" s="46" customFormat="1" ht="29" x14ac:dyDescent="0.35">
      <c r="A36" s="179"/>
      <c r="B36" s="5">
        <v>30</v>
      </c>
      <c r="C36" s="5" t="s">
        <v>2</v>
      </c>
      <c r="D36" s="5" t="s">
        <v>28</v>
      </c>
      <c r="E36" s="5" t="s">
        <v>535</v>
      </c>
      <c r="F36" s="114">
        <v>1</v>
      </c>
      <c r="G36" s="114" t="s">
        <v>12</v>
      </c>
      <c r="H36" s="5">
        <v>93141701</v>
      </c>
      <c r="I36" s="113">
        <v>317600</v>
      </c>
      <c r="J36" s="50">
        <f t="shared" si="1"/>
        <v>60344</v>
      </c>
      <c r="K36" s="50">
        <f t="shared" si="2"/>
        <v>377944</v>
      </c>
      <c r="L36" s="108">
        <f>+K36</f>
        <v>377944</v>
      </c>
      <c r="M36" s="111" t="s">
        <v>1</v>
      </c>
    </row>
    <row r="37" spans="1:16" s="46" customFormat="1" ht="58" x14ac:dyDescent="0.35">
      <c r="A37" s="179"/>
      <c r="B37" s="111">
        <v>31</v>
      </c>
      <c r="C37" s="5" t="s">
        <v>2</v>
      </c>
      <c r="D37" s="5" t="s">
        <v>484</v>
      </c>
      <c r="E37" s="5" t="s">
        <v>536</v>
      </c>
      <c r="F37" s="114">
        <v>4</v>
      </c>
      <c r="G37" s="114" t="s">
        <v>12</v>
      </c>
      <c r="H37" s="5">
        <v>41100000</v>
      </c>
      <c r="I37" s="113">
        <v>428900</v>
      </c>
      <c r="J37" s="50">
        <f t="shared" si="1"/>
        <v>81491</v>
      </c>
      <c r="K37" s="50">
        <f t="shared" si="2"/>
        <v>510391</v>
      </c>
      <c r="L37" s="108">
        <f>+K37*F37*2</f>
        <v>4083128</v>
      </c>
      <c r="M37" s="111"/>
    </row>
    <row r="38" spans="1:16" s="46" customFormat="1" ht="58" x14ac:dyDescent="0.35">
      <c r="A38" s="179"/>
      <c r="B38" s="5">
        <v>32</v>
      </c>
      <c r="C38" s="5" t="s">
        <v>2</v>
      </c>
      <c r="D38" s="136" t="s">
        <v>612</v>
      </c>
      <c r="E38" s="136" t="s">
        <v>524</v>
      </c>
      <c r="F38" s="5">
        <v>100</v>
      </c>
      <c r="G38" s="5" t="s">
        <v>509</v>
      </c>
      <c r="H38" s="5" t="s">
        <v>6</v>
      </c>
      <c r="I38" s="108">
        <v>2000000</v>
      </c>
      <c r="J38" s="108"/>
      <c r="K38" s="108">
        <v>2000000</v>
      </c>
      <c r="L38" s="108">
        <f>+K38*F38</f>
        <v>200000000</v>
      </c>
      <c r="M38" s="111" t="s">
        <v>42</v>
      </c>
    </row>
    <row r="39" spans="1:16" s="46" customFormat="1" ht="116" x14ac:dyDescent="0.35">
      <c r="A39" s="180">
        <v>40657</v>
      </c>
      <c r="B39" s="39">
        <v>33</v>
      </c>
      <c r="C39" s="40" t="s">
        <v>46</v>
      </c>
      <c r="D39" s="40" t="s">
        <v>608</v>
      </c>
      <c r="E39" s="40" t="s">
        <v>512</v>
      </c>
      <c r="F39" s="39">
        <v>2</v>
      </c>
      <c r="G39" s="39" t="s">
        <v>45</v>
      </c>
      <c r="H39" s="40">
        <v>80111700</v>
      </c>
      <c r="I39" s="132">
        <v>4917000</v>
      </c>
      <c r="J39" s="112"/>
      <c r="K39" s="132">
        <v>5635001</v>
      </c>
      <c r="L39" s="105">
        <f>K39/30*8*4*2</f>
        <v>12021335.466666667</v>
      </c>
      <c r="M39" s="100" t="s">
        <v>3</v>
      </c>
      <c r="N39" s="42"/>
      <c r="O39" s="42"/>
      <c r="P39" s="42"/>
    </row>
    <row r="40" spans="1:16" s="46" customFormat="1" ht="43.5" x14ac:dyDescent="0.35">
      <c r="A40" s="180"/>
      <c r="B40" s="40">
        <v>34</v>
      </c>
      <c r="C40" s="40" t="s">
        <v>27</v>
      </c>
      <c r="D40" s="40" t="s">
        <v>26</v>
      </c>
      <c r="E40" s="40" t="s">
        <v>537</v>
      </c>
      <c r="F40" s="40">
        <v>2</v>
      </c>
      <c r="G40" s="40" t="s">
        <v>44</v>
      </c>
      <c r="H40" s="40">
        <v>80111700</v>
      </c>
      <c r="I40" s="48">
        <f>122100*1.0483</f>
        <v>127997.43000000001</v>
      </c>
      <c r="J40" s="112"/>
      <c r="K40" s="48">
        <f>122100*1.0483</f>
        <v>127997.43000000001</v>
      </c>
      <c r="L40" s="112">
        <f>+K40*32</f>
        <v>4095917.7600000002</v>
      </c>
      <c r="M40" s="39" t="s">
        <v>1</v>
      </c>
    </row>
    <row r="41" spans="1:16" s="46" customFormat="1" ht="29" x14ac:dyDescent="0.35">
      <c r="A41" s="180"/>
      <c r="B41" s="39">
        <v>35</v>
      </c>
      <c r="C41" s="40" t="s">
        <v>2</v>
      </c>
      <c r="D41" s="40" t="s">
        <v>39</v>
      </c>
      <c r="E41" s="40" t="s">
        <v>510</v>
      </c>
      <c r="F41" s="40">
        <v>2</v>
      </c>
      <c r="G41" s="40" t="s">
        <v>44</v>
      </c>
      <c r="H41" s="40">
        <v>43221500</v>
      </c>
      <c r="I41" s="48">
        <f>420000*1.0483</f>
        <v>440286</v>
      </c>
      <c r="J41" s="105">
        <f>ROUND(I41*19%,0)</f>
        <v>83654</v>
      </c>
      <c r="K41" s="105">
        <f>+I41+J41</f>
        <v>523940</v>
      </c>
      <c r="L41" s="105">
        <f>K41*32*2</f>
        <v>33532160</v>
      </c>
      <c r="M41" s="39" t="s">
        <v>1</v>
      </c>
    </row>
    <row r="42" spans="1:16" s="46" customFormat="1" ht="130.5" x14ac:dyDescent="0.35">
      <c r="A42" s="180"/>
      <c r="B42" s="40">
        <v>36</v>
      </c>
      <c r="C42" s="40" t="s">
        <v>2</v>
      </c>
      <c r="D42" s="40" t="s">
        <v>613</v>
      </c>
      <c r="E42" s="40" t="s">
        <v>559</v>
      </c>
      <c r="F42" s="40">
        <v>10</v>
      </c>
      <c r="G42" s="40" t="s">
        <v>43</v>
      </c>
      <c r="H42" s="40">
        <v>23121614</v>
      </c>
      <c r="I42" s="112">
        <f>2069051*1.0483</f>
        <v>2168986.1633000001</v>
      </c>
      <c r="J42" s="112">
        <f>+I42*0.19</f>
        <v>412107.37102700002</v>
      </c>
      <c r="K42" s="112">
        <f>+J42+I42</f>
        <v>2581093.5343270004</v>
      </c>
      <c r="L42" s="112">
        <f>+K42*F42</f>
        <v>25810935.343270004</v>
      </c>
      <c r="M42" s="39" t="s">
        <v>560</v>
      </c>
    </row>
    <row r="43" spans="1:16" s="46" customFormat="1" ht="29" x14ac:dyDescent="0.35">
      <c r="A43" s="180"/>
      <c r="B43" s="39">
        <v>37</v>
      </c>
      <c r="C43" s="40" t="s">
        <v>2</v>
      </c>
      <c r="D43" s="40" t="s">
        <v>35</v>
      </c>
      <c r="E43" s="40" t="s">
        <v>514</v>
      </c>
      <c r="F43" s="40">
        <v>2</v>
      </c>
      <c r="G43" s="40" t="s">
        <v>43</v>
      </c>
      <c r="H43" s="40">
        <v>43211500</v>
      </c>
      <c r="I43" s="133">
        <f>115800*1.0483</f>
        <v>121393.14</v>
      </c>
      <c r="J43" s="105">
        <f>ROUND(I43*19%,0)</f>
        <v>23065</v>
      </c>
      <c r="K43" s="105">
        <f>+I43+J43</f>
        <v>144458.14000000001</v>
      </c>
      <c r="L43" s="105">
        <f>K43*32*2</f>
        <v>9245320.9600000009</v>
      </c>
      <c r="M43" s="39" t="s">
        <v>1</v>
      </c>
    </row>
    <row r="44" spans="1:16" s="46" customFormat="1" ht="29" x14ac:dyDescent="0.35">
      <c r="A44" s="180"/>
      <c r="B44" s="40">
        <v>38</v>
      </c>
      <c r="C44" s="40" t="s">
        <v>2</v>
      </c>
      <c r="D44" s="40" t="s">
        <v>485</v>
      </c>
      <c r="E44" s="40" t="s">
        <v>515</v>
      </c>
      <c r="F44" s="40">
        <v>2</v>
      </c>
      <c r="G44" s="40" t="s">
        <v>43</v>
      </c>
      <c r="H44" s="40">
        <v>95141707</v>
      </c>
      <c r="I44" s="112">
        <v>811800</v>
      </c>
      <c r="J44" s="112">
        <f>+I44*0.19</f>
        <v>154242</v>
      </c>
      <c r="K44" s="105">
        <f>+I44+J44</f>
        <v>966042</v>
      </c>
      <c r="L44" s="112">
        <f>+K44*33*2</f>
        <v>63758772</v>
      </c>
      <c r="M44" s="39" t="s">
        <v>486</v>
      </c>
    </row>
    <row r="45" spans="1:16" s="46" customFormat="1" ht="29" x14ac:dyDescent="0.35">
      <c r="A45" s="180"/>
      <c r="B45" s="39">
        <v>39</v>
      </c>
      <c r="C45" s="40" t="s">
        <v>2</v>
      </c>
      <c r="D45" s="40" t="s">
        <v>33</v>
      </c>
      <c r="E45" s="40" t="s">
        <v>516</v>
      </c>
      <c r="F45" s="40">
        <v>260</v>
      </c>
      <c r="G45" s="40" t="s">
        <v>509</v>
      </c>
      <c r="H45" s="40">
        <v>60121523</v>
      </c>
      <c r="I45" s="105">
        <f>1933*1.0483</f>
        <v>2026.3639000000001</v>
      </c>
      <c r="J45" s="105">
        <f>ROUND(I45*19%,0)</f>
        <v>385</v>
      </c>
      <c r="K45" s="105">
        <f>+I45+J45</f>
        <v>2411.3639000000003</v>
      </c>
      <c r="L45" s="105">
        <f>K45*260</f>
        <v>626954.61400000006</v>
      </c>
      <c r="M45" s="39">
        <v>28831</v>
      </c>
    </row>
    <row r="46" spans="1:16" s="46" customFormat="1" ht="58" x14ac:dyDescent="0.35">
      <c r="A46" s="180"/>
      <c r="B46" s="40">
        <v>40</v>
      </c>
      <c r="C46" s="40" t="s">
        <v>2</v>
      </c>
      <c r="D46" s="40" t="s">
        <v>38</v>
      </c>
      <c r="E46" s="40" t="s">
        <v>521</v>
      </c>
      <c r="F46" s="41">
        <v>2</v>
      </c>
      <c r="G46" s="41" t="s">
        <v>43</v>
      </c>
      <c r="H46" s="40">
        <v>48101600</v>
      </c>
      <c r="I46" s="48">
        <f>360300*1.0483</f>
        <v>377702.49</v>
      </c>
      <c r="J46" s="104">
        <f>I46*19%</f>
        <v>71763.473100000003</v>
      </c>
      <c r="K46" s="104">
        <f>J46+I46</f>
        <v>449465.96309999999</v>
      </c>
      <c r="L46" s="105">
        <f>K46*32*2</f>
        <v>28765821.6384</v>
      </c>
      <c r="M46" s="39" t="s">
        <v>1</v>
      </c>
    </row>
    <row r="47" spans="1:16" s="46" customFormat="1" ht="116" x14ac:dyDescent="0.35">
      <c r="A47" s="180"/>
      <c r="B47" s="39">
        <v>41</v>
      </c>
      <c r="C47" s="40" t="s">
        <v>2</v>
      </c>
      <c r="D47" s="40" t="s">
        <v>10</v>
      </c>
      <c r="E47" s="40" t="s">
        <v>519</v>
      </c>
      <c r="F47" s="41">
        <v>6</v>
      </c>
      <c r="G47" s="41" t="s">
        <v>509</v>
      </c>
      <c r="H47" s="40">
        <v>14111500</v>
      </c>
      <c r="I47" s="105">
        <f>41555*1.0483</f>
        <v>43562.106500000002</v>
      </c>
      <c r="J47" s="104">
        <f>I47*19%</f>
        <v>8276.8002350000006</v>
      </c>
      <c r="K47" s="104">
        <f>J47+I47</f>
        <v>51838.906735000004</v>
      </c>
      <c r="L47" s="105">
        <f>K47*F47</f>
        <v>311033.44041000004</v>
      </c>
      <c r="M47" s="39" t="s">
        <v>9</v>
      </c>
    </row>
    <row r="48" spans="1:16" s="46" customFormat="1" ht="116" x14ac:dyDescent="0.35">
      <c r="A48" s="180"/>
      <c r="B48" s="40">
        <v>42</v>
      </c>
      <c r="C48" s="40" t="s">
        <v>2</v>
      </c>
      <c r="D48" s="45" t="s">
        <v>37</v>
      </c>
      <c r="E48" s="45" t="s">
        <v>523</v>
      </c>
      <c r="F48" s="40">
        <v>260</v>
      </c>
      <c r="G48" s="40" t="s">
        <v>509</v>
      </c>
      <c r="H48" s="40">
        <v>14111608</v>
      </c>
      <c r="I48" s="53">
        <f>9834*1.0483</f>
        <v>10308.9822</v>
      </c>
      <c r="J48" s="105">
        <f>ROUND(I48*19%,0)</f>
        <v>1959</v>
      </c>
      <c r="K48" s="105">
        <f>+I48+J48</f>
        <v>12267.9822</v>
      </c>
      <c r="L48" s="105">
        <f>K48*F48</f>
        <v>3189675.372</v>
      </c>
      <c r="M48" s="39" t="s">
        <v>36</v>
      </c>
    </row>
    <row r="49" spans="1:16" s="46" customFormat="1" ht="145" x14ac:dyDescent="0.35">
      <c r="A49" s="180"/>
      <c r="B49" s="39">
        <v>43</v>
      </c>
      <c r="C49" s="40" t="s">
        <v>2</v>
      </c>
      <c r="D49" s="40" t="s">
        <v>15</v>
      </c>
      <c r="E49" s="40" t="s">
        <v>519</v>
      </c>
      <c r="F49" s="41">
        <v>120</v>
      </c>
      <c r="G49" s="41" t="s">
        <v>509</v>
      </c>
      <c r="H49" s="40">
        <v>60121008</v>
      </c>
      <c r="I49" s="48">
        <f>4100*1.0483</f>
        <v>4298.03</v>
      </c>
      <c r="J49" s="104">
        <f>I49*19%</f>
        <v>816.62569999999994</v>
      </c>
      <c r="K49" s="104">
        <f>J49+I49</f>
        <v>5114.6556999999993</v>
      </c>
      <c r="L49" s="105">
        <f>K49*120</f>
        <v>613758.68399999989</v>
      </c>
      <c r="M49" s="39" t="s">
        <v>1</v>
      </c>
    </row>
    <row r="50" spans="1:16" s="46" customFormat="1" ht="101.5" x14ac:dyDescent="0.35">
      <c r="A50" s="180"/>
      <c r="B50" s="40">
        <v>44</v>
      </c>
      <c r="C50" s="40" t="s">
        <v>2</v>
      </c>
      <c r="D50" s="45" t="s">
        <v>487</v>
      </c>
      <c r="E50" s="45" t="s">
        <v>515</v>
      </c>
      <c r="F50" s="115">
        <v>2</v>
      </c>
      <c r="G50" s="115" t="s">
        <v>494</v>
      </c>
      <c r="H50" s="40">
        <v>95141707</v>
      </c>
      <c r="I50" s="112">
        <v>0</v>
      </c>
      <c r="J50" s="112">
        <v>0</v>
      </c>
      <c r="K50" s="112">
        <v>0</v>
      </c>
      <c r="L50" s="112">
        <v>0</v>
      </c>
      <c r="M50" s="39" t="s">
        <v>488</v>
      </c>
    </row>
    <row r="51" spans="1:16" s="46" customFormat="1" ht="43.5" x14ac:dyDescent="0.35">
      <c r="A51" s="180"/>
      <c r="B51" s="39">
        <v>45</v>
      </c>
      <c r="C51" s="40"/>
      <c r="D51" s="45" t="s">
        <v>8</v>
      </c>
      <c r="E51" s="45" t="s">
        <v>508</v>
      </c>
      <c r="F51" s="115">
        <v>260</v>
      </c>
      <c r="G51" s="115"/>
      <c r="H51" s="40"/>
      <c r="I51" s="112">
        <v>44600</v>
      </c>
      <c r="J51" s="104">
        <f>I51*19%</f>
        <v>8474</v>
      </c>
      <c r="K51" s="104">
        <f>J51+I51</f>
        <v>53074</v>
      </c>
      <c r="L51" s="112">
        <f>+K51*F51</f>
        <v>13799240</v>
      </c>
      <c r="M51" s="39"/>
    </row>
    <row r="52" spans="1:16" s="46" customFormat="1" ht="29" x14ac:dyDescent="0.35">
      <c r="A52" s="180"/>
      <c r="B52" s="40">
        <v>46</v>
      </c>
      <c r="C52" s="40" t="s">
        <v>2</v>
      </c>
      <c r="D52" s="45" t="s">
        <v>31</v>
      </c>
      <c r="E52" s="45" t="s">
        <v>522</v>
      </c>
      <c r="F52" s="115">
        <v>260</v>
      </c>
      <c r="G52" s="115" t="s">
        <v>509</v>
      </c>
      <c r="H52" s="40">
        <v>14111514</v>
      </c>
      <c r="I52" s="134">
        <f>12100*1.0483</f>
        <v>12684.43</v>
      </c>
      <c r="J52" s="105">
        <f>ROUND(I52*19%,0)</f>
        <v>2410</v>
      </c>
      <c r="K52" s="105">
        <f>+I52+J52</f>
        <v>15094.43</v>
      </c>
      <c r="L52" s="105">
        <f>K52*260</f>
        <v>3924551.8000000003</v>
      </c>
      <c r="M52" s="39">
        <v>28831</v>
      </c>
    </row>
    <row r="53" spans="1:16" s="46" customFormat="1" ht="58" x14ac:dyDescent="0.35">
      <c r="A53" s="180"/>
      <c r="B53" s="39">
        <v>47</v>
      </c>
      <c r="C53" s="40" t="s">
        <v>2</v>
      </c>
      <c r="D53" s="45" t="s">
        <v>489</v>
      </c>
      <c r="E53" s="45"/>
      <c r="F53" s="115">
        <v>260</v>
      </c>
      <c r="G53" s="115"/>
      <c r="H53" s="40" t="s">
        <v>6</v>
      </c>
      <c r="I53" s="112">
        <v>500000</v>
      </c>
      <c r="J53" s="112">
        <f>+I53*0.19</f>
        <v>95000</v>
      </c>
      <c r="K53" s="112">
        <f>+J53+I53</f>
        <v>595000</v>
      </c>
      <c r="L53" s="112">
        <f>+I53*F53</f>
        <v>130000000</v>
      </c>
      <c r="M53" s="39" t="s">
        <v>42</v>
      </c>
    </row>
    <row r="54" spans="1:16" s="46" customFormat="1" ht="217.5" x14ac:dyDescent="0.35">
      <c r="A54" s="182">
        <v>41243</v>
      </c>
      <c r="B54" s="5">
        <v>48</v>
      </c>
      <c r="C54" s="5" t="s">
        <v>2</v>
      </c>
      <c r="D54" s="5" t="s">
        <v>490</v>
      </c>
      <c r="E54" s="5" t="s">
        <v>515</v>
      </c>
      <c r="F54" s="5">
        <v>2</v>
      </c>
      <c r="G54" s="5" t="s">
        <v>34</v>
      </c>
      <c r="H54" s="5">
        <v>95141707</v>
      </c>
      <c r="I54" s="108">
        <v>0</v>
      </c>
      <c r="J54" s="108">
        <v>0</v>
      </c>
      <c r="K54" s="108">
        <v>0</v>
      </c>
      <c r="L54" s="108">
        <v>0</v>
      </c>
      <c r="M54" s="111" t="s">
        <v>42</v>
      </c>
    </row>
    <row r="55" spans="1:16" s="46" customFormat="1" ht="43.5" x14ac:dyDescent="0.35">
      <c r="A55" s="183"/>
      <c r="B55" s="111">
        <v>49</v>
      </c>
      <c r="C55" s="5" t="s">
        <v>27</v>
      </c>
      <c r="D55" s="5" t="s">
        <v>26</v>
      </c>
      <c r="E55" s="5" t="s">
        <v>537</v>
      </c>
      <c r="F55" s="5">
        <v>2</v>
      </c>
      <c r="G55" s="5" t="s">
        <v>34</v>
      </c>
      <c r="H55" s="5">
        <v>80111700</v>
      </c>
      <c r="I55" s="135">
        <f>122100*1.0483</f>
        <v>127997.43000000001</v>
      </c>
      <c r="J55" s="108">
        <v>0</v>
      </c>
      <c r="K55" s="135">
        <f>122100*1.0483</f>
        <v>127997.43000000001</v>
      </c>
      <c r="L55" s="113">
        <f>K55*8*F55</f>
        <v>2047958.8800000001</v>
      </c>
      <c r="M55" s="111" t="s">
        <v>1</v>
      </c>
    </row>
    <row r="56" spans="1:16" s="46" customFormat="1" ht="116" x14ac:dyDescent="0.35">
      <c r="A56" s="183"/>
      <c r="B56" s="5">
        <v>50</v>
      </c>
      <c r="C56" s="5" t="s">
        <v>41</v>
      </c>
      <c r="D56" s="5" t="s">
        <v>595</v>
      </c>
      <c r="E56" s="5" t="s">
        <v>512</v>
      </c>
      <c r="F56" s="5">
        <v>2</v>
      </c>
      <c r="G56" s="5" t="s">
        <v>40</v>
      </c>
      <c r="H56" s="5">
        <v>80111700</v>
      </c>
      <c r="I56" s="106">
        <v>4917000</v>
      </c>
      <c r="J56" s="108"/>
      <c r="K56" s="106">
        <v>5635001</v>
      </c>
      <c r="L56" s="113">
        <f>K56/30*8*F56</f>
        <v>3005333.8666666667</v>
      </c>
      <c r="M56" s="75" t="s">
        <v>3</v>
      </c>
      <c r="N56" s="42"/>
      <c r="O56" s="42"/>
      <c r="P56" s="42"/>
    </row>
    <row r="57" spans="1:16" s="46" customFormat="1" ht="29" x14ac:dyDescent="0.35">
      <c r="A57" s="183"/>
      <c r="B57" s="111">
        <v>51</v>
      </c>
      <c r="C57" s="5" t="s">
        <v>2</v>
      </c>
      <c r="D57" s="5" t="s">
        <v>491</v>
      </c>
      <c r="E57" s="5" t="s">
        <v>510</v>
      </c>
      <c r="F57" s="5">
        <v>2</v>
      </c>
      <c r="G57" s="5" t="s">
        <v>34</v>
      </c>
      <c r="H57" s="5">
        <v>43221500</v>
      </c>
      <c r="I57" s="135">
        <f>420000*1.0483</f>
        <v>440286</v>
      </c>
      <c r="J57" s="113">
        <f>ROUND(I57*19%,0)</f>
        <v>83654</v>
      </c>
      <c r="K57" s="113">
        <f>+I57+J57</f>
        <v>523940</v>
      </c>
      <c r="L57" s="113">
        <f>K57*8*F57</f>
        <v>8383040</v>
      </c>
      <c r="M57" s="111" t="s">
        <v>1</v>
      </c>
    </row>
    <row r="58" spans="1:16" s="46" customFormat="1" ht="58" x14ac:dyDescent="0.35">
      <c r="A58" s="183"/>
      <c r="B58" s="5">
        <v>52</v>
      </c>
      <c r="C58" s="5" t="s">
        <v>2</v>
      </c>
      <c r="D58" s="5" t="s">
        <v>38</v>
      </c>
      <c r="E58" s="5" t="s">
        <v>521</v>
      </c>
      <c r="F58" s="114">
        <v>2</v>
      </c>
      <c r="G58" s="114" t="s">
        <v>34</v>
      </c>
      <c r="H58" s="5">
        <v>48101600</v>
      </c>
      <c r="I58" s="135">
        <f>360300*1.0483</f>
        <v>377702.49</v>
      </c>
      <c r="J58" s="50">
        <f>I58*19%</f>
        <v>71763.473100000003</v>
      </c>
      <c r="K58" s="50">
        <f>J58+I58</f>
        <v>449465.96309999999</v>
      </c>
      <c r="L58" s="113">
        <f>K58*8*F58</f>
        <v>7191455.4095999999</v>
      </c>
      <c r="M58" s="111" t="s">
        <v>1</v>
      </c>
    </row>
    <row r="59" spans="1:16" s="46" customFormat="1" ht="116" x14ac:dyDescent="0.35">
      <c r="A59" s="183"/>
      <c r="B59" s="111">
        <v>53</v>
      </c>
      <c r="C59" s="5" t="s">
        <v>2</v>
      </c>
      <c r="D59" s="5" t="s">
        <v>10</v>
      </c>
      <c r="E59" s="5" t="s">
        <v>519</v>
      </c>
      <c r="F59" s="114">
        <v>6</v>
      </c>
      <c r="G59" s="114" t="s">
        <v>509</v>
      </c>
      <c r="H59" s="5">
        <v>14111500</v>
      </c>
      <c r="I59" s="113">
        <f>41555*1.0483</f>
        <v>43562.106500000002</v>
      </c>
      <c r="J59" s="50">
        <f>I59*19%</f>
        <v>8276.8002350000006</v>
      </c>
      <c r="K59" s="50">
        <f>J59+I59</f>
        <v>51838.906735000004</v>
      </c>
      <c r="L59" s="113">
        <f>K59*6</f>
        <v>311033.44041000004</v>
      </c>
      <c r="M59" s="111" t="s">
        <v>9</v>
      </c>
    </row>
    <row r="60" spans="1:16" s="46" customFormat="1" ht="116" x14ac:dyDescent="0.35">
      <c r="A60" s="183"/>
      <c r="B60" s="5">
        <v>54</v>
      </c>
      <c r="C60" s="5" t="s">
        <v>2</v>
      </c>
      <c r="D60" s="136" t="s">
        <v>37</v>
      </c>
      <c r="E60" s="136" t="s">
        <v>523</v>
      </c>
      <c r="F60" s="5">
        <v>100</v>
      </c>
      <c r="G60" s="5" t="s">
        <v>509</v>
      </c>
      <c r="H60" s="5">
        <v>14111608</v>
      </c>
      <c r="I60" s="51">
        <f>9834*1.0483</f>
        <v>10308.9822</v>
      </c>
      <c r="J60" s="113">
        <f>ROUND(I60*19%,0)</f>
        <v>1959</v>
      </c>
      <c r="K60" s="113">
        <f>+I60+J60</f>
        <v>12267.9822</v>
      </c>
      <c r="L60" s="113">
        <f>K60*F60</f>
        <v>1226798.22</v>
      </c>
      <c r="M60" s="111" t="s">
        <v>36</v>
      </c>
    </row>
    <row r="61" spans="1:16" s="46" customFormat="1" ht="145" x14ac:dyDescent="0.35">
      <c r="A61" s="183"/>
      <c r="B61" s="111">
        <v>55</v>
      </c>
      <c r="C61" s="5" t="s">
        <v>2</v>
      </c>
      <c r="D61" s="5" t="s">
        <v>15</v>
      </c>
      <c r="E61" s="5" t="s">
        <v>519</v>
      </c>
      <c r="F61" s="114">
        <v>120</v>
      </c>
      <c r="G61" s="114" t="s">
        <v>509</v>
      </c>
      <c r="H61" s="5">
        <v>60121008</v>
      </c>
      <c r="I61" s="135">
        <f>4100*1.0483</f>
        <v>4298.03</v>
      </c>
      <c r="J61" s="50">
        <f>I61*19%</f>
        <v>816.62569999999994</v>
      </c>
      <c r="K61" s="50">
        <f>J61+I61</f>
        <v>5114.6556999999993</v>
      </c>
      <c r="L61" s="113">
        <f>K61*F61</f>
        <v>613758.68399999989</v>
      </c>
      <c r="M61" s="111" t="s">
        <v>1</v>
      </c>
    </row>
    <row r="62" spans="1:16" s="46" customFormat="1" ht="29" x14ac:dyDescent="0.35">
      <c r="A62" s="183"/>
      <c r="B62" s="5">
        <v>56</v>
      </c>
      <c r="C62" s="5" t="s">
        <v>2</v>
      </c>
      <c r="D62" s="5" t="s">
        <v>35</v>
      </c>
      <c r="E62" s="5" t="s">
        <v>514</v>
      </c>
      <c r="F62" s="5">
        <v>2</v>
      </c>
      <c r="G62" s="5" t="s">
        <v>34</v>
      </c>
      <c r="H62" s="5">
        <v>43211500</v>
      </c>
      <c r="I62" s="113">
        <f>115800*1.0483</f>
        <v>121393.14</v>
      </c>
      <c r="J62" s="113">
        <f>ROUND(I62*19%,0)</f>
        <v>23065</v>
      </c>
      <c r="K62" s="113">
        <f>+I62+J62</f>
        <v>144458.14000000001</v>
      </c>
      <c r="L62" s="113">
        <f>K62*8*F62</f>
        <v>2311330.2400000002</v>
      </c>
      <c r="M62" s="111" t="s">
        <v>1</v>
      </c>
    </row>
    <row r="63" spans="1:16" s="46" customFormat="1" ht="29" x14ac:dyDescent="0.35">
      <c r="A63" s="183"/>
      <c r="B63" s="111">
        <v>57</v>
      </c>
      <c r="C63" s="5" t="s">
        <v>2</v>
      </c>
      <c r="D63" s="5" t="s">
        <v>33</v>
      </c>
      <c r="E63" s="5" t="s">
        <v>516</v>
      </c>
      <c r="F63" s="5">
        <v>200</v>
      </c>
      <c r="G63" s="5" t="s">
        <v>509</v>
      </c>
      <c r="H63" s="5">
        <v>60121523</v>
      </c>
      <c r="I63" s="113">
        <f>1933*1.0483</f>
        <v>2026.3639000000001</v>
      </c>
      <c r="J63" s="113">
        <f>ROUND(I63*19%,0)</f>
        <v>385</v>
      </c>
      <c r="K63" s="113">
        <f>+I63+J63</f>
        <v>2411.3639000000003</v>
      </c>
      <c r="L63" s="113">
        <f>K63*F63</f>
        <v>482272.78</v>
      </c>
      <c r="M63" s="111">
        <v>28831</v>
      </c>
    </row>
    <row r="64" spans="1:16" s="46" customFormat="1" ht="72.5" x14ac:dyDescent="0.35">
      <c r="A64" s="183"/>
      <c r="B64" s="5">
        <v>58</v>
      </c>
      <c r="C64" s="5" t="s">
        <v>2</v>
      </c>
      <c r="D64" s="5" t="s">
        <v>32</v>
      </c>
      <c r="E64" s="5" t="s">
        <v>538</v>
      </c>
      <c r="F64" s="5">
        <v>100</v>
      </c>
      <c r="G64" s="5" t="s">
        <v>509</v>
      </c>
      <c r="H64" s="5">
        <v>55101500</v>
      </c>
      <c r="I64" s="108">
        <f>237400*1.4</f>
        <v>332360</v>
      </c>
      <c r="J64" s="108">
        <f>+I64*0.19</f>
        <v>63148.4</v>
      </c>
      <c r="K64" s="108">
        <f>+J64+I64</f>
        <v>395508.4</v>
      </c>
      <c r="L64" s="108">
        <f>+K64*F64</f>
        <v>39550840</v>
      </c>
      <c r="M64" s="111"/>
    </row>
    <row r="65" spans="1:13" s="46" customFormat="1" ht="34.25" customHeight="1" x14ac:dyDescent="0.35">
      <c r="A65" s="183"/>
      <c r="B65" s="111">
        <v>59</v>
      </c>
      <c r="C65" s="5" t="s">
        <v>2</v>
      </c>
      <c r="D65" s="136" t="s">
        <v>31</v>
      </c>
      <c r="E65" s="136" t="s">
        <v>522</v>
      </c>
      <c r="F65" s="137">
        <v>200</v>
      </c>
      <c r="G65" s="137" t="s">
        <v>509</v>
      </c>
      <c r="H65" s="5">
        <v>14111514</v>
      </c>
      <c r="I65" s="109">
        <f>12100*1.0483</f>
        <v>12684.43</v>
      </c>
      <c r="J65" s="113">
        <f>ROUND(I65*19%,0)</f>
        <v>2410</v>
      </c>
      <c r="K65" s="113">
        <f>+I65+J65</f>
        <v>15094.43</v>
      </c>
      <c r="L65" s="113">
        <f>K65*F65</f>
        <v>3018886</v>
      </c>
      <c r="M65" s="111">
        <v>28831</v>
      </c>
    </row>
    <row r="66" spans="1:13" s="46" customFormat="1" ht="101.5" x14ac:dyDescent="0.35">
      <c r="A66" s="183"/>
      <c r="B66" s="5">
        <v>60</v>
      </c>
      <c r="C66" s="5" t="s">
        <v>2</v>
      </c>
      <c r="D66" s="136" t="s">
        <v>501</v>
      </c>
      <c r="E66" s="136" t="s">
        <v>539</v>
      </c>
      <c r="F66" s="137">
        <v>1</v>
      </c>
      <c r="G66" s="137">
        <v>1</v>
      </c>
      <c r="H66" s="5">
        <v>95141707</v>
      </c>
      <c r="I66" s="138">
        <v>0</v>
      </c>
      <c r="J66" s="108">
        <v>0</v>
      </c>
      <c r="K66" s="108">
        <v>0</v>
      </c>
      <c r="L66" s="108">
        <v>0</v>
      </c>
      <c r="M66" s="111" t="s">
        <v>488</v>
      </c>
    </row>
    <row r="67" spans="1:13" s="46" customFormat="1" ht="43.5" x14ac:dyDescent="0.35">
      <c r="A67" s="184"/>
      <c r="B67" s="111">
        <v>61</v>
      </c>
      <c r="C67" s="5"/>
      <c r="D67" s="136" t="s">
        <v>8</v>
      </c>
      <c r="E67" s="136" t="s">
        <v>508</v>
      </c>
      <c r="F67" s="137">
        <v>200</v>
      </c>
      <c r="G67" s="137" t="s">
        <v>509</v>
      </c>
      <c r="H67" s="5">
        <v>90101603</v>
      </c>
      <c r="I67" s="138">
        <v>44600</v>
      </c>
      <c r="J67" s="108">
        <f>+I67*0.19</f>
        <v>8474</v>
      </c>
      <c r="K67" s="108">
        <f>+J67+I67</f>
        <v>53074</v>
      </c>
      <c r="L67" s="108">
        <f>+K67*F67</f>
        <v>10614800</v>
      </c>
      <c r="M67" s="111"/>
    </row>
    <row r="68" spans="1:13" s="46" customFormat="1" ht="29" x14ac:dyDescent="0.35">
      <c r="A68" s="175">
        <v>37762</v>
      </c>
      <c r="B68" s="5">
        <v>62</v>
      </c>
      <c r="C68" s="5"/>
      <c r="D68" s="5" t="s">
        <v>502</v>
      </c>
      <c r="E68" s="5" t="s">
        <v>540</v>
      </c>
      <c r="F68" s="5">
        <v>50</v>
      </c>
      <c r="G68" s="5" t="s">
        <v>12</v>
      </c>
      <c r="H68" s="5">
        <v>95131700</v>
      </c>
      <c r="I68" s="113">
        <f>153800*1.0483</f>
        <v>161228.54</v>
      </c>
      <c r="J68" s="50">
        <f t="shared" ref="J68:J75" si="3">I68*19%</f>
        <v>30633.422600000002</v>
      </c>
      <c r="K68" s="50">
        <f t="shared" ref="K68:K75" si="4">J68+I68</f>
        <v>191861.9626</v>
      </c>
      <c r="L68" s="113">
        <f>+K68*F68*2</f>
        <v>19186196.260000002</v>
      </c>
      <c r="M68" s="111" t="s">
        <v>1</v>
      </c>
    </row>
    <row r="69" spans="1:13" s="46" customFormat="1" ht="29" x14ac:dyDescent="0.35">
      <c r="A69" s="176"/>
      <c r="B69" s="111">
        <v>63</v>
      </c>
      <c r="C69" s="5"/>
      <c r="D69" s="5" t="s">
        <v>30</v>
      </c>
      <c r="E69" s="5" t="s">
        <v>531</v>
      </c>
      <c r="F69" s="5">
        <v>104</v>
      </c>
      <c r="G69" s="5" t="s">
        <v>12</v>
      </c>
      <c r="H69" s="5">
        <v>56101500</v>
      </c>
      <c r="I69" s="113">
        <f>1900*1.0483</f>
        <v>1991.77</v>
      </c>
      <c r="J69" s="50">
        <f t="shared" si="3"/>
        <v>378.43630000000002</v>
      </c>
      <c r="K69" s="50">
        <f t="shared" si="4"/>
        <v>2370.2062999999998</v>
      </c>
      <c r="L69" s="113">
        <f>K69*F69*2</f>
        <v>493002.91039999994</v>
      </c>
      <c r="M69" s="111" t="s">
        <v>1</v>
      </c>
    </row>
    <row r="70" spans="1:13" s="46" customFormat="1" ht="29" x14ac:dyDescent="0.35">
      <c r="A70" s="176"/>
      <c r="B70" s="5">
        <v>64</v>
      </c>
      <c r="C70" s="5"/>
      <c r="D70" s="75" t="s">
        <v>503</v>
      </c>
      <c r="E70" s="75" t="s">
        <v>541</v>
      </c>
      <c r="F70" s="5">
        <v>50</v>
      </c>
      <c r="G70" s="5" t="s">
        <v>12</v>
      </c>
      <c r="H70" s="5">
        <v>56101500</v>
      </c>
      <c r="I70" s="113">
        <f>5100*1.0483</f>
        <v>5346.33</v>
      </c>
      <c r="J70" s="50">
        <f t="shared" si="3"/>
        <v>1015.8027</v>
      </c>
      <c r="K70" s="50">
        <f t="shared" si="4"/>
        <v>6362.1327000000001</v>
      </c>
      <c r="L70" s="113">
        <f>K70*F70*2</f>
        <v>636213.27</v>
      </c>
      <c r="M70" s="111" t="s">
        <v>1</v>
      </c>
    </row>
    <row r="71" spans="1:13" s="46" customFormat="1" ht="82" customHeight="1" x14ac:dyDescent="0.35">
      <c r="A71" s="176"/>
      <c r="B71" s="111">
        <v>65</v>
      </c>
      <c r="C71" s="5"/>
      <c r="D71" s="5" t="s">
        <v>496</v>
      </c>
      <c r="E71" s="5" t="s">
        <v>542</v>
      </c>
      <c r="F71" s="5">
        <v>50</v>
      </c>
      <c r="G71" s="5" t="s">
        <v>509</v>
      </c>
      <c r="H71" s="5">
        <v>55121714</v>
      </c>
      <c r="I71" s="113">
        <f>200000*1.0483</f>
        <v>209660</v>
      </c>
      <c r="J71" s="50">
        <f t="shared" si="3"/>
        <v>39835.4</v>
      </c>
      <c r="K71" s="50">
        <f t="shared" si="4"/>
        <v>249495.4</v>
      </c>
      <c r="L71" s="108">
        <f>+K71*F71</f>
        <v>12474770</v>
      </c>
      <c r="M71" s="111"/>
    </row>
    <row r="72" spans="1:13" s="46" customFormat="1" ht="72.5" x14ac:dyDescent="0.35">
      <c r="A72" s="176"/>
      <c r="B72" s="5">
        <v>66</v>
      </c>
      <c r="C72" s="5"/>
      <c r="D72" s="5" t="s">
        <v>504</v>
      </c>
      <c r="E72" s="5" t="s">
        <v>532</v>
      </c>
      <c r="F72" s="114">
        <v>2</v>
      </c>
      <c r="G72" s="114" t="s">
        <v>12</v>
      </c>
      <c r="H72" s="5">
        <v>45111700</v>
      </c>
      <c r="I72" s="108">
        <v>1953400</v>
      </c>
      <c r="J72" s="50">
        <f t="shared" si="3"/>
        <v>371146</v>
      </c>
      <c r="K72" s="50">
        <f t="shared" si="4"/>
        <v>2324546</v>
      </c>
      <c r="L72" s="108">
        <f>+K72*F72*2</f>
        <v>9298184</v>
      </c>
      <c r="M72" s="111" t="s">
        <v>493</v>
      </c>
    </row>
    <row r="73" spans="1:13" s="46" customFormat="1" ht="29" x14ac:dyDescent="0.35">
      <c r="A73" s="176"/>
      <c r="B73" s="111">
        <v>67</v>
      </c>
      <c r="C73" s="5"/>
      <c r="D73" s="5" t="s">
        <v>505</v>
      </c>
      <c r="E73" s="5" t="s">
        <v>533</v>
      </c>
      <c r="F73" s="114">
        <v>2</v>
      </c>
      <c r="G73" s="114" t="s">
        <v>12</v>
      </c>
      <c r="H73" s="5">
        <v>39120000</v>
      </c>
      <c r="I73" s="108">
        <v>815700</v>
      </c>
      <c r="J73" s="50">
        <f t="shared" si="3"/>
        <v>154983</v>
      </c>
      <c r="K73" s="50">
        <f t="shared" si="4"/>
        <v>970683</v>
      </c>
      <c r="L73" s="108">
        <f>+K73*F73*2</f>
        <v>3882732</v>
      </c>
      <c r="M73" s="111" t="s">
        <v>493</v>
      </c>
    </row>
    <row r="74" spans="1:13" s="46" customFormat="1" ht="43.5" x14ac:dyDescent="0.35">
      <c r="A74" s="176"/>
      <c r="B74" s="5">
        <v>68</v>
      </c>
      <c r="C74" s="5"/>
      <c r="D74" s="5" t="s">
        <v>29</v>
      </c>
      <c r="E74" s="5" t="s">
        <v>534</v>
      </c>
      <c r="F74" s="5">
        <v>50</v>
      </c>
      <c r="G74" s="5" t="s">
        <v>509</v>
      </c>
      <c r="H74" s="5">
        <v>60101405</v>
      </c>
      <c r="I74" s="113">
        <f>5300*1.0483</f>
        <v>5555.99</v>
      </c>
      <c r="J74" s="50">
        <f t="shared" si="3"/>
        <v>1055.6380999999999</v>
      </c>
      <c r="K74" s="50">
        <f t="shared" si="4"/>
        <v>6611.6280999999999</v>
      </c>
      <c r="L74" s="108">
        <f>+K74*F74</f>
        <v>330581.40499999997</v>
      </c>
      <c r="M74" s="111" t="s">
        <v>1</v>
      </c>
    </row>
    <row r="75" spans="1:13" s="46" customFormat="1" ht="29" x14ac:dyDescent="0.35">
      <c r="A75" s="176"/>
      <c r="B75" s="111">
        <v>69</v>
      </c>
      <c r="C75" s="5"/>
      <c r="D75" s="5" t="s">
        <v>506</v>
      </c>
      <c r="E75" s="5" t="s">
        <v>543</v>
      </c>
      <c r="F75" s="114">
        <v>1</v>
      </c>
      <c r="G75" s="114" t="s">
        <v>12</v>
      </c>
      <c r="H75" s="5">
        <v>93141701</v>
      </c>
      <c r="I75" s="113">
        <v>317600</v>
      </c>
      <c r="J75" s="50">
        <f t="shared" si="3"/>
        <v>60344</v>
      </c>
      <c r="K75" s="50">
        <f t="shared" si="4"/>
        <v>377944</v>
      </c>
      <c r="L75" s="108">
        <f>+K75*F75*2</f>
        <v>755888</v>
      </c>
      <c r="M75" s="111" t="s">
        <v>1</v>
      </c>
    </row>
    <row r="76" spans="1:13" s="46" customFormat="1" ht="43.5" x14ac:dyDescent="0.35">
      <c r="A76" s="176"/>
      <c r="B76" s="5">
        <v>70</v>
      </c>
      <c r="C76" s="5" t="s">
        <v>27</v>
      </c>
      <c r="D76" s="5" t="s">
        <v>26</v>
      </c>
      <c r="E76" s="5" t="s">
        <v>537</v>
      </c>
      <c r="F76" s="5">
        <v>32</v>
      </c>
      <c r="G76" s="5" t="s">
        <v>509</v>
      </c>
      <c r="H76" s="5">
        <v>80111700</v>
      </c>
      <c r="I76" s="135">
        <f>122100*1.0483</f>
        <v>127997.43000000001</v>
      </c>
      <c r="J76" s="108"/>
      <c r="K76" s="135">
        <f>122100*1.0483</f>
        <v>127997.43000000001</v>
      </c>
      <c r="L76" s="113">
        <f>K76*F76</f>
        <v>4095917.7600000002</v>
      </c>
      <c r="M76" s="111" t="s">
        <v>1</v>
      </c>
    </row>
    <row r="77" spans="1:13" s="46" customFormat="1" ht="116" x14ac:dyDescent="0.35">
      <c r="A77" s="176"/>
      <c r="B77" s="111">
        <v>71</v>
      </c>
      <c r="C77" s="5" t="s">
        <v>27</v>
      </c>
      <c r="D77" s="5" t="s">
        <v>556</v>
      </c>
      <c r="E77" s="5" t="s">
        <v>557</v>
      </c>
      <c r="F77" s="5">
        <v>1</v>
      </c>
      <c r="G77" s="5" t="s">
        <v>12</v>
      </c>
      <c r="H77" s="5">
        <v>95131500</v>
      </c>
      <c r="I77" s="113">
        <f>6045000*1.0483</f>
        <v>6336973.5</v>
      </c>
      <c r="J77" s="50">
        <f>I77*19%</f>
        <v>1204024.9650000001</v>
      </c>
      <c r="K77" s="50">
        <f>J77+I77</f>
        <v>7540998.4649999999</v>
      </c>
      <c r="L77" s="108">
        <f>+K77*2</f>
        <v>15081996.93</v>
      </c>
      <c r="M77" s="111" t="s">
        <v>558</v>
      </c>
    </row>
    <row r="78" spans="1:13" s="46" customFormat="1" ht="43.5" x14ac:dyDescent="0.35">
      <c r="A78" s="176"/>
      <c r="B78" s="5">
        <v>72</v>
      </c>
      <c r="C78" s="5"/>
      <c r="D78" s="5" t="s">
        <v>25</v>
      </c>
      <c r="E78" s="5" t="s">
        <v>544</v>
      </c>
      <c r="F78" s="5">
        <v>1</v>
      </c>
      <c r="G78" s="139" t="s">
        <v>12</v>
      </c>
      <c r="H78" s="5">
        <v>39110000</v>
      </c>
      <c r="I78" s="113">
        <f>1656100*1.0483</f>
        <v>1736089.6300000001</v>
      </c>
      <c r="J78" s="50">
        <f>I78*19%</f>
        <v>329857.02970000001</v>
      </c>
      <c r="K78" s="50">
        <f>J78+I78</f>
        <v>2065946.6597000002</v>
      </c>
      <c r="L78" s="108">
        <f>+K78*F78*2</f>
        <v>4131893.3194000004</v>
      </c>
      <c r="M78" s="111" t="s">
        <v>1</v>
      </c>
    </row>
    <row r="79" spans="1:13" s="46" customFormat="1" ht="87" x14ac:dyDescent="0.35">
      <c r="A79" s="176"/>
      <c r="B79" s="111">
        <v>73</v>
      </c>
      <c r="C79" s="5"/>
      <c r="D79" s="5" t="s">
        <v>495</v>
      </c>
      <c r="E79" s="5" t="s">
        <v>533</v>
      </c>
      <c r="F79" s="5">
        <v>2</v>
      </c>
      <c r="G79" s="71" t="s">
        <v>12</v>
      </c>
      <c r="H79" s="138">
        <v>39120000</v>
      </c>
      <c r="I79" s="113">
        <f>3611668*1.0483</f>
        <v>3786111.5644</v>
      </c>
      <c r="J79" s="50">
        <f>I79*19%</f>
        <v>719361.19723599998</v>
      </c>
      <c r="K79" s="50">
        <f>J79+I79</f>
        <v>4505472.7616360001</v>
      </c>
      <c r="L79" s="108">
        <f>+K79*F79*2</f>
        <v>18021891.046544001</v>
      </c>
      <c r="M79" s="111"/>
    </row>
    <row r="80" spans="1:13" s="46" customFormat="1" ht="72.5" x14ac:dyDescent="0.35">
      <c r="A80" s="176"/>
      <c r="B80" s="5">
        <v>74</v>
      </c>
      <c r="C80" s="5"/>
      <c r="D80" s="5" t="s">
        <v>24</v>
      </c>
      <c r="E80" s="5" t="s">
        <v>532</v>
      </c>
      <c r="F80" s="5">
        <v>1</v>
      </c>
      <c r="G80" s="5" t="s">
        <v>12</v>
      </c>
      <c r="H80" s="5">
        <v>45111700</v>
      </c>
      <c r="I80" s="113">
        <f>1953400*1.0483</f>
        <v>2047749.22</v>
      </c>
      <c r="J80" s="50">
        <f>I80*19%</f>
        <v>389072.3518</v>
      </c>
      <c r="K80" s="50">
        <f>J80+I80</f>
        <v>2436821.5718</v>
      </c>
      <c r="L80" s="108">
        <f>+K80*F80*2</f>
        <v>4873643.1436000001</v>
      </c>
      <c r="M80" s="111"/>
    </row>
    <row r="81" spans="1:16" s="46" customFormat="1" ht="43.5" x14ac:dyDescent="0.35">
      <c r="A81" s="176"/>
      <c r="B81" s="111">
        <v>75</v>
      </c>
      <c r="C81" s="5" t="s">
        <v>2</v>
      </c>
      <c r="D81" s="5" t="s">
        <v>507</v>
      </c>
      <c r="E81" s="5" t="s">
        <v>545</v>
      </c>
      <c r="F81" s="5">
        <v>2</v>
      </c>
      <c r="G81" s="5" t="s">
        <v>12</v>
      </c>
      <c r="H81" s="5">
        <v>82151701</v>
      </c>
      <c r="I81" s="113">
        <v>2000000</v>
      </c>
      <c r="J81" s="108"/>
      <c r="K81" s="113">
        <v>2000000</v>
      </c>
      <c r="L81" s="113">
        <f>K81*2</f>
        <v>4000000</v>
      </c>
      <c r="M81" s="111">
        <v>28831</v>
      </c>
    </row>
    <row r="82" spans="1:16" s="46" customFormat="1" ht="29" x14ac:dyDescent="0.35">
      <c r="A82" s="176"/>
      <c r="B82" s="5">
        <v>76</v>
      </c>
      <c r="C82" s="5" t="s">
        <v>4</v>
      </c>
      <c r="D82" s="5" t="s">
        <v>492</v>
      </c>
      <c r="E82" s="5" t="s">
        <v>546</v>
      </c>
      <c r="F82" s="5">
        <v>1</v>
      </c>
      <c r="G82" s="5" t="s">
        <v>494</v>
      </c>
      <c r="H82" s="5">
        <v>80111700</v>
      </c>
      <c r="I82" s="113">
        <v>328200</v>
      </c>
      <c r="J82" s="108"/>
      <c r="K82" s="113">
        <v>328200</v>
      </c>
      <c r="L82" s="113">
        <v>328200</v>
      </c>
      <c r="M82" s="111" t="s">
        <v>1</v>
      </c>
    </row>
    <row r="83" spans="1:16" s="46" customFormat="1" ht="43.5" x14ac:dyDescent="0.35">
      <c r="A83" s="176"/>
      <c r="B83" s="111">
        <v>77</v>
      </c>
      <c r="C83" s="5" t="s">
        <v>23</v>
      </c>
      <c r="D83" s="5" t="s">
        <v>22</v>
      </c>
      <c r="E83" s="5" t="s">
        <v>526</v>
      </c>
      <c r="F83" s="5">
        <v>1</v>
      </c>
      <c r="G83" s="5" t="s">
        <v>12</v>
      </c>
      <c r="H83" s="5">
        <v>80111700</v>
      </c>
      <c r="I83" s="113">
        <f>198700*1.0483</f>
        <v>208297.21</v>
      </c>
      <c r="J83" s="108" t="s">
        <v>21</v>
      </c>
      <c r="K83" s="113">
        <f>198700*1.0483</f>
        <v>208297.21</v>
      </c>
      <c r="L83" s="113">
        <f>K83*2</f>
        <v>416594.42</v>
      </c>
      <c r="M83" s="111">
        <v>36983</v>
      </c>
    </row>
    <row r="84" spans="1:16" s="46" customFormat="1" ht="43.5" x14ac:dyDescent="0.35">
      <c r="A84" s="176"/>
      <c r="B84" s="5">
        <v>78</v>
      </c>
      <c r="C84" s="5" t="s">
        <v>2</v>
      </c>
      <c r="D84" s="5" t="s">
        <v>20</v>
      </c>
      <c r="E84" s="5" t="s">
        <v>542</v>
      </c>
      <c r="F84" s="5">
        <v>20</v>
      </c>
      <c r="G84" s="5" t="s">
        <v>509</v>
      </c>
      <c r="H84" s="5">
        <v>55121714</v>
      </c>
      <c r="I84" s="113">
        <f>200000*1.0483</f>
        <v>209660</v>
      </c>
      <c r="J84" s="113">
        <f>ROUND(I84*19%,0)</f>
        <v>39835</v>
      </c>
      <c r="K84" s="113">
        <f>+I84+J84</f>
        <v>249495</v>
      </c>
      <c r="L84" s="113">
        <f>K84*F84</f>
        <v>4989900</v>
      </c>
      <c r="M84" s="111">
        <v>36984</v>
      </c>
    </row>
    <row r="85" spans="1:16" s="46" customFormat="1" ht="174" x14ac:dyDescent="0.35">
      <c r="A85" s="176"/>
      <c r="B85" s="111">
        <v>79</v>
      </c>
      <c r="C85" s="5" t="s">
        <v>2</v>
      </c>
      <c r="D85" s="5" t="s">
        <v>19</v>
      </c>
      <c r="E85" s="5" t="s">
        <v>547</v>
      </c>
      <c r="F85" s="5">
        <v>200</v>
      </c>
      <c r="G85" s="5" t="s">
        <v>509</v>
      </c>
      <c r="H85" s="5">
        <v>53102516</v>
      </c>
      <c r="I85" s="113">
        <f>18033*1.0483</f>
        <v>18903.993900000001</v>
      </c>
      <c r="J85" s="113">
        <f>ROUND(I85*19%,0)</f>
        <v>3592</v>
      </c>
      <c r="K85" s="113">
        <f>+I85+J85</f>
        <v>22495.993900000001</v>
      </c>
      <c r="L85" s="113">
        <f>K85*F85</f>
        <v>4499198.78</v>
      </c>
      <c r="M85" s="111" t="s">
        <v>18</v>
      </c>
    </row>
    <row r="86" spans="1:16" s="46" customFormat="1" x14ac:dyDescent="0.35">
      <c r="A86" s="176"/>
      <c r="B86" s="5">
        <v>80</v>
      </c>
      <c r="C86" s="5" t="s">
        <v>2</v>
      </c>
      <c r="D86" s="5" t="s">
        <v>17</v>
      </c>
      <c r="E86" s="5" t="s">
        <v>548</v>
      </c>
      <c r="F86" s="5">
        <v>200</v>
      </c>
      <c r="G86" s="5" t="s">
        <v>509</v>
      </c>
      <c r="H86" s="5">
        <v>24122002</v>
      </c>
      <c r="I86" s="113">
        <v>4228</v>
      </c>
      <c r="J86" s="113">
        <f>ROUND(I86*19%,0)</f>
        <v>803</v>
      </c>
      <c r="K86" s="113">
        <f>+I86+J86</f>
        <v>5031</v>
      </c>
      <c r="L86" s="113">
        <f>K86*F86</f>
        <v>1006200</v>
      </c>
      <c r="M86" s="111" t="s">
        <v>16</v>
      </c>
    </row>
    <row r="87" spans="1:16" s="46" customFormat="1" ht="145" x14ac:dyDescent="0.35">
      <c r="A87" s="176"/>
      <c r="B87" s="111">
        <v>81</v>
      </c>
      <c r="C87" s="5" t="s">
        <v>2</v>
      </c>
      <c r="D87" s="5" t="s">
        <v>15</v>
      </c>
      <c r="E87" s="5" t="s">
        <v>519</v>
      </c>
      <c r="F87" s="114">
        <v>120</v>
      </c>
      <c r="G87" s="114" t="s">
        <v>509</v>
      </c>
      <c r="H87" s="5">
        <v>60121008</v>
      </c>
      <c r="I87" s="135">
        <f>4100*1.0483</f>
        <v>4298.03</v>
      </c>
      <c r="J87" s="50">
        <f>I87*19%</f>
        <v>816.62569999999994</v>
      </c>
      <c r="K87" s="50">
        <f>J87+I87</f>
        <v>5114.6556999999993</v>
      </c>
      <c r="L87" s="113">
        <f>K87*F87</f>
        <v>613758.68399999989</v>
      </c>
      <c r="M87" s="111" t="s">
        <v>1</v>
      </c>
    </row>
    <row r="88" spans="1:16" s="46" customFormat="1" ht="29" x14ac:dyDescent="0.35">
      <c r="A88" s="176"/>
      <c r="B88" s="5">
        <v>82</v>
      </c>
      <c r="C88" s="5" t="s">
        <v>14</v>
      </c>
      <c r="D88" s="5" t="s">
        <v>13</v>
      </c>
      <c r="E88" s="5" t="s">
        <v>529</v>
      </c>
      <c r="F88" s="114">
        <v>4</v>
      </c>
      <c r="G88" s="114" t="s">
        <v>12</v>
      </c>
      <c r="H88" s="5">
        <v>80111700</v>
      </c>
      <c r="I88" s="113">
        <f>221500*1.0483</f>
        <v>232198.45</v>
      </c>
      <c r="J88" s="50">
        <f>I88*19%</f>
        <v>44117.705500000004</v>
      </c>
      <c r="K88" s="50">
        <f>J88+I88</f>
        <v>276316.15549999999</v>
      </c>
      <c r="L88" s="113">
        <f>K88*4*2</f>
        <v>2210529.2439999999</v>
      </c>
      <c r="M88" s="111" t="s">
        <v>1</v>
      </c>
    </row>
    <row r="89" spans="1:16" s="46" customFormat="1" ht="217.5" x14ac:dyDescent="0.35">
      <c r="A89" s="176"/>
      <c r="B89" s="111">
        <v>83</v>
      </c>
      <c r="C89" s="5" t="s">
        <v>2</v>
      </c>
      <c r="D89" s="5" t="s">
        <v>11</v>
      </c>
      <c r="E89" s="5" t="s">
        <v>520</v>
      </c>
      <c r="F89" s="114">
        <v>2</v>
      </c>
      <c r="G89" s="114" t="s">
        <v>555</v>
      </c>
      <c r="H89" s="5">
        <v>20102301</v>
      </c>
      <c r="I89" s="113">
        <f>843100*1.0483</f>
        <v>883821.73</v>
      </c>
      <c r="J89" s="50">
        <f>I89*19%</f>
        <v>167926.1287</v>
      </c>
      <c r="K89" s="50">
        <f>J89+I89</f>
        <v>1051747.8587</v>
      </c>
      <c r="L89" s="113">
        <f>K89*2*F89</f>
        <v>4206991.4347999999</v>
      </c>
      <c r="M89" s="111" t="s">
        <v>1</v>
      </c>
    </row>
    <row r="90" spans="1:16" s="44" customFormat="1" ht="116" x14ac:dyDescent="0.35">
      <c r="A90" s="176"/>
      <c r="B90" s="5">
        <v>84</v>
      </c>
      <c r="C90" s="5" t="s">
        <v>2</v>
      </c>
      <c r="D90" s="5" t="s">
        <v>10</v>
      </c>
      <c r="E90" s="5" t="s">
        <v>519</v>
      </c>
      <c r="F90" s="114">
        <v>6</v>
      </c>
      <c r="G90" s="114"/>
      <c r="H90" s="5">
        <v>14111500</v>
      </c>
      <c r="I90" s="113">
        <f>41555*1.0483</f>
        <v>43562.106500000002</v>
      </c>
      <c r="J90" s="50">
        <f>I90*19%</f>
        <v>8276.8002350000006</v>
      </c>
      <c r="K90" s="50">
        <f>J90+I90</f>
        <v>51838.906735000004</v>
      </c>
      <c r="L90" s="113">
        <f>K90*F90</f>
        <v>311033.44041000004</v>
      </c>
      <c r="M90" s="111" t="s">
        <v>9</v>
      </c>
    </row>
    <row r="91" spans="1:16" s="46" customFormat="1" ht="43.5" x14ac:dyDescent="0.35">
      <c r="A91" s="176"/>
      <c r="B91" s="111">
        <v>85</v>
      </c>
      <c r="C91" s="5" t="s">
        <v>2</v>
      </c>
      <c r="D91" s="5" t="s">
        <v>8</v>
      </c>
      <c r="E91" s="5" t="s">
        <v>508</v>
      </c>
      <c r="F91" s="114">
        <v>50</v>
      </c>
      <c r="G91" s="114">
        <v>2</v>
      </c>
      <c r="H91" s="5">
        <v>95141707</v>
      </c>
      <c r="I91" s="113">
        <v>44600</v>
      </c>
      <c r="J91" s="50">
        <f>I91*19%</f>
        <v>8474</v>
      </c>
      <c r="K91" s="50">
        <f>J91+I91</f>
        <v>53074</v>
      </c>
      <c r="L91" s="108">
        <f>+K91*F91*2</f>
        <v>5307400</v>
      </c>
      <c r="M91" s="111" t="s">
        <v>1</v>
      </c>
    </row>
    <row r="92" spans="1:16" s="46" customFormat="1" ht="58" x14ac:dyDescent="0.35">
      <c r="A92" s="176"/>
      <c r="B92" s="5">
        <v>86</v>
      </c>
      <c r="C92" s="5" t="s">
        <v>2</v>
      </c>
      <c r="D92" s="5" t="s">
        <v>609</v>
      </c>
      <c r="E92" s="5" t="s">
        <v>524</v>
      </c>
      <c r="F92" s="5">
        <v>50</v>
      </c>
      <c r="G92" s="5">
        <v>1</v>
      </c>
      <c r="H92" s="5" t="s">
        <v>6</v>
      </c>
      <c r="I92" s="108">
        <v>2000000</v>
      </c>
      <c r="J92" s="108">
        <v>0</v>
      </c>
      <c r="K92" s="108">
        <v>2000000</v>
      </c>
      <c r="L92" s="108">
        <f>+K92*F92</f>
        <v>100000000</v>
      </c>
      <c r="M92" s="111" t="s">
        <v>5</v>
      </c>
    </row>
    <row r="93" spans="1:16" s="46" customFormat="1" ht="109" customHeight="1" x14ac:dyDescent="0.35">
      <c r="A93" s="177"/>
      <c r="B93" s="111">
        <v>87</v>
      </c>
      <c r="C93" s="5" t="s">
        <v>27</v>
      </c>
      <c r="D93" s="5" t="s">
        <v>497</v>
      </c>
      <c r="E93" s="5" t="s">
        <v>549</v>
      </c>
      <c r="F93" s="5">
        <v>1</v>
      </c>
      <c r="G93" s="5" t="s">
        <v>12</v>
      </c>
      <c r="H93" s="5"/>
      <c r="I93" s="108">
        <f>75921212+(121.72/2)</f>
        <v>75921272.859999999</v>
      </c>
      <c r="J93" s="108">
        <v>0</v>
      </c>
      <c r="K93" s="108">
        <v>0</v>
      </c>
      <c r="L93" s="108">
        <f>+I93*2</f>
        <v>151842545.72</v>
      </c>
      <c r="M93" s="111"/>
    </row>
    <row r="94" spans="1:16" s="46" customFormat="1" ht="409.25" customHeight="1" x14ac:dyDescent="0.35">
      <c r="A94" s="99" t="s">
        <v>480</v>
      </c>
      <c r="B94" s="40">
        <v>88</v>
      </c>
      <c r="C94" s="40" t="s">
        <v>2</v>
      </c>
      <c r="D94" s="40" t="s">
        <v>498</v>
      </c>
      <c r="E94" s="40" t="s">
        <v>550</v>
      </c>
      <c r="F94" s="40">
        <v>5</v>
      </c>
      <c r="G94" s="40" t="s">
        <v>509</v>
      </c>
      <c r="H94" s="40">
        <v>83121701</v>
      </c>
      <c r="I94" s="112">
        <v>0</v>
      </c>
      <c r="J94" s="107">
        <v>0</v>
      </c>
      <c r="K94" s="107">
        <v>0</v>
      </c>
      <c r="L94" s="107">
        <v>0</v>
      </c>
      <c r="M94" s="111" t="s">
        <v>499</v>
      </c>
    </row>
    <row r="95" spans="1:16" s="46" customFormat="1" ht="150.5" customHeight="1" x14ac:dyDescent="0.35">
      <c r="A95" s="99" t="s">
        <v>480</v>
      </c>
      <c r="B95" s="39">
        <v>89</v>
      </c>
      <c r="C95" s="40" t="s">
        <v>593</v>
      </c>
      <c r="D95" s="40" t="s">
        <v>610</v>
      </c>
      <c r="E95" s="40" t="s">
        <v>525</v>
      </c>
      <c r="F95" s="40">
        <v>1</v>
      </c>
      <c r="G95" s="40" t="s">
        <v>589</v>
      </c>
      <c r="H95" s="40">
        <v>80111700</v>
      </c>
      <c r="I95" s="106">
        <v>4917000</v>
      </c>
      <c r="J95" s="107"/>
      <c r="K95" s="106">
        <v>8817001</v>
      </c>
      <c r="L95" s="110">
        <f>K95*7</f>
        <v>61719007</v>
      </c>
      <c r="M95" s="100" t="s">
        <v>3</v>
      </c>
      <c r="N95" s="42"/>
      <c r="O95" s="42"/>
      <c r="P95" s="42"/>
    </row>
    <row r="96" spans="1:16" s="46" customFormat="1" ht="58.5" thickBot="1" x14ac:dyDescent="0.4">
      <c r="A96" s="99" t="s">
        <v>480</v>
      </c>
      <c r="B96" s="40">
        <v>90</v>
      </c>
      <c r="C96" s="40" t="s">
        <v>2</v>
      </c>
      <c r="D96" s="40" t="s">
        <v>599</v>
      </c>
      <c r="E96" s="40" t="s">
        <v>551</v>
      </c>
      <c r="F96" s="40">
        <f>2310+50+130+37</f>
        <v>2527</v>
      </c>
      <c r="G96" s="40" t="s">
        <v>509</v>
      </c>
      <c r="H96" s="40">
        <v>90101603</v>
      </c>
      <c r="I96" s="49">
        <f>13502*1.0483</f>
        <v>14154.1466</v>
      </c>
      <c r="J96" s="50">
        <f>I96*19%</f>
        <v>2689.2878540000002</v>
      </c>
      <c r="K96" s="50">
        <f>J96+I96</f>
        <v>16843.434454000002</v>
      </c>
      <c r="L96" s="43">
        <f>K96*F96</f>
        <v>42563358.865258008</v>
      </c>
      <c r="M96" s="111" t="s">
        <v>1</v>
      </c>
    </row>
    <row r="97" spans="2:16" ht="29" thickBot="1" x14ac:dyDescent="0.4">
      <c r="B97" s="163" t="s">
        <v>0</v>
      </c>
      <c r="C97" s="164"/>
      <c r="D97" s="164"/>
      <c r="E97" s="164"/>
      <c r="F97" s="164"/>
      <c r="G97" s="164"/>
      <c r="H97" s="164"/>
      <c r="I97" s="165">
        <f>SUM(L7:L96)</f>
        <v>1229741599.2497885</v>
      </c>
      <c r="J97" s="166"/>
      <c r="K97" s="166"/>
      <c r="L97" s="166"/>
      <c r="P97" s="47"/>
    </row>
    <row r="98" spans="2:16" x14ac:dyDescent="0.35">
      <c r="M98" s="103"/>
    </row>
  </sheetData>
  <autoFilter ref="B6:P97" xr:uid="{13560867-526C-482D-A568-A10F25468D18}"/>
  <mergeCells count="23">
    <mergeCell ref="A68:A93"/>
    <mergeCell ref="A7:A21"/>
    <mergeCell ref="A22:A38"/>
    <mergeCell ref="A39:A53"/>
    <mergeCell ref="A5:A6"/>
    <mergeCell ref="A54:A67"/>
    <mergeCell ref="B1:C3"/>
    <mergeCell ref="B5:B6"/>
    <mergeCell ref="D3:M3"/>
    <mergeCell ref="D2:L2"/>
    <mergeCell ref="D1:L1"/>
    <mergeCell ref="M5:M6"/>
    <mergeCell ref="E5:E6"/>
    <mergeCell ref="G5:G6"/>
    <mergeCell ref="C5:C6"/>
    <mergeCell ref="D5:D6"/>
    <mergeCell ref="F5:F6"/>
    <mergeCell ref="B4:L4"/>
    <mergeCell ref="B97:H97"/>
    <mergeCell ref="I97:L97"/>
    <mergeCell ref="H5:H6"/>
    <mergeCell ref="I5:K5"/>
    <mergeCell ref="L5:L6"/>
  </mergeCells>
  <hyperlinks>
    <hyperlink ref="M13" r:id="rId1" xr:uid="{EFFECA2C-2178-4160-84FD-17C314EE3D0D}"/>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911A5-F295-4AC5-B7C6-6C356619928C}">
  <dimension ref="A1:BV129"/>
  <sheetViews>
    <sheetView tabSelected="1" topLeftCell="A3" zoomScale="85" zoomScaleNormal="85" workbookViewId="0">
      <pane xSplit="1" ySplit="5" topLeftCell="C20" activePane="bottomRight" state="frozen"/>
      <selection activeCell="A3" sqref="A3"/>
      <selection pane="topRight" activeCell="B3" sqref="B3"/>
      <selection pane="bottomLeft" activeCell="A8" sqref="A8"/>
      <selection pane="bottomRight" activeCell="F22" sqref="F22"/>
    </sheetView>
  </sheetViews>
  <sheetFormatPr baseColWidth="10" defaultColWidth="10.81640625" defaultRowHeight="14.5" x14ac:dyDescent="0.35"/>
  <cols>
    <col min="1" max="1" width="7.1796875" style="52" customWidth="1"/>
    <col min="2" max="2" width="20.81640625" style="38" customWidth="1"/>
    <col min="3" max="3" width="16.81640625" style="52" customWidth="1"/>
    <col min="4" max="4" width="44.6328125" style="38" customWidth="1"/>
    <col min="5" max="5" width="13.81640625" style="52" customWidth="1"/>
    <col min="6" max="6" width="15.81640625" style="52" customWidth="1"/>
    <col min="7" max="8" width="10.81640625" style="38"/>
    <col min="9" max="9" width="25.81640625" style="38" customWidth="1"/>
    <col min="10" max="11" width="23.453125" style="38" customWidth="1"/>
    <col min="12" max="12" width="22.81640625" style="38" customWidth="1"/>
    <col min="13" max="13" width="32.36328125" style="38" customWidth="1"/>
    <col min="14" max="14" width="14.36328125" style="38" customWidth="1"/>
    <col min="15" max="74" width="10.81640625" style="255"/>
    <col min="75" max="16384" width="10.81640625" style="38"/>
  </cols>
  <sheetData>
    <row r="1" spans="1:74" x14ac:dyDescent="0.35">
      <c r="A1" s="145"/>
      <c r="B1" s="146"/>
      <c r="C1" s="5"/>
      <c r="D1" s="224" t="s">
        <v>75</v>
      </c>
      <c r="E1" s="145"/>
      <c r="F1" s="145"/>
      <c r="G1" s="146"/>
      <c r="H1" s="146"/>
      <c r="I1" s="146"/>
      <c r="J1" s="146"/>
      <c r="K1" s="146"/>
      <c r="L1" s="146"/>
      <c r="M1" s="146"/>
      <c r="N1" s="254"/>
    </row>
    <row r="2" spans="1:74" x14ac:dyDescent="0.35">
      <c r="A2" s="146"/>
      <c r="B2" s="146"/>
      <c r="C2" s="5"/>
      <c r="D2" s="224" t="s">
        <v>74</v>
      </c>
      <c r="E2" s="145"/>
      <c r="F2" s="145"/>
      <c r="G2" s="146"/>
      <c r="H2" s="146"/>
      <c r="I2" s="146"/>
      <c r="J2" s="146"/>
      <c r="K2" s="146"/>
      <c r="L2" s="146"/>
      <c r="M2" s="146"/>
      <c r="N2" s="254"/>
    </row>
    <row r="3" spans="1:74" ht="53" customHeight="1" x14ac:dyDescent="0.35">
      <c r="A3" s="146"/>
      <c r="B3" s="146"/>
      <c r="C3" s="224" t="s">
        <v>606</v>
      </c>
      <c r="D3" s="224"/>
      <c r="E3" s="224"/>
      <c r="F3" s="224"/>
      <c r="G3" s="224"/>
      <c r="H3" s="224"/>
      <c r="I3" s="225"/>
      <c r="J3" s="224"/>
      <c r="K3" s="224"/>
      <c r="L3" s="224"/>
      <c r="M3" s="224"/>
      <c r="N3" s="254"/>
    </row>
    <row r="4" spans="1:74" ht="22" customHeight="1" thickBot="1" x14ac:dyDescent="0.4">
      <c r="A4" s="226" t="s">
        <v>73</v>
      </c>
      <c r="B4" s="227"/>
      <c r="C4" s="227"/>
      <c r="D4" s="227"/>
      <c r="E4" s="227"/>
      <c r="F4" s="227"/>
      <c r="G4" s="227"/>
      <c r="H4" s="227"/>
      <c r="I4" s="228"/>
      <c r="J4" s="227"/>
      <c r="K4" s="227"/>
      <c r="L4" s="227"/>
      <c r="M4" s="227"/>
      <c r="N4" s="229"/>
    </row>
    <row r="5" spans="1:74" ht="28" customHeight="1" thickBot="1" x14ac:dyDescent="0.4">
      <c r="A5" s="220" t="s">
        <v>433</v>
      </c>
      <c r="B5" s="221"/>
      <c r="C5" s="221"/>
      <c r="D5" s="221"/>
      <c r="E5" s="221"/>
      <c r="F5" s="221"/>
      <c r="G5" s="221"/>
      <c r="H5" s="221"/>
      <c r="I5" s="222"/>
      <c r="J5" s="221"/>
      <c r="K5" s="221"/>
      <c r="L5" s="221"/>
      <c r="M5" s="221"/>
      <c r="N5" s="223"/>
    </row>
    <row r="6" spans="1:74" ht="23.5" customHeight="1" x14ac:dyDescent="0.35">
      <c r="A6" s="158" t="s">
        <v>72</v>
      </c>
      <c r="B6" s="158" t="s">
        <v>71</v>
      </c>
      <c r="C6" s="158" t="s">
        <v>228</v>
      </c>
      <c r="D6" s="156" t="s">
        <v>70</v>
      </c>
      <c r="E6" s="158" t="s">
        <v>227</v>
      </c>
      <c r="F6" s="156" t="s">
        <v>69</v>
      </c>
      <c r="G6" s="156" t="s">
        <v>432</v>
      </c>
      <c r="H6" s="158" t="s">
        <v>68</v>
      </c>
      <c r="I6" s="37" t="s">
        <v>65</v>
      </c>
      <c r="J6" s="198" t="s">
        <v>64</v>
      </c>
      <c r="K6" s="149" t="s">
        <v>63</v>
      </c>
      <c r="L6" s="149" t="s">
        <v>226</v>
      </c>
      <c r="M6" s="149" t="s">
        <v>66</v>
      </c>
      <c r="N6" s="191"/>
    </row>
    <row r="7" spans="1:74" ht="15" thickBot="1" x14ac:dyDescent="0.4">
      <c r="A7" s="159"/>
      <c r="B7" s="159"/>
      <c r="C7" s="159"/>
      <c r="D7" s="157"/>
      <c r="E7" s="159"/>
      <c r="F7" s="157"/>
      <c r="G7" s="157"/>
      <c r="H7" s="159"/>
      <c r="I7" s="36"/>
      <c r="J7" s="199"/>
      <c r="K7" s="197"/>
      <c r="L7" s="150"/>
      <c r="M7" s="150"/>
      <c r="N7" s="192"/>
    </row>
    <row r="8" spans="1:74" ht="48" customHeight="1" x14ac:dyDescent="0.35">
      <c r="A8" s="200" t="s">
        <v>621</v>
      </c>
      <c r="B8" s="252"/>
      <c r="C8" s="252"/>
      <c r="D8" s="252"/>
      <c r="E8" s="252"/>
      <c r="F8" s="252"/>
      <c r="G8" s="252"/>
      <c r="H8" s="252"/>
      <c r="I8" s="252"/>
      <c r="J8" s="252"/>
      <c r="K8" s="252"/>
      <c r="L8" s="252"/>
      <c r="M8" s="252"/>
      <c r="N8" s="201"/>
    </row>
    <row r="9" spans="1:74" ht="87" x14ac:dyDescent="0.35">
      <c r="A9" s="266">
        <v>1</v>
      </c>
      <c r="B9" s="29" t="s">
        <v>416</v>
      </c>
      <c r="C9" s="29" t="s">
        <v>431</v>
      </c>
      <c r="D9" s="35" t="s">
        <v>430</v>
      </c>
      <c r="E9" s="27">
        <v>1</v>
      </c>
      <c r="F9" s="5" t="s">
        <v>427</v>
      </c>
      <c r="G9" s="80" t="s">
        <v>509</v>
      </c>
      <c r="H9" s="27">
        <v>10161803</v>
      </c>
      <c r="I9" s="53">
        <v>19457</v>
      </c>
      <c r="J9" s="54">
        <f t="shared" ref="J9:J23" si="0">I9*19%</f>
        <v>3696.83</v>
      </c>
      <c r="K9" s="54">
        <f t="shared" ref="K9:K23" si="1">I9+J9</f>
        <v>23153.83</v>
      </c>
      <c r="L9" s="54">
        <f>(1.15*K9)</f>
        <v>26626.904500000001</v>
      </c>
      <c r="M9" s="253" t="s">
        <v>622</v>
      </c>
      <c r="N9" s="267" t="s">
        <v>273</v>
      </c>
    </row>
    <row r="10" spans="1:74" ht="58" x14ac:dyDescent="0.35">
      <c r="A10" s="268">
        <v>2</v>
      </c>
      <c r="B10" s="4" t="s">
        <v>416</v>
      </c>
      <c r="C10" s="4" t="s">
        <v>429</v>
      </c>
      <c r="D10" s="21" t="s">
        <v>428</v>
      </c>
      <c r="E10" s="5">
        <v>1</v>
      </c>
      <c r="F10" s="5" t="s">
        <v>427</v>
      </c>
      <c r="G10" s="80" t="s">
        <v>509</v>
      </c>
      <c r="H10" s="5">
        <v>12141705</v>
      </c>
      <c r="I10" s="16">
        <v>105076</v>
      </c>
      <c r="J10" s="54">
        <f t="shared" si="0"/>
        <v>19964.439999999999</v>
      </c>
      <c r="K10" s="54">
        <f t="shared" si="1"/>
        <v>125040.44</v>
      </c>
      <c r="L10" s="54">
        <f t="shared" ref="L10:L23" si="2">(1.15*K10)</f>
        <v>143796.50599999999</v>
      </c>
      <c r="M10" s="253" t="s">
        <v>622</v>
      </c>
      <c r="N10" s="269" t="s">
        <v>273</v>
      </c>
    </row>
    <row r="11" spans="1:74" ht="174" x14ac:dyDescent="0.35">
      <c r="A11" s="268">
        <v>3</v>
      </c>
      <c r="B11" s="4" t="s">
        <v>416</v>
      </c>
      <c r="C11" s="4" t="s">
        <v>426</v>
      </c>
      <c r="D11" s="21" t="s">
        <v>425</v>
      </c>
      <c r="E11" s="5">
        <v>1</v>
      </c>
      <c r="F11" s="5" t="s">
        <v>343</v>
      </c>
      <c r="G11" s="80" t="s">
        <v>509</v>
      </c>
      <c r="H11" s="5">
        <v>10171701</v>
      </c>
      <c r="I11" s="16">
        <v>212945</v>
      </c>
      <c r="J11" s="54">
        <f t="shared" si="0"/>
        <v>40459.550000000003</v>
      </c>
      <c r="K11" s="54">
        <f t="shared" si="1"/>
        <v>253404.55</v>
      </c>
      <c r="L11" s="54">
        <f t="shared" si="2"/>
        <v>291415.23249999998</v>
      </c>
      <c r="M11" s="253" t="s">
        <v>622</v>
      </c>
      <c r="N11" s="269" t="s">
        <v>273</v>
      </c>
      <c r="P11" s="291"/>
    </row>
    <row r="12" spans="1:74" ht="174" x14ac:dyDescent="0.35">
      <c r="A12" s="266">
        <v>4</v>
      </c>
      <c r="B12" s="4" t="s">
        <v>416</v>
      </c>
      <c r="C12" s="4" t="s">
        <v>424</v>
      </c>
      <c r="D12" s="21" t="s">
        <v>423</v>
      </c>
      <c r="E12" s="5">
        <v>1</v>
      </c>
      <c r="F12" s="5" t="s">
        <v>422</v>
      </c>
      <c r="G12" s="80" t="s">
        <v>509</v>
      </c>
      <c r="H12" s="5">
        <v>40151510</v>
      </c>
      <c r="I12" s="16">
        <v>191.2</v>
      </c>
      <c r="J12" s="54">
        <f t="shared" si="0"/>
        <v>36.327999999999996</v>
      </c>
      <c r="K12" s="54">
        <f t="shared" si="1"/>
        <v>227.52799999999999</v>
      </c>
      <c r="L12" s="54">
        <f t="shared" si="2"/>
        <v>261.65719999999999</v>
      </c>
      <c r="M12" s="253" t="s">
        <v>622</v>
      </c>
      <c r="N12" s="269" t="s">
        <v>273</v>
      </c>
    </row>
    <row r="13" spans="1:74" ht="58" x14ac:dyDescent="0.35">
      <c r="A13" s="268">
        <v>5</v>
      </c>
      <c r="B13" s="4" t="s">
        <v>416</v>
      </c>
      <c r="C13" s="4" t="s">
        <v>421</v>
      </c>
      <c r="D13" s="21" t="s">
        <v>420</v>
      </c>
      <c r="E13" s="5">
        <v>1</v>
      </c>
      <c r="F13" s="5" t="s">
        <v>419</v>
      </c>
      <c r="G13" s="80" t="s">
        <v>509</v>
      </c>
      <c r="H13" s="5">
        <v>10171704</v>
      </c>
      <c r="I13" s="16">
        <v>24393.3</v>
      </c>
      <c r="J13" s="54">
        <f t="shared" si="0"/>
        <v>4634.7269999999999</v>
      </c>
      <c r="K13" s="54">
        <f t="shared" si="1"/>
        <v>29028.026999999998</v>
      </c>
      <c r="L13" s="54">
        <f t="shared" si="2"/>
        <v>33382.231049999995</v>
      </c>
      <c r="M13" s="253" t="s">
        <v>622</v>
      </c>
      <c r="N13" s="269" t="s">
        <v>273</v>
      </c>
    </row>
    <row r="14" spans="1:74" ht="72.5" x14ac:dyDescent="0.35">
      <c r="A14" s="268">
        <v>12</v>
      </c>
      <c r="B14" s="4" t="s">
        <v>416</v>
      </c>
      <c r="C14" s="4" t="s">
        <v>418</v>
      </c>
      <c r="D14" s="21" t="s">
        <v>417</v>
      </c>
      <c r="E14" s="249">
        <v>1</v>
      </c>
      <c r="F14" s="5" t="s">
        <v>231</v>
      </c>
      <c r="G14" s="80" t="s">
        <v>509</v>
      </c>
      <c r="H14" s="5">
        <v>47121701</v>
      </c>
      <c r="I14" s="16">
        <v>11970.6</v>
      </c>
      <c r="J14" s="54">
        <f t="shared" si="0"/>
        <v>2274.4140000000002</v>
      </c>
      <c r="K14" s="54">
        <f t="shared" si="1"/>
        <v>14245.014000000001</v>
      </c>
      <c r="L14" s="54">
        <f t="shared" si="2"/>
        <v>16381.766100000001</v>
      </c>
      <c r="M14" s="253" t="s">
        <v>622</v>
      </c>
      <c r="N14" s="269" t="s">
        <v>273</v>
      </c>
    </row>
    <row r="15" spans="1:74" ht="58" x14ac:dyDescent="0.35">
      <c r="A15" s="268">
        <v>14</v>
      </c>
      <c r="B15" s="4" t="s">
        <v>416</v>
      </c>
      <c r="C15" s="4" t="s">
        <v>415</v>
      </c>
      <c r="D15" s="21" t="s">
        <v>414</v>
      </c>
      <c r="E15" s="249">
        <v>1</v>
      </c>
      <c r="F15" s="5" t="s">
        <v>231</v>
      </c>
      <c r="G15" s="80" t="s">
        <v>509</v>
      </c>
      <c r="H15" s="5">
        <v>24141501</v>
      </c>
      <c r="I15" s="16">
        <v>7354.3</v>
      </c>
      <c r="J15" s="54">
        <f t="shared" si="0"/>
        <v>1397.317</v>
      </c>
      <c r="K15" s="54">
        <f t="shared" si="1"/>
        <v>8751.6170000000002</v>
      </c>
      <c r="L15" s="54">
        <f t="shared" si="2"/>
        <v>10064.359549999999</v>
      </c>
      <c r="M15" s="253" t="s">
        <v>622</v>
      </c>
      <c r="N15" s="269" t="s">
        <v>273</v>
      </c>
    </row>
    <row r="16" spans="1:74" s="73" customFormat="1" ht="118.5" customHeight="1" x14ac:dyDescent="0.35">
      <c r="A16" s="268">
        <v>5</v>
      </c>
      <c r="B16" s="4" t="s">
        <v>416</v>
      </c>
      <c r="C16" s="247" t="s">
        <v>614</v>
      </c>
      <c r="D16" s="21" t="s">
        <v>619</v>
      </c>
      <c r="E16" s="250">
        <v>1</v>
      </c>
      <c r="F16" s="80" t="s">
        <v>340</v>
      </c>
      <c r="G16" s="80" t="s">
        <v>509</v>
      </c>
      <c r="H16" s="80">
        <v>80101700</v>
      </c>
      <c r="I16" s="248">
        <v>6480</v>
      </c>
      <c r="J16" s="54">
        <f t="shared" si="0"/>
        <v>1231.2</v>
      </c>
      <c r="K16" s="54">
        <f t="shared" si="1"/>
        <v>7711.2</v>
      </c>
      <c r="L16" s="54">
        <f t="shared" si="2"/>
        <v>8867.8799999999992</v>
      </c>
      <c r="M16" s="253" t="s">
        <v>622</v>
      </c>
      <c r="N16" s="270"/>
      <c r="O16" s="256"/>
      <c r="P16" s="256"/>
      <c r="Q16" s="256"/>
      <c r="R16" s="256"/>
      <c r="S16" s="256"/>
      <c r="T16" s="256"/>
      <c r="U16" s="256"/>
      <c r="V16" s="256"/>
      <c r="W16" s="256"/>
      <c r="X16" s="256"/>
      <c r="Y16" s="256"/>
      <c r="Z16" s="256"/>
      <c r="AA16" s="256"/>
      <c r="AB16" s="256"/>
      <c r="AC16" s="256"/>
      <c r="AD16" s="256"/>
      <c r="AE16" s="256"/>
      <c r="AF16" s="256"/>
      <c r="AG16" s="256"/>
      <c r="AH16" s="256"/>
      <c r="AI16" s="256"/>
      <c r="AJ16" s="256"/>
      <c r="AK16" s="256"/>
      <c r="AL16" s="256"/>
      <c r="AM16" s="256"/>
      <c r="AN16" s="256"/>
      <c r="AO16" s="256"/>
      <c r="AP16" s="256"/>
      <c r="AQ16" s="256"/>
      <c r="AR16" s="256"/>
      <c r="AS16" s="256"/>
      <c r="AT16" s="256"/>
      <c r="AU16" s="256"/>
      <c r="AV16" s="256"/>
      <c r="AW16" s="256"/>
      <c r="AX16" s="256"/>
      <c r="AY16" s="256"/>
      <c r="AZ16" s="256"/>
      <c r="BA16" s="256"/>
      <c r="BB16" s="256"/>
      <c r="BC16" s="256"/>
      <c r="BD16" s="256"/>
      <c r="BE16" s="256"/>
      <c r="BF16" s="256"/>
      <c r="BG16" s="256"/>
      <c r="BH16" s="256"/>
      <c r="BI16" s="256"/>
      <c r="BJ16" s="256"/>
      <c r="BK16" s="256"/>
      <c r="BL16" s="256"/>
      <c r="BM16" s="256"/>
      <c r="BN16" s="256"/>
      <c r="BO16" s="256"/>
      <c r="BP16" s="256"/>
      <c r="BQ16" s="256"/>
      <c r="BR16" s="256"/>
      <c r="BS16" s="256"/>
      <c r="BT16" s="256"/>
      <c r="BU16" s="256"/>
      <c r="BV16" s="256"/>
    </row>
    <row r="17" spans="1:74" s="73" customFormat="1" ht="90" customHeight="1" x14ac:dyDescent="0.35">
      <c r="A17" s="268">
        <v>6</v>
      </c>
      <c r="B17" s="4" t="s">
        <v>416</v>
      </c>
      <c r="C17" s="247" t="s">
        <v>614</v>
      </c>
      <c r="D17" s="21" t="s">
        <v>620</v>
      </c>
      <c r="E17" s="250">
        <v>1</v>
      </c>
      <c r="F17" s="80" t="s">
        <v>340</v>
      </c>
      <c r="G17" s="80" t="s">
        <v>509</v>
      </c>
      <c r="H17" s="80">
        <v>80101700</v>
      </c>
      <c r="I17" s="248">
        <v>6196.5</v>
      </c>
      <c r="J17" s="54">
        <f t="shared" si="0"/>
        <v>1177.335</v>
      </c>
      <c r="K17" s="54">
        <f t="shared" si="1"/>
        <v>7373.835</v>
      </c>
      <c r="L17" s="54">
        <f t="shared" si="2"/>
        <v>8479.910249999999</v>
      </c>
      <c r="M17" s="253" t="s">
        <v>622</v>
      </c>
      <c r="N17" s="270"/>
      <c r="O17" s="256"/>
      <c r="P17" s="256"/>
      <c r="Q17" s="256"/>
      <c r="R17" s="256"/>
      <c r="S17" s="256"/>
      <c r="T17" s="256"/>
      <c r="U17" s="256"/>
      <c r="V17" s="256"/>
      <c r="W17" s="256"/>
      <c r="X17" s="256"/>
      <c r="Y17" s="256"/>
      <c r="Z17" s="256"/>
      <c r="AA17" s="256"/>
      <c r="AB17" s="256"/>
      <c r="AC17" s="256"/>
      <c r="AD17" s="256"/>
      <c r="AE17" s="256"/>
      <c r="AF17" s="256"/>
      <c r="AG17" s="256"/>
      <c r="AH17" s="256"/>
      <c r="AI17" s="256"/>
      <c r="AJ17" s="256"/>
      <c r="AK17" s="256"/>
      <c r="AL17" s="256"/>
      <c r="AM17" s="256"/>
      <c r="AN17" s="256"/>
      <c r="AO17" s="256"/>
      <c r="AP17" s="256"/>
      <c r="AQ17" s="256"/>
      <c r="AR17" s="256"/>
      <c r="AS17" s="256"/>
      <c r="AT17" s="256"/>
      <c r="AU17" s="256"/>
      <c r="AV17" s="256"/>
      <c r="AW17" s="256"/>
      <c r="AX17" s="256"/>
      <c r="AY17" s="256"/>
      <c r="AZ17" s="256"/>
      <c r="BA17" s="256"/>
      <c r="BB17" s="256"/>
      <c r="BC17" s="256"/>
      <c r="BD17" s="256"/>
      <c r="BE17" s="256"/>
      <c r="BF17" s="256"/>
      <c r="BG17" s="256"/>
      <c r="BH17" s="256"/>
      <c r="BI17" s="256"/>
      <c r="BJ17" s="256"/>
      <c r="BK17" s="256"/>
      <c r="BL17" s="256"/>
      <c r="BM17" s="256"/>
      <c r="BN17" s="256"/>
      <c r="BO17" s="256"/>
      <c r="BP17" s="256"/>
      <c r="BQ17" s="256"/>
      <c r="BR17" s="256"/>
      <c r="BS17" s="256"/>
      <c r="BT17" s="256"/>
      <c r="BU17" s="256"/>
      <c r="BV17" s="256"/>
    </row>
    <row r="18" spans="1:74" s="73" customFormat="1" ht="47" customHeight="1" x14ac:dyDescent="0.35">
      <c r="A18" s="268">
        <v>8</v>
      </c>
      <c r="B18" s="4" t="s">
        <v>416</v>
      </c>
      <c r="C18" s="247" t="s">
        <v>614</v>
      </c>
      <c r="D18" s="21" t="s">
        <v>615</v>
      </c>
      <c r="E18" s="250">
        <v>1</v>
      </c>
      <c r="F18" s="80" t="s">
        <v>340</v>
      </c>
      <c r="G18" s="80" t="s">
        <v>509</v>
      </c>
      <c r="H18" s="80">
        <v>12111700</v>
      </c>
      <c r="I18" s="248">
        <v>8910</v>
      </c>
      <c r="J18" s="54">
        <f t="shared" si="0"/>
        <v>1692.9</v>
      </c>
      <c r="K18" s="54">
        <f t="shared" si="1"/>
        <v>10602.9</v>
      </c>
      <c r="L18" s="54">
        <f t="shared" si="2"/>
        <v>12193.334999999999</v>
      </c>
      <c r="M18" s="253" t="s">
        <v>622</v>
      </c>
      <c r="N18" s="270"/>
      <c r="O18" s="256"/>
      <c r="P18" s="256"/>
      <c r="Q18" s="256"/>
      <c r="R18" s="256"/>
      <c r="S18" s="256"/>
      <c r="T18" s="256"/>
      <c r="U18" s="256"/>
      <c r="V18" s="256"/>
      <c r="W18" s="256"/>
      <c r="X18" s="256"/>
      <c r="Y18" s="256"/>
      <c r="Z18" s="256"/>
      <c r="AA18" s="256"/>
      <c r="AB18" s="256"/>
      <c r="AC18" s="256"/>
      <c r="AD18" s="256"/>
      <c r="AE18" s="256"/>
      <c r="AF18" s="256"/>
      <c r="AG18" s="256"/>
      <c r="AH18" s="256"/>
      <c r="AI18" s="256"/>
      <c r="AJ18" s="256"/>
      <c r="AK18" s="256"/>
      <c r="AL18" s="256"/>
      <c r="AM18" s="256"/>
      <c r="AN18" s="256"/>
      <c r="AO18" s="256"/>
      <c r="AP18" s="256"/>
      <c r="AQ18" s="256"/>
      <c r="AR18" s="256"/>
      <c r="AS18" s="256"/>
      <c r="AT18" s="256"/>
      <c r="AU18" s="256"/>
      <c r="AV18" s="256"/>
      <c r="AW18" s="256"/>
      <c r="AX18" s="256"/>
      <c r="AY18" s="256"/>
      <c r="AZ18" s="256"/>
      <c r="BA18" s="256"/>
      <c r="BB18" s="256"/>
      <c r="BC18" s="256"/>
      <c r="BD18" s="256"/>
      <c r="BE18" s="256"/>
      <c r="BF18" s="256"/>
      <c r="BG18" s="256"/>
      <c r="BH18" s="256"/>
      <c r="BI18" s="256"/>
      <c r="BJ18" s="256"/>
      <c r="BK18" s="256"/>
      <c r="BL18" s="256"/>
      <c r="BM18" s="256"/>
      <c r="BN18" s="256"/>
      <c r="BO18" s="256"/>
      <c r="BP18" s="256"/>
      <c r="BQ18" s="256"/>
      <c r="BR18" s="256"/>
      <c r="BS18" s="256"/>
      <c r="BT18" s="256"/>
      <c r="BU18" s="256"/>
      <c r="BV18" s="256"/>
    </row>
    <row r="19" spans="1:74" s="73" customFormat="1" ht="47" customHeight="1" x14ac:dyDescent="0.35">
      <c r="A19" s="268">
        <v>9</v>
      </c>
      <c r="B19" s="4" t="s">
        <v>416</v>
      </c>
      <c r="C19" s="247" t="s">
        <v>614</v>
      </c>
      <c r="D19" s="21" t="s">
        <v>616</v>
      </c>
      <c r="E19" s="250">
        <v>1</v>
      </c>
      <c r="F19" s="80" t="s">
        <v>340</v>
      </c>
      <c r="G19" s="80" t="s">
        <v>509</v>
      </c>
      <c r="H19" s="80">
        <v>80101500</v>
      </c>
      <c r="I19" s="248">
        <v>6075</v>
      </c>
      <c r="J19" s="54">
        <f t="shared" si="0"/>
        <v>1154.25</v>
      </c>
      <c r="K19" s="54">
        <f t="shared" si="1"/>
        <v>7229.25</v>
      </c>
      <c r="L19" s="54">
        <f t="shared" si="2"/>
        <v>8313.6374999999989</v>
      </c>
      <c r="M19" s="253" t="s">
        <v>622</v>
      </c>
      <c r="N19" s="270"/>
      <c r="O19" s="256"/>
      <c r="P19" s="256"/>
      <c r="Q19" s="256"/>
      <c r="R19" s="256"/>
      <c r="S19" s="256"/>
      <c r="T19" s="256"/>
      <c r="U19" s="256"/>
      <c r="V19" s="256"/>
      <c r="W19" s="256"/>
      <c r="X19" s="256"/>
      <c r="Y19" s="256"/>
      <c r="Z19" s="256"/>
      <c r="AA19" s="256"/>
      <c r="AB19" s="256"/>
      <c r="AC19" s="256"/>
      <c r="AD19" s="256"/>
      <c r="AE19" s="256"/>
      <c r="AF19" s="256"/>
      <c r="AG19" s="256"/>
      <c r="AH19" s="256"/>
      <c r="AI19" s="256"/>
      <c r="AJ19" s="256"/>
      <c r="AK19" s="256"/>
      <c r="AL19" s="256"/>
      <c r="AM19" s="256"/>
      <c r="AN19" s="256"/>
      <c r="AO19" s="256"/>
      <c r="AP19" s="256"/>
      <c r="AQ19" s="256"/>
      <c r="AR19" s="256"/>
      <c r="AS19" s="256"/>
      <c r="AT19" s="256"/>
      <c r="AU19" s="256"/>
      <c r="AV19" s="256"/>
      <c r="AW19" s="256"/>
      <c r="AX19" s="256"/>
      <c r="AY19" s="256"/>
      <c r="AZ19" s="256"/>
      <c r="BA19" s="256"/>
      <c r="BB19" s="256"/>
      <c r="BC19" s="256"/>
      <c r="BD19" s="256"/>
      <c r="BE19" s="256"/>
      <c r="BF19" s="256"/>
      <c r="BG19" s="256"/>
      <c r="BH19" s="256"/>
      <c r="BI19" s="256"/>
      <c r="BJ19" s="256"/>
      <c r="BK19" s="256"/>
      <c r="BL19" s="256"/>
      <c r="BM19" s="256"/>
      <c r="BN19" s="256"/>
      <c r="BO19" s="256"/>
      <c r="BP19" s="256"/>
      <c r="BQ19" s="256"/>
      <c r="BR19" s="256"/>
      <c r="BS19" s="256"/>
      <c r="BT19" s="256"/>
      <c r="BU19" s="256"/>
      <c r="BV19" s="256"/>
    </row>
    <row r="20" spans="1:74" s="73" customFormat="1" ht="57" customHeight="1" x14ac:dyDescent="0.35">
      <c r="A20" s="268">
        <v>10</v>
      </c>
      <c r="B20" s="4" t="s">
        <v>416</v>
      </c>
      <c r="C20" s="247" t="s">
        <v>614</v>
      </c>
      <c r="D20" s="21" t="s">
        <v>617</v>
      </c>
      <c r="E20" s="250">
        <v>1</v>
      </c>
      <c r="F20" s="80" t="s">
        <v>340</v>
      </c>
      <c r="G20" s="80" t="s">
        <v>509</v>
      </c>
      <c r="H20" s="80">
        <v>80101000</v>
      </c>
      <c r="I20" s="248">
        <v>7087.5</v>
      </c>
      <c r="J20" s="54">
        <f t="shared" si="0"/>
        <v>1346.625</v>
      </c>
      <c r="K20" s="54">
        <f t="shared" si="1"/>
        <v>8434.125</v>
      </c>
      <c r="L20" s="54">
        <f t="shared" si="2"/>
        <v>9699.2437499999996</v>
      </c>
      <c r="M20" s="253" t="s">
        <v>622</v>
      </c>
      <c r="N20" s="270"/>
      <c r="O20" s="256"/>
      <c r="P20" s="256"/>
      <c r="Q20" s="256"/>
      <c r="R20" s="256"/>
      <c r="S20" s="256"/>
      <c r="T20" s="256"/>
      <c r="U20" s="256"/>
      <c r="V20" s="256"/>
      <c r="W20" s="256"/>
      <c r="X20" s="256"/>
      <c r="Y20" s="256"/>
      <c r="Z20" s="256"/>
      <c r="AA20" s="256"/>
      <c r="AB20" s="256"/>
      <c r="AC20" s="256"/>
      <c r="AD20" s="256"/>
      <c r="AE20" s="256"/>
      <c r="AF20" s="256"/>
      <c r="AG20" s="256"/>
      <c r="AH20" s="256"/>
      <c r="AI20" s="256"/>
      <c r="AJ20" s="256"/>
      <c r="AK20" s="256"/>
      <c r="AL20" s="256"/>
      <c r="AM20" s="256"/>
      <c r="AN20" s="256"/>
      <c r="AO20" s="256"/>
      <c r="AP20" s="256"/>
      <c r="AQ20" s="256"/>
      <c r="AR20" s="256"/>
      <c r="AS20" s="256"/>
      <c r="AT20" s="256"/>
      <c r="AU20" s="256"/>
      <c r="AV20" s="256"/>
      <c r="AW20" s="256"/>
      <c r="AX20" s="256"/>
      <c r="AY20" s="256"/>
      <c r="AZ20" s="256"/>
      <c r="BA20" s="256"/>
      <c r="BB20" s="256"/>
      <c r="BC20" s="256"/>
      <c r="BD20" s="256"/>
      <c r="BE20" s="256"/>
      <c r="BF20" s="256"/>
      <c r="BG20" s="256"/>
      <c r="BH20" s="256"/>
      <c r="BI20" s="256"/>
      <c r="BJ20" s="256"/>
      <c r="BK20" s="256"/>
      <c r="BL20" s="256"/>
      <c r="BM20" s="256"/>
      <c r="BN20" s="256"/>
      <c r="BO20" s="256"/>
      <c r="BP20" s="256"/>
      <c r="BQ20" s="256"/>
      <c r="BR20" s="256"/>
      <c r="BS20" s="256"/>
      <c r="BT20" s="256"/>
      <c r="BU20" s="256"/>
      <c r="BV20" s="256"/>
    </row>
    <row r="21" spans="1:74" s="73" customFormat="1" ht="59" customHeight="1" x14ac:dyDescent="0.35">
      <c r="A21" s="268">
        <v>11</v>
      </c>
      <c r="B21" s="4" t="s">
        <v>416</v>
      </c>
      <c r="C21" s="247" t="s">
        <v>614</v>
      </c>
      <c r="D21" s="21" t="s">
        <v>618</v>
      </c>
      <c r="E21" s="250">
        <v>1</v>
      </c>
      <c r="F21" s="80" t="s">
        <v>340</v>
      </c>
      <c r="G21" s="80" t="s">
        <v>509</v>
      </c>
      <c r="H21" s="80">
        <v>76110000</v>
      </c>
      <c r="I21" s="248">
        <v>17010</v>
      </c>
      <c r="J21" s="54">
        <f t="shared" si="0"/>
        <v>3231.9</v>
      </c>
      <c r="K21" s="54">
        <f t="shared" si="1"/>
        <v>20241.900000000001</v>
      </c>
      <c r="L21" s="54">
        <f t="shared" si="2"/>
        <v>23278.185000000001</v>
      </c>
      <c r="M21" s="253" t="s">
        <v>622</v>
      </c>
      <c r="N21" s="270"/>
      <c r="O21" s="256"/>
      <c r="P21" s="256"/>
      <c r="Q21" s="256"/>
      <c r="R21" s="256"/>
      <c r="S21" s="256"/>
      <c r="T21" s="256"/>
      <c r="U21" s="256"/>
      <c r="V21" s="256"/>
      <c r="W21" s="256"/>
      <c r="X21" s="256"/>
      <c r="Y21" s="256"/>
      <c r="Z21" s="256"/>
      <c r="AA21" s="256"/>
      <c r="AB21" s="256"/>
      <c r="AC21" s="256"/>
      <c r="AD21" s="256"/>
      <c r="AE21" s="256"/>
      <c r="AF21" s="256"/>
      <c r="AG21" s="256"/>
      <c r="AH21" s="256"/>
      <c r="AI21" s="256"/>
      <c r="AJ21" s="256"/>
      <c r="AK21" s="256"/>
      <c r="AL21" s="256"/>
      <c r="AM21" s="256"/>
      <c r="AN21" s="256"/>
      <c r="AO21" s="256"/>
      <c r="AP21" s="256"/>
      <c r="AQ21" s="256"/>
      <c r="AR21" s="256"/>
      <c r="AS21" s="256"/>
      <c r="AT21" s="256"/>
      <c r="AU21" s="256"/>
      <c r="AV21" s="256"/>
      <c r="AW21" s="256"/>
      <c r="AX21" s="256"/>
      <c r="AY21" s="256"/>
      <c r="AZ21" s="256"/>
      <c r="BA21" s="256"/>
      <c r="BB21" s="256"/>
      <c r="BC21" s="256"/>
      <c r="BD21" s="256"/>
      <c r="BE21" s="256"/>
      <c r="BF21" s="256"/>
      <c r="BG21" s="256"/>
      <c r="BH21" s="256"/>
      <c r="BI21" s="256"/>
      <c r="BJ21" s="256"/>
      <c r="BK21" s="256"/>
      <c r="BL21" s="256"/>
      <c r="BM21" s="256"/>
      <c r="BN21" s="256"/>
      <c r="BO21" s="256"/>
      <c r="BP21" s="256"/>
      <c r="BQ21" s="256"/>
      <c r="BR21" s="256"/>
      <c r="BS21" s="256"/>
      <c r="BT21" s="256"/>
      <c r="BU21" s="256"/>
      <c r="BV21" s="256"/>
    </row>
    <row r="22" spans="1:74" s="2" customFormat="1" ht="159.5" x14ac:dyDescent="0.35">
      <c r="A22" s="268">
        <v>15</v>
      </c>
      <c r="B22" s="4" t="s">
        <v>303</v>
      </c>
      <c r="C22" s="4" t="s">
        <v>592</v>
      </c>
      <c r="D22" s="21" t="s">
        <v>591</v>
      </c>
      <c r="E22" s="5">
        <v>1</v>
      </c>
      <c r="F22" s="5" t="s">
        <v>300</v>
      </c>
      <c r="G22" s="5">
        <v>5</v>
      </c>
      <c r="H22" s="5">
        <v>80111603</v>
      </c>
      <c r="I22" s="26">
        <v>4917000</v>
      </c>
      <c r="J22" s="54">
        <v>0</v>
      </c>
      <c r="K22" s="54">
        <f t="shared" si="1"/>
        <v>4917000</v>
      </c>
      <c r="L22" s="54">
        <f t="shared" si="2"/>
        <v>5654550</v>
      </c>
      <c r="M22" s="253" t="s">
        <v>622</v>
      </c>
      <c r="N22" s="271" t="s">
        <v>478</v>
      </c>
      <c r="O22" s="257"/>
      <c r="P22" s="257"/>
      <c r="Q22" s="257"/>
      <c r="R22" s="257"/>
      <c r="S22" s="257"/>
      <c r="T22" s="257"/>
      <c r="U22" s="257"/>
      <c r="V22" s="257"/>
      <c r="W22" s="257"/>
      <c r="X22" s="257"/>
      <c r="Y22" s="257"/>
      <c r="Z22" s="257"/>
      <c r="AA22" s="257"/>
      <c r="AB22" s="257"/>
      <c r="AC22" s="257"/>
      <c r="AD22" s="257"/>
      <c r="AE22" s="257"/>
      <c r="AF22" s="257"/>
      <c r="AG22" s="257"/>
      <c r="AH22" s="257"/>
      <c r="AI22" s="257"/>
      <c r="AJ22" s="257"/>
      <c r="AK22" s="257"/>
      <c r="AL22" s="257"/>
      <c r="AM22" s="257"/>
      <c r="AN22" s="257"/>
      <c r="AO22" s="257"/>
      <c r="AP22" s="257"/>
      <c r="AQ22" s="257"/>
      <c r="AR22" s="257"/>
      <c r="AS22" s="257"/>
      <c r="AT22" s="257"/>
      <c r="AU22" s="257"/>
      <c r="AV22" s="257"/>
      <c r="AW22" s="257"/>
      <c r="AX22" s="257"/>
      <c r="AY22" s="257"/>
      <c r="AZ22" s="257"/>
      <c r="BA22" s="257"/>
      <c r="BB22" s="257"/>
      <c r="BC22" s="257"/>
      <c r="BD22" s="257"/>
      <c r="BE22" s="257"/>
      <c r="BF22" s="257"/>
      <c r="BG22" s="257"/>
      <c r="BH22" s="257"/>
      <c r="BI22" s="257"/>
      <c r="BJ22" s="257"/>
      <c r="BK22" s="257"/>
      <c r="BL22" s="257"/>
      <c r="BM22" s="257"/>
      <c r="BN22" s="257"/>
      <c r="BO22" s="257"/>
      <c r="BP22" s="257"/>
      <c r="BQ22" s="257"/>
      <c r="BR22" s="257"/>
      <c r="BS22" s="257"/>
      <c r="BT22" s="257"/>
      <c r="BU22" s="257"/>
      <c r="BV22" s="257"/>
    </row>
    <row r="23" spans="1:74" s="2" customFormat="1" ht="153.5" customHeight="1" thickBot="1" x14ac:dyDescent="0.4">
      <c r="A23" s="266">
        <v>16</v>
      </c>
      <c r="B23" s="4" t="s">
        <v>303</v>
      </c>
      <c r="C23" s="4" t="s">
        <v>413</v>
      </c>
      <c r="D23" s="21" t="s">
        <v>623</v>
      </c>
      <c r="E23" s="5">
        <v>4</v>
      </c>
      <c r="F23" s="5" t="s">
        <v>300</v>
      </c>
      <c r="G23" s="5">
        <v>3</v>
      </c>
      <c r="H23" s="5">
        <v>72101500</v>
      </c>
      <c r="I23" s="34">
        <v>2300000</v>
      </c>
      <c r="J23" s="54">
        <v>0</v>
      </c>
      <c r="K23" s="54">
        <f t="shared" si="1"/>
        <v>2300000</v>
      </c>
      <c r="L23" s="54">
        <f t="shared" si="2"/>
        <v>2645000</v>
      </c>
      <c r="M23" s="253" t="s">
        <v>622</v>
      </c>
      <c r="N23" s="271" t="s">
        <v>478</v>
      </c>
      <c r="O23" s="257"/>
      <c r="P23" s="257"/>
      <c r="Q23" s="257"/>
      <c r="R23" s="257"/>
      <c r="S23" s="257"/>
      <c r="T23" s="257"/>
      <c r="U23" s="257"/>
      <c r="V23" s="257"/>
      <c r="W23" s="257"/>
      <c r="X23" s="257"/>
      <c r="Y23" s="257"/>
      <c r="Z23" s="257"/>
      <c r="AA23" s="257"/>
      <c r="AB23" s="257"/>
      <c r="AC23" s="257"/>
      <c r="AD23" s="257"/>
      <c r="AE23" s="257"/>
      <c r="AF23" s="257"/>
      <c r="AG23" s="257"/>
      <c r="AH23" s="257"/>
      <c r="AI23" s="257"/>
      <c r="AJ23" s="257"/>
      <c r="AK23" s="257"/>
      <c r="AL23" s="257"/>
      <c r="AM23" s="257"/>
      <c r="AN23" s="257"/>
      <c r="AO23" s="257"/>
      <c r="AP23" s="257"/>
      <c r="AQ23" s="257"/>
      <c r="AR23" s="257"/>
      <c r="AS23" s="257"/>
      <c r="AT23" s="257"/>
      <c r="AU23" s="257"/>
      <c r="AV23" s="257"/>
      <c r="AW23" s="257"/>
      <c r="AX23" s="257"/>
      <c r="AY23" s="257"/>
      <c r="AZ23" s="257"/>
      <c r="BA23" s="257"/>
      <c r="BB23" s="257"/>
      <c r="BC23" s="257"/>
      <c r="BD23" s="257"/>
      <c r="BE23" s="257"/>
      <c r="BF23" s="257"/>
      <c r="BG23" s="257"/>
      <c r="BH23" s="257"/>
      <c r="BI23" s="257"/>
      <c r="BJ23" s="257"/>
      <c r="BK23" s="257"/>
      <c r="BL23" s="257"/>
      <c r="BM23" s="257"/>
      <c r="BN23" s="257"/>
      <c r="BO23" s="257"/>
      <c r="BP23" s="257"/>
      <c r="BQ23" s="257"/>
      <c r="BR23" s="257"/>
      <c r="BS23" s="257"/>
      <c r="BT23" s="257"/>
      <c r="BU23" s="257"/>
      <c r="BV23" s="257"/>
    </row>
    <row r="24" spans="1:74" ht="33.5" customHeight="1" thickBot="1" x14ac:dyDescent="0.4">
      <c r="A24" s="185" t="s">
        <v>230</v>
      </c>
      <c r="B24" s="186"/>
      <c r="C24" s="186"/>
      <c r="D24" s="186"/>
      <c r="E24" s="186"/>
      <c r="F24" s="186"/>
      <c r="G24" s="186"/>
      <c r="H24" s="187"/>
      <c r="I24" s="30"/>
      <c r="J24" s="188">
        <v>67484604</v>
      </c>
      <c r="K24" s="189"/>
      <c r="L24" s="189"/>
      <c r="M24" s="190"/>
      <c r="N24" s="272"/>
    </row>
    <row r="25" spans="1:74" ht="26.5" customHeight="1" thickBot="1" x14ac:dyDescent="0.4">
      <c r="A25" s="193" t="s">
        <v>412</v>
      </c>
      <c r="B25" s="194"/>
      <c r="C25" s="194"/>
      <c r="D25" s="194"/>
      <c r="E25" s="194"/>
      <c r="F25" s="194"/>
      <c r="G25" s="194"/>
      <c r="H25" s="194"/>
      <c r="I25" s="195"/>
      <c r="J25" s="194"/>
      <c r="K25" s="194"/>
      <c r="L25" s="194"/>
      <c r="M25" s="194"/>
      <c r="N25" s="196"/>
    </row>
    <row r="26" spans="1:74" s="2" customFormat="1" ht="116" x14ac:dyDescent="0.35">
      <c r="A26" s="268">
        <v>1</v>
      </c>
      <c r="B26" s="4" t="s">
        <v>303</v>
      </c>
      <c r="C26" s="4" t="s">
        <v>592</v>
      </c>
      <c r="D26" s="21" t="s">
        <v>411</v>
      </c>
      <c r="E26" s="5">
        <v>1</v>
      </c>
      <c r="F26" s="5" t="s">
        <v>300</v>
      </c>
      <c r="G26" s="5">
        <v>3</v>
      </c>
      <c r="H26" s="5">
        <v>80111603</v>
      </c>
      <c r="I26" s="26">
        <v>4917000</v>
      </c>
      <c r="J26" s="7">
        <v>0</v>
      </c>
      <c r="K26" s="7">
        <f t="shared" ref="K26:K28" si="3">I26+J26</f>
        <v>4917000</v>
      </c>
      <c r="L26" s="7">
        <f t="shared" ref="L26:L28" si="4">+K26</f>
        <v>4917000</v>
      </c>
      <c r="M26" s="6">
        <f>E26*L26*G26</f>
        <v>14751000</v>
      </c>
      <c r="N26" s="271" t="s">
        <v>478</v>
      </c>
      <c r="O26" s="257"/>
      <c r="P26" s="257"/>
      <c r="Q26" s="257"/>
      <c r="R26" s="257"/>
      <c r="S26" s="257"/>
      <c r="T26" s="257"/>
      <c r="U26" s="257"/>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257"/>
      <c r="AS26" s="257"/>
      <c r="AT26" s="257"/>
      <c r="AU26" s="257"/>
      <c r="AV26" s="257"/>
      <c r="AW26" s="257"/>
      <c r="AX26" s="257"/>
      <c r="AY26" s="257"/>
      <c r="AZ26" s="257"/>
      <c r="BA26" s="257"/>
      <c r="BB26" s="257"/>
      <c r="BC26" s="257"/>
      <c r="BD26" s="257"/>
      <c r="BE26" s="257"/>
      <c r="BF26" s="257"/>
      <c r="BG26" s="257"/>
      <c r="BH26" s="257"/>
      <c r="BI26" s="257"/>
      <c r="BJ26" s="257"/>
      <c r="BK26" s="257"/>
      <c r="BL26" s="257"/>
      <c r="BM26" s="257"/>
      <c r="BN26" s="257"/>
      <c r="BO26" s="257"/>
      <c r="BP26" s="257"/>
      <c r="BQ26" s="257"/>
      <c r="BR26" s="257"/>
      <c r="BS26" s="257"/>
      <c r="BT26" s="257"/>
      <c r="BU26" s="257"/>
      <c r="BV26" s="257"/>
    </row>
    <row r="27" spans="1:74" s="2" customFormat="1" ht="159.5" x14ac:dyDescent="0.35">
      <c r="A27" s="268">
        <v>2</v>
      </c>
      <c r="B27" s="4" t="s">
        <v>303</v>
      </c>
      <c r="C27" s="4" t="s">
        <v>302</v>
      </c>
      <c r="D27" s="17" t="s">
        <v>410</v>
      </c>
      <c r="E27" s="5">
        <v>1</v>
      </c>
      <c r="F27" s="5" t="s">
        <v>300</v>
      </c>
      <c r="G27" s="5">
        <v>2</v>
      </c>
      <c r="H27" s="5">
        <v>86132101</v>
      </c>
      <c r="I27" s="33">
        <v>4200000</v>
      </c>
      <c r="J27" s="7">
        <v>0</v>
      </c>
      <c r="K27" s="7">
        <f t="shared" si="3"/>
        <v>4200000</v>
      </c>
      <c r="L27" s="7">
        <f t="shared" si="4"/>
        <v>4200000</v>
      </c>
      <c r="M27" s="6">
        <f>E27*L27*G27</f>
        <v>8400000</v>
      </c>
      <c r="N27" s="271" t="s">
        <v>478</v>
      </c>
      <c r="O27" s="257"/>
      <c r="P27" s="257"/>
      <c r="Q27" s="257"/>
      <c r="R27" s="257"/>
      <c r="S27" s="257"/>
      <c r="T27" s="257"/>
      <c r="U27" s="257"/>
      <c r="V27" s="257"/>
      <c r="W27" s="257"/>
      <c r="X27" s="257"/>
      <c r="Y27" s="257"/>
      <c r="Z27" s="257"/>
      <c r="AA27" s="257"/>
      <c r="AB27" s="257"/>
      <c r="AC27" s="257"/>
      <c r="AD27" s="257"/>
      <c r="AE27" s="257"/>
      <c r="AF27" s="257"/>
      <c r="AG27" s="257"/>
      <c r="AH27" s="257"/>
      <c r="AI27" s="257"/>
      <c r="AJ27" s="257"/>
      <c r="AK27" s="257"/>
      <c r="AL27" s="257"/>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7"/>
      <c r="BL27" s="257"/>
      <c r="BM27" s="257"/>
      <c r="BN27" s="257"/>
      <c r="BO27" s="257"/>
      <c r="BP27" s="257"/>
      <c r="BQ27" s="257"/>
      <c r="BR27" s="257"/>
      <c r="BS27" s="257"/>
      <c r="BT27" s="257"/>
      <c r="BU27" s="257"/>
      <c r="BV27" s="257"/>
    </row>
    <row r="28" spans="1:74" s="2" customFormat="1" ht="116" x14ac:dyDescent="0.35">
      <c r="A28" s="268">
        <v>3</v>
      </c>
      <c r="B28" s="4" t="s">
        <v>303</v>
      </c>
      <c r="C28" s="4" t="s">
        <v>302</v>
      </c>
      <c r="D28" s="17" t="s">
        <v>409</v>
      </c>
      <c r="E28" s="5">
        <v>1</v>
      </c>
      <c r="F28" s="5" t="s">
        <v>300</v>
      </c>
      <c r="G28" s="5">
        <v>2</v>
      </c>
      <c r="H28" s="5">
        <v>86132101</v>
      </c>
      <c r="I28" s="33">
        <v>4200000</v>
      </c>
      <c r="J28" s="7">
        <v>0</v>
      </c>
      <c r="K28" s="7">
        <f t="shared" si="3"/>
        <v>4200000</v>
      </c>
      <c r="L28" s="7">
        <f t="shared" si="4"/>
        <v>4200000</v>
      </c>
      <c r="M28" s="6">
        <f>E28*L28*G28</f>
        <v>8400000</v>
      </c>
      <c r="N28" s="271" t="s">
        <v>478</v>
      </c>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257"/>
      <c r="AT28" s="257"/>
      <c r="AU28" s="257"/>
      <c r="AV28" s="257"/>
      <c r="AW28" s="257"/>
      <c r="AX28" s="257"/>
      <c r="AY28" s="257"/>
      <c r="AZ28" s="257"/>
      <c r="BA28" s="257"/>
      <c r="BB28" s="257"/>
      <c r="BC28" s="257"/>
      <c r="BD28" s="257"/>
      <c r="BE28" s="257"/>
      <c r="BF28" s="257"/>
      <c r="BG28" s="257"/>
      <c r="BH28" s="257"/>
      <c r="BI28" s="257"/>
      <c r="BJ28" s="257"/>
      <c r="BK28" s="257"/>
      <c r="BL28" s="257"/>
      <c r="BM28" s="257"/>
      <c r="BN28" s="257"/>
      <c r="BO28" s="257"/>
      <c r="BP28" s="257"/>
      <c r="BQ28" s="257"/>
      <c r="BR28" s="257"/>
      <c r="BS28" s="257"/>
      <c r="BT28" s="257"/>
      <c r="BU28" s="257"/>
      <c r="BV28" s="257"/>
    </row>
    <row r="29" spans="1:74" ht="203" x14ac:dyDescent="0.35">
      <c r="A29" s="268">
        <v>4</v>
      </c>
      <c r="B29" s="4" t="s">
        <v>281</v>
      </c>
      <c r="C29" s="4" t="s">
        <v>408</v>
      </c>
      <c r="D29" s="21" t="s">
        <v>407</v>
      </c>
      <c r="E29" s="5">
        <v>3</v>
      </c>
      <c r="F29" s="5" t="s">
        <v>231</v>
      </c>
      <c r="G29" s="5"/>
      <c r="H29" s="5">
        <v>82141501</v>
      </c>
      <c r="I29" s="1">
        <v>64527</v>
      </c>
      <c r="J29" s="54">
        <f t="shared" ref="J29:J53" si="5">I29*19%</f>
        <v>12260.130000000001</v>
      </c>
      <c r="K29" s="54">
        <f t="shared" ref="K29:K53" si="6">I29+J29</f>
        <v>76787.13</v>
      </c>
      <c r="L29" s="54">
        <f t="shared" ref="L29:L53" si="7">+K29*1.0483</f>
        <v>80495.948379000009</v>
      </c>
      <c r="M29" s="55">
        <f t="shared" ref="M29:M53" si="8">E29*L29</f>
        <v>241487.84513700003</v>
      </c>
      <c r="N29" s="273" t="s">
        <v>234</v>
      </c>
    </row>
    <row r="30" spans="1:74" ht="203" x14ac:dyDescent="0.35">
      <c r="A30" s="268">
        <v>5</v>
      </c>
      <c r="B30" s="4" t="s">
        <v>281</v>
      </c>
      <c r="C30" s="4" t="s">
        <v>406</v>
      </c>
      <c r="D30" s="23" t="s">
        <v>405</v>
      </c>
      <c r="E30" s="5">
        <v>5</v>
      </c>
      <c r="F30" s="5" t="s">
        <v>231</v>
      </c>
      <c r="G30" s="5"/>
      <c r="H30" s="5">
        <v>82141501</v>
      </c>
      <c r="I30" s="1">
        <v>12218</v>
      </c>
      <c r="J30" s="54">
        <f t="shared" si="5"/>
        <v>2321.42</v>
      </c>
      <c r="K30" s="54">
        <f t="shared" si="6"/>
        <v>14539.42</v>
      </c>
      <c r="L30" s="54">
        <f t="shared" si="7"/>
        <v>15241.673986</v>
      </c>
      <c r="M30" s="55">
        <f t="shared" si="8"/>
        <v>76208.369930000001</v>
      </c>
      <c r="N30" s="273" t="s">
        <v>234</v>
      </c>
    </row>
    <row r="31" spans="1:74" ht="203" x14ac:dyDescent="0.35">
      <c r="A31" s="268">
        <v>6</v>
      </c>
      <c r="B31" s="4" t="s">
        <v>281</v>
      </c>
      <c r="C31" s="4" t="s">
        <v>296</v>
      </c>
      <c r="D31" s="21" t="s">
        <v>351</v>
      </c>
      <c r="E31" s="5">
        <v>50</v>
      </c>
      <c r="F31" s="5" t="s">
        <v>231</v>
      </c>
      <c r="G31" s="5"/>
      <c r="H31" s="5">
        <v>82141501</v>
      </c>
      <c r="I31" s="1">
        <v>41555</v>
      </c>
      <c r="J31" s="54">
        <f t="shared" si="5"/>
        <v>7895.45</v>
      </c>
      <c r="K31" s="54">
        <f t="shared" si="6"/>
        <v>49450.45</v>
      </c>
      <c r="L31" s="54">
        <f t="shared" si="7"/>
        <v>51838.906734999997</v>
      </c>
      <c r="M31" s="55">
        <f t="shared" si="8"/>
        <v>2591945.3367499998</v>
      </c>
      <c r="N31" s="273" t="s">
        <v>234</v>
      </c>
    </row>
    <row r="32" spans="1:74" ht="203" x14ac:dyDescent="0.35">
      <c r="A32" s="268">
        <v>7</v>
      </c>
      <c r="B32" s="4" t="s">
        <v>281</v>
      </c>
      <c r="C32" s="4" t="s">
        <v>294</v>
      </c>
      <c r="D32" s="21" t="s">
        <v>404</v>
      </c>
      <c r="E32" s="5">
        <v>50</v>
      </c>
      <c r="F32" s="5" t="s">
        <v>231</v>
      </c>
      <c r="G32" s="5"/>
      <c r="H32" s="5">
        <v>82131603</v>
      </c>
      <c r="I32" s="1">
        <v>41555</v>
      </c>
      <c r="J32" s="54">
        <f t="shared" si="5"/>
        <v>7895.45</v>
      </c>
      <c r="K32" s="54">
        <f t="shared" si="6"/>
        <v>49450.45</v>
      </c>
      <c r="L32" s="54">
        <f t="shared" si="7"/>
        <v>51838.906734999997</v>
      </c>
      <c r="M32" s="55">
        <f t="shared" si="8"/>
        <v>2591945.3367499998</v>
      </c>
      <c r="N32" s="273" t="s">
        <v>234</v>
      </c>
    </row>
    <row r="33" spans="1:14" ht="203" x14ac:dyDescent="0.35">
      <c r="A33" s="268">
        <v>9</v>
      </c>
      <c r="B33" s="4" t="s">
        <v>278</v>
      </c>
      <c r="C33" s="4" t="s">
        <v>403</v>
      </c>
      <c r="D33" s="21" t="s">
        <v>402</v>
      </c>
      <c r="E33" s="5">
        <v>1</v>
      </c>
      <c r="F33" s="5" t="s">
        <v>231</v>
      </c>
      <c r="G33" s="5"/>
      <c r="H33" s="5">
        <v>43231513</v>
      </c>
      <c r="I33" s="1">
        <v>16661</v>
      </c>
      <c r="J33" s="54">
        <f t="shared" si="5"/>
        <v>3165.59</v>
      </c>
      <c r="K33" s="54">
        <f t="shared" si="6"/>
        <v>19826.59</v>
      </c>
      <c r="L33" s="54">
        <f t="shared" si="7"/>
        <v>20784.214296999999</v>
      </c>
      <c r="M33" s="55">
        <f t="shared" si="8"/>
        <v>20784.214296999999</v>
      </c>
      <c r="N33" s="273" t="s">
        <v>234</v>
      </c>
    </row>
    <row r="34" spans="1:14" ht="348" x14ac:dyDescent="0.35">
      <c r="A34" s="268">
        <v>10</v>
      </c>
      <c r="B34" s="4" t="s">
        <v>278</v>
      </c>
      <c r="C34" s="4" t="s">
        <v>401</v>
      </c>
      <c r="D34" s="21" t="s">
        <v>400</v>
      </c>
      <c r="E34" s="5">
        <v>5</v>
      </c>
      <c r="F34" s="5" t="s">
        <v>388</v>
      </c>
      <c r="G34" s="5"/>
      <c r="H34" s="4">
        <v>90131500</v>
      </c>
      <c r="I34" s="4">
        <f>833000</f>
        <v>833000</v>
      </c>
      <c r="J34" s="54">
        <f t="shared" si="5"/>
        <v>158270</v>
      </c>
      <c r="K34" s="54">
        <f t="shared" si="6"/>
        <v>991270</v>
      </c>
      <c r="L34" s="54">
        <f t="shared" si="7"/>
        <v>1039148.341</v>
      </c>
      <c r="M34" s="55">
        <f t="shared" si="8"/>
        <v>5195741.7050000001</v>
      </c>
      <c r="N34" s="273" t="s">
        <v>234</v>
      </c>
    </row>
    <row r="35" spans="1:14" ht="203" x14ac:dyDescent="0.35">
      <c r="A35" s="268">
        <v>11</v>
      </c>
      <c r="B35" s="4" t="s">
        <v>278</v>
      </c>
      <c r="C35" s="4" t="s">
        <v>399</v>
      </c>
      <c r="D35" s="23" t="s">
        <v>398</v>
      </c>
      <c r="E35" s="5">
        <v>50</v>
      </c>
      <c r="F35" s="5" t="s">
        <v>231</v>
      </c>
      <c r="G35" s="5"/>
      <c r="H35" s="5">
        <v>55121718</v>
      </c>
      <c r="I35" s="1">
        <v>3965</v>
      </c>
      <c r="J35" s="54">
        <f t="shared" si="5"/>
        <v>753.35</v>
      </c>
      <c r="K35" s="54">
        <f t="shared" si="6"/>
        <v>4718.3500000000004</v>
      </c>
      <c r="L35" s="54">
        <f t="shared" si="7"/>
        <v>4946.2463050000006</v>
      </c>
      <c r="M35" s="55">
        <f t="shared" si="8"/>
        <v>247312.31525000004</v>
      </c>
      <c r="N35" s="273" t="s">
        <v>234</v>
      </c>
    </row>
    <row r="36" spans="1:14" ht="203" x14ac:dyDescent="0.35">
      <c r="A36" s="268">
        <v>12</v>
      </c>
      <c r="B36" s="4" t="s">
        <v>278</v>
      </c>
      <c r="C36" s="4" t="s">
        <v>397</v>
      </c>
      <c r="D36" s="21" t="s">
        <v>396</v>
      </c>
      <c r="E36" s="5">
        <v>50</v>
      </c>
      <c r="F36" s="5" t="s">
        <v>231</v>
      </c>
      <c r="G36" s="5"/>
      <c r="H36" s="5">
        <v>55101524</v>
      </c>
      <c r="I36" s="1">
        <v>8854</v>
      </c>
      <c r="J36" s="54">
        <f t="shared" si="5"/>
        <v>1682.26</v>
      </c>
      <c r="K36" s="54">
        <f t="shared" si="6"/>
        <v>10536.26</v>
      </c>
      <c r="L36" s="54">
        <f t="shared" si="7"/>
        <v>11045.161358000001</v>
      </c>
      <c r="M36" s="55">
        <f t="shared" si="8"/>
        <v>552258.06790000002</v>
      </c>
      <c r="N36" s="273" t="s">
        <v>234</v>
      </c>
    </row>
    <row r="37" spans="1:14" ht="203" x14ac:dyDescent="0.35">
      <c r="A37" s="268">
        <v>13</v>
      </c>
      <c r="B37" s="4" t="s">
        <v>278</v>
      </c>
      <c r="C37" s="4" t="s">
        <v>395</v>
      </c>
      <c r="D37" s="21" t="s">
        <v>394</v>
      </c>
      <c r="E37" s="5">
        <v>50</v>
      </c>
      <c r="F37" s="5" t="s">
        <v>231</v>
      </c>
      <c r="G37" s="5"/>
      <c r="H37" s="5">
        <v>86111601</v>
      </c>
      <c r="I37" s="1">
        <v>3340</v>
      </c>
      <c r="J37" s="54">
        <f t="shared" si="5"/>
        <v>634.6</v>
      </c>
      <c r="K37" s="54">
        <f t="shared" si="6"/>
        <v>3974.6</v>
      </c>
      <c r="L37" s="54">
        <f t="shared" si="7"/>
        <v>4166.5731800000003</v>
      </c>
      <c r="M37" s="55">
        <f t="shared" si="8"/>
        <v>208328.65900000001</v>
      </c>
      <c r="N37" s="273" t="s">
        <v>234</v>
      </c>
    </row>
    <row r="38" spans="1:14" ht="101.5" x14ac:dyDescent="0.35">
      <c r="A38" s="268">
        <v>16</v>
      </c>
      <c r="B38" s="4" t="s">
        <v>233</v>
      </c>
      <c r="C38" s="4" t="s">
        <v>232</v>
      </c>
      <c r="D38" s="4" t="s">
        <v>599</v>
      </c>
      <c r="E38" s="5">
        <v>50</v>
      </c>
      <c r="F38" s="5" t="s">
        <v>231</v>
      </c>
      <c r="G38" s="5"/>
      <c r="H38" s="5">
        <v>90101601</v>
      </c>
      <c r="I38" s="1">
        <v>13502</v>
      </c>
      <c r="J38" s="54">
        <f t="shared" si="5"/>
        <v>2565.38</v>
      </c>
      <c r="K38" s="54">
        <f t="shared" si="6"/>
        <v>16067.380000000001</v>
      </c>
      <c r="L38" s="54">
        <f t="shared" si="7"/>
        <v>16843.434454000002</v>
      </c>
      <c r="M38" s="55">
        <f t="shared" si="8"/>
        <v>842171.72270000004</v>
      </c>
      <c r="N38" s="274" t="s">
        <v>476</v>
      </c>
    </row>
    <row r="39" spans="1:14" ht="217.5" x14ac:dyDescent="0.35">
      <c r="A39" s="268">
        <v>19</v>
      </c>
      <c r="B39" s="4" t="s">
        <v>233</v>
      </c>
      <c r="C39" s="10" t="s">
        <v>393</v>
      </c>
      <c r="D39" s="10" t="s">
        <v>392</v>
      </c>
      <c r="E39" s="18">
        <v>100</v>
      </c>
      <c r="F39" s="5" t="s">
        <v>231</v>
      </c>
      <c r="G39" s="18"/>
      <c r="H39" s="5">
        <v>14111514</v>
      </c>
      <c r="I39" s="1">
        <v>14300</v>
      </c>
      <c r="J39" s="54">
        <f t="shared" si="5"/>
        <v>2717</v>
      </c>
      <c r="K39" s="54">
        <f t="shared" si="6"/>
        <v>17017</v>
      </c>
      <c r="L39" s="54">
        <f t="shared" si="7"/>
        <v>17838.9211</v>
      </c>
      <c r="M39" s="55">
        <f t="shared" si="8"/>
        <v>1783892.1099999999</v>
      </c>
      <c r="N39" s="273" t="s">
        <v>386</v>
      </c>
    </row>
    <row r="40" spans="1:14" ht="217.5" x14ac:dyDescent="0.35">
      <c r="A40" s="268">
        <v>20</v>
      </c>
      <c r="B40" s="4" t="s">
        <v>233</v>
      </c>
      <c r="C40" s="10" t="s">
        <v>391</v>
      </c>
      <c r="D40" s="10" t="s">
        <v>390</v>
      </c>
      <c r="E40" s="18">
        <v>100</v>
      </c>
      <c r="F40" s="5" t="s">
        <v>231</v>
      </c>
      <c r="G40" s="18"/>
      <c r="H40" s="5">
        <v>44122011</v>
      </c>
      <c r="I40" s="1">
        <v>8800</v>
      </c>
      <c r="J40" s="54">
        <f t="shared" si="5"/>
        <v>1672</v>
      </c>
      <c r="K40" s="54">
        <f t="shared" si="6"/>
        <v>10472</v>
      </c>
      <c r="L40" s="54">
        <f t="shared" si="7"/>
        <v>10977.7976</v>
      </c>
      <c r="M40" s="55">
        <f t="shared" si="8"/>
        <v>1097779.76</v>
      </c>
      <c r="N40" s="273" t="s">
        <v>386</v>
      </c>
    </row>
    <row r="41" spans="1:14" ht="217.5" x14ac:dyDescent="0.35">
      <c r="A41" s="268">
        <v>21</v>
      </c>
      <c r="B41" s="4" t="s">
        <v>233</v>
      </c>
      <c r="C41" s="10" t="s">
        <v>389</v>
      </c>
      <c r="D41" s="10" t="s">
        <v>467</v>
      </c>
      <c r="E41" s="18">
        <v>16</v>
      </c>
      <c r="F41" s="5" t="s">
        <v>388</v>
      </c>
      <c r="G41" s="18"/>
      <c r="H41" s="5">
        <v>45111609</v>
      </c>
      <c r="I41" s="1">
        <v>249000</v>
      </c>
      <c r="J41" s="54">
        <f t="shared" si="5"/>
        <v>47310</v>
      </c>
      <c r="K41" s="54">
        <f t="shared" si="6"/>
        <v>296310</v>
      </c>
      <c r="L41" s="54">
        <f t="shared" si="7"/>
        <v>310621.77299999999</v>
      </c>
      <c r="M41" s="55">
        <f t="shared" si="8"/>
        <v>4969948.3679999998</v>
      </c>
      <c r="N41" s="273" t="s">
        <v>386</v>
      </c>
    </row>
    <row r="42" spans="1:14" ht="217.5" x14ac:dyDescent="0.35">
      <c r="A42" s="268">
        <v>22</v>
      </c>
      <c r="B42" s="4" t="s">
        <v>233</v>
      </c>
      <c r="C42" s="10" t="s">
        <v>387</v>
      </c>
      <c r="D42" s="10" t="s">
        <v>500</v>
      </c>
      <c r="E42" s="18">
        <v>1</v>
      </c>
      <c r="F42" s="5" t="s">
        <v>231</v>
      </c>
      <c r="G42" s="18"/>
      <c r="H42" s="5">
        <v>52161547</v>
      </c>
      <c r="I42" s="1">
        <v>1917000</v>
      </c>
      <c r="J42" s="54">
        <f t="shared" si="5"/>
        <v>364230</v>
      </c>
      <c r="K42" s="54">
        <f t="shared" si="6"/>
        <v>2281230</v>
      </c>
      <c r="L42" s="54">
        <f t="shared" si="7"/>
        <v>2391413.409</v>
      </c>
      <c r="M42" s="55">
        <f t="shared" si="8"/>
        <v>2391413.409</v>
      </c>
      <c r="N42" s="273" t="s">
        <v>386</v>
      </c>
    </row>
    <row r="43" spans="1:14" ht="275.5" x14ac:dyDescent="0.35">
      <c r="A43" s="268">
        <v>23</v>
      </c>
      <c r="B43" s="4" t="s">
        <v>233</v>
      </c>
      <c r="C43" s="10" t="s">
        <v>385</v>
      </c>
      <c r="D43" s="10" t="s">
        <v>474</v>
      </c>
      <c r="E43" s="18">
        <v>1</v>
      </c>
      <c r="F43" s="5" t="s">
        <v>231</v>
      </c>
      <c r="G43" s="18"/>
      <c r="H43" s="5">
        <v>44111905</v>
      </c>
      <c r="I43" s="1">
        <v>986750</v>
      </c>
      <c r="J43" s="54">
        <f t="shared" si="5"/>
        <v>187482.5</v>
      </c>
      <c r="K43" s="54">
        <f t="shared" si="6"/>
        <v>1174232.5</v>
      </c>
      <c r="L43" s="54">
        <f t="shared" si="7"/>
        <v>1230947.9297500001</v>
      </c>
      <c r="M43" s="55">
        <f t="shared" si="8"/>
        <v>1230947.9297500001</v>
      </c>
      <c r="N43" s="274" t="s">
        <v>384</v>
      </c>
    </row>
    <row r="44" spans="1:14" ht="261" x14ac:dyDescent="0.35">
      <c r="A44" s="268">
        <v>25</v>
      </c>
      <c r="B44" s="4" t="s">
        <v>233</v>
      </c>
      <c r="C44" s="10" t="s">
        <v>383</v>
      </c>
      <c r="D44" s="10" t="s">
        <v>382</v>
      </c>
      <c r="E44" s="18">
        <v>100</v>
      </c>
      <c r="F44" s="5" t="s">
        <v>231</v>
      </c>
      <c r="G44" s="18"/>
      <c r="H44" s="5">
        <v>10151500</v>
      </c>
      <c r="I44" s="1">
        <v>9009</v>
      </c>
      <c r="J44" s="54">
        <f t="shared" si="5"/>
        <v>1711.71</v>
      </c>
      <c r="K44" s="54">
        <f t="shared" si="6"/>
        <v>10720.71</v>
      </c>
      <c r="L44" s="54">
        <f t="shared" si="7"/>
        <v>11238.520293</v>
      </c>
      <c r="M44" s="55">
        <f t="shared" si="8"/>
        <v>1123852.0293000001</v>
      </c>
      <c r="N44" s="275" t="s">
        <v>381</v>
      </c>
    </row>
    <row r="45" spans="1:14" ht="275.5" x14ac:dyDescent="0.35">
      <c r="A45" s="268">
        <v>26</v>
      </c>
      <c r="B45" s="4" t="s">
        <v>233</v>
      </c>
      <c r="C45" s="10" t="s">
        <v>380</v>
      </c>
      <c r="D45" s="10" t="s">
        <v>379</v>
      </c>
      <c r="E45" s="18">
        <v>500</v>
      </c>
      <c r="F45" s="5" t="s">
        <v>231</v>
      </c>
      <c r="G45" s="18"/>
      <c r="H45" s="5">
        <v>10161800</v>
      </c>
      <c r="I45" s="1">
        <v>18500</v>
      </c>
      <c r="J45" s="54">
        <f t="shared" si="5"/>
        <v>3515</v>
      </c>
      <c r="K45" s="54">
        <f t="shared" si="6"/>
        <v>22015</v>
      </c>
      <c r="L45" s="54">
        <f t="shared" si="7"/>
        <v>23078.324499999999</v>
      </c>
      <c r="M45" s="55">
        <f t="shared" si="8"/>
        <v>11539162.25</v>
      </c>
      <c r="N45" s="274" t="s">
        <v>378</v>
      </c>
    </row>
    <row r="46" spans="1:14" ht="29" x14ac:dyDescent="0.35">
      <c r="A46" s="268">
        <v>27</v>
      </c>
      <c r="B46" s="4" t="s">
        <v>233</v>
      </c>
      <c r="C46" s="18" t="s">
        <v>377</v>
      </c>
      <c r="D46" s="10" t="s">
        <v>376</v>
      </c>
      <c r="E46" s="18">
        <v>100</v>
      </c>
      <c r="F46" s="5" t="s">
        <v>231</v>
      </c>
      <c r="G46" s="18"/>
      <c r="H46" s="5">
        <v>46181504</v>
      </c>
      <c r="I46" s="16">
        <v>27779.1</v>
      </c>
      <c r="J46" s="54">
        <f t="shared" si="5"/>
        <v>5278.0289999999995</v>
      </c>
      <c r="K46" s="54">
        <f t="shared" si="6"/>
        <v>33057.129000000001</v>
      </c>
      <c r="L46" s="54">
        <f t="shared" si="7"/>
        <v>34653.788330700001</v>
      </c>
      <c r="M46" s="55">
        <f t="shared" si="8"/>
        <v>3465378.8330700002</v>
      </c>
      <c r="N46" s="269" t="s">
        <v>273</v>
      </c>
    </row>
    <row r="47" spans="1:14" ht="203" x14ac:dyDescent="0.35">
      <c r="A47" s="268">
        <v>28</v>
      </c>
      <c r="B47" s="4" t="s">
        <v>233</v>
      </c>
      <c r="C47" s="10" t="s">
        <v>375</v>
      </c>
      <c r="D47" s="10" t="s">
        <v>374</v>
      </c>
      <c r="E47" s="18">
        <v>50</v>
      </c>
      <c r="F47" s="5" t="s">
        <v>231</v>
      </c>
      <c r="G47" s="18"/>
      <c r="H47" s="5">
        <v>27112003</v>
      </c>
      <c r="I47" s="31">
        <v>40000</v>
      </c>
      <c r="J47" s="54">
        <f t="shared" si="5"/>
        <v>7600</v>
      </c>
      <c r="K47" s="54">
        <f t="shared" si="6"/>
        <v>47600</v>
      </c>
      <c r="L47" s="54">
        <f t="shared" si="7"/>
        <v>49899.08</v>
      </c>
      <c r="M47" s="55">
        <f t="shared" si="8"/>
        <v>2494954</v>
      </c>
      <c r="N47" s="273" t="s">
        <v>234</v>
      </c>
    </row>
    <row r="48" spans="1:14" ht="275.5" x14ac:dyDescent="0.35">
      <c r="A48" s="268">
        <v>29</v>
      </c>
      <c r="B48" s="4" t="s">
        <v>233</v>
      </c>
      <c r="C48" s="10" t="s">
        <v>373</v>
      </c>
      <c r="D48" s="10" t="s">
        <v>372</v>
      </c>
      <c r="E48" s="18">
        <v>50</v>
      </c>
      <c r="F48" s="5" t="s">
        <v>231</v>
      </c>
      <c r="G48" s="18"/>
      <c r="H48" s="5">
        <v>40141609</v>
      </c>
      <c r="I48" s="32">
        <v>28000</v>
      </c>
      <c r="J48" s="1">
        <f t="shared" si="5"/>
        <v>5320</v>
      </c>
      <c r="K48" s="1">
        <f t="shared" si="6"/>
        <v>33320</v>
      </c>
      <c r="L48" s="54">
        <f t="shared" si="7"/>
        <v>34929.356</v>
      </c>
      <c r="M48" s="1">
        <f t="shared" si="8"/>
        <v>1746467.8</v>
      </c>
      <c r="N48" s="275" t="s">
        <v>371</v>
      </c>
    </row>
    <row r="49" spans="1:74" ht="261" x14ac:dyDescent="0.35">
      <c r="A49" s="268">
        <v>30</v>
      </c>
      <c r="B49" s="4" t="s">
        <v>233</v>
      </c>
      <c r="C49" s="10" t="s">
        <v>370</v>
      </c>
      <c r="D49" s="10" t="s">
        <v>369</v>
      </c>
      <c r="E49" s="18">
        <v>100</v>
      </c>
      <c r="F49" s="5" t="s">
        <v>231</v>
      </c>
      <c r="G49" s="18"/>
      <c r="H49" s="5">
        <v>21101501</v>
      </c>
      <c r="I49" s="32">
        <v>30000</v>
      </c>
      <c r="J49" s="1">
        <f t="shared" si="5"/>
        <v>5700</v>
      </c>
      <c r="K49" s="1">
        <f t="shared" si="6"/>
        <v>35700</v>
      </c>
      <c r="L49" s="54">
        <f t="shared" si="7"/>
        <v>37424.31</v>
      </c>
      <c r="M49" s="1">
        <f t="shared" si="8"/>
        <v>3742431</v>
      </c>
      <c r="N49" s="274" t="s">
        <v>368</v>
      </c>
    </row>
    <row r="50" spans="1:74" ht="261" x14ac:dyDescent="0.35">
      <c r="A50" s="268">
        <v>31</v>
      </c>
      <c r="B50" s="4" t="s">
        <v>233</v>
      </c>
      <c r="C50" s="10" t="s">
        <v>367</v>
      </c>
      <c r="D50" s="10" t="s">
        <v>366</v>
      </c>
      <c r="E50" s="18">
        <v>100</v>
      </c>
      <c r="F50" s="5" t="s">
        <v>231</v>
      </c>
      <c r="G50" s="18"/>
      <c r="H50" s="5">
        <v>11151702</v>
      </c>
      <c r="I50" s="1">
        <v>14000</v>
      </c>
      <c r="J50" s="54">
        <f t="shared" si="5"/>
        <v>2660</v>
      </c>
      <c r="K50" s="54">
        <f t="shared" si="6"/>
        <v>16660</v>
      </c>
      <c r="L50" s="54">
        <f t="shared" si="7"/>
        <v>17464.678</v>
      </c>
      <c r="M50" s="55">
        <f t="shared" si="8"/>
        <v>1746467.8</v>
      </c>
      <c r="N50" s="275" t="s">
        <v>361</v>
      </c>
    </row>
    <row r="51" spans="1:74" ht="246.5" x14ac:dyDescent="0.35">
      <c r="A51" s="268">
        <v>32</v>
      </c>
      <c r="B51" s="4" t="s">
        <v>233</v>
      </c>
      <c r="C51" s="10" t="s">
        <v>365</v>
      </c>
      <c r="D51" s="10" t="s">
        <v>364</v>
      </c>
      <c r="E51" s="18">
        <v>100</v>
      </c>
      <c r="F51" s="5" t="s">
        <v>231</v>
      </c>
      <c r="G51" s="18"/>
      <c r="H51" s="5">
        <v>55121606</v>
      </c>
      <c r="I51" s="31">
        <v>33563</v>
      </c>
      <c r="J51" s="54">
        <f t="shared" si="5"/>
        <v>6376.97</v>
      </c>
      <c r="K51" s="54">
        <f t="shared" si="6"/>
        <v>39939.97</v>
      </c>
      <c r="L51" s="54">
        <f t="shared" si="7"/>
        <v>41869.070551000004</v>
      </c>
      <c r="M51" s="55">
        <f t="shared" si="8"/>
        <v>4186907.0551000005</v>
      </c>
      <c r="N51" s="275" t="s">
        <v>363</v>
      </c>
    </row>
    <row r="52" spans="1:74" ht="261" x14ac:dyDescent="0.35">
      <c r="A52" s="268">
        <v>33</v>
      </c>
      <c r="B52" s="4" t="s">
        <v>233</v>
      </c>
      <c r="C52" s="10" t="s">
        <v>362</v>
      </c>
      <c r="D52" s="10" t="s">
        <v>468</v>
      </c>
      <c r="E52" s="18">
        <v>100</v>
      </c>
      <c r="F52" s="5" t="s">
        <v>231</v>
      </c>
      <c r="G52" s="18"/>
      <c r="H52" s="5">
        <v>56101504</v>
      </c>
      <c r="I52" s="1">
        <v>14000</v>
      </c>
      <c r="J52" s="54">
        <f t="shared" si="5"/>
        <v>2660</v>
      </c>
      <c r="K52" s="54">
        <f t="shared" si="6"/>
        <v>16660</v>
      </c>
      <c r="L52" s="54">
        <f t="shared" si="7"/>
        <v>17464.678</v>
      </c>
      <c r="M52" s="55">
        <f t="shared" si="8"/>
        <v>1746467.8</v>
      </c>
      <c r="N52" s="275" t="s">
        <v>361</v>
      </c>
    </row>
    <row r="53" spans="1:74" ht="304.5" x14ac:dyDescent="0.35">
      <c r="A53" s="268">
        <v>34</v>
      </c>
      <c r="B53" s="4" t="s">
        <v>233</v>
      </c>
      <c r="C53" s="10" t="s">
        <v>360</v>
      </c>
      <c r="D53" s="10" t="s">
        <v>359</v>
      </c>
      <c r="E53" s="18">
        <v>100</v>
      </c>
      <c r="F53" s="5" t="s">
        <v>231</v>
      </c>
      <c r="G53" s="18"/>
      <c r="H53" s="5">
        <v>48101905</v>
      </c>
      <c r="I53" s="31">
        <v>1825</v>
      </c>
      <c r="J53" s="54">
        <f t="shared" si="5"/>
        <v>346.75</v>
      </c>
      <c r="K53" s="54">
        <f t="shared" si="6"/>
        <v>2171.75</v>
      </c>
      <c r="L53" s="54">
        <f t="shared" si="7"/>
        <v>2276.6455249999999</v>
      </c>
      <c r="M53" s="55">
        <f t="shared" si="8"/>
        <v>227664.55249999999</v>
      </c>
      <c r="N53" s="274" t="s">
        <v>358</v>
      </c>
    </row>
    <row r="54" spans="1:74" ht="101.5" x14ac:dyDescent="0.35">
      <c r="A54" s="268">
        <v>35</v>
      </c>
      <c r="B54" s="4" t="s">
        <v>233</v>
      </c>
      <c r="C54" s="10" t="s">
        <v>571</v>
      </c>
      <c r="D54" s="10" t="s">
        <v>579</v>
      </c>
      <c r="E54" s="18">
        <v>30</v>
      </c>
      <c r="F54" s="5" t="s">
        <v>575</v>
      </c>
      <c r="G54" s="18"/>
      <c r="H54" s="5">
        <v>10161700</v>
      </c>
      <c r="I54" s="1">
        <f>17900*1.04</f>
        <v>18616</v>
      </c>
      <c r="J54" s="98">
        <f t="shared" ref="J54:J55" si="9">+I54*0.19</f>
        <v>3537.04</v>
      </c>
      <c r="K54" s="98">
        <f t="shared" ref="K54:K55" si="10">+I54+J54</f>
        <v>22153.040000000001</v>
      </c>
      <c r="L54" s="98">
        <f>+K54</f>
        <v>22153.040000000001</v>
      </c>
      <c r="M54" s="98">
        <f t="shared" ref="M54:M55" si="11">+L54*E54</f>
        <v>664591.20000000007</v>
      </c>
      <c r="N54" s="276" t="s">
        <v>586</v>
      </c>
    </row>
    <row r="55" spans="1:74" ht="145" x14ac:dyDescent="0.35">
      <c r="A55" s="268">
        <v>36</v>
      </c>
      <c r="B55" s="4" t="s">
        <v>233</v>
      </c>
      <c r="C55" s="10" t="s">
        <v>571</v>
      </c>
      <c r="D55" s="10" t="s">
        <v>572</v>
      </c>
      <c r="E55" s="18">
        <v>30</v>
      </c>
      <c r="F55" s="5" t="s">
        <v>575</v>
      </c>
      <c r="G55" s="18"/>
      <c r="H55" s="5">
        <v>10161703</v>
      </c>
      <c r="I55" s="1">
        <f>22000*1.04</f>
        <v>22880</v>
      </c>
      <c r="J55" s="98">
        <f t="shared" si="9"/>
        <v>4347.2</v>
      </c>
      <c r="K55" s="98">
        <f t="shared" si="10"/>
        <v>27227.200000000001</v>
      </c>
      <c r="L55" s="98">
        <f>+K55</f>
        <v>27227.200000000001</v>
      </c>
      <c r="M55" s="98">
        <f t="shared" si="11"/>
        <v>816816</v>
      </c>
      <c r="N55" s="276" t="s">
        <v>585</v>
      </c>
    </row>
    <row r="56" spans="1:74" ht="174" x14ac:dyDescent="0.35">
      <c r="A56" s="268">
        <v>37</v>
      </c>
      <c r="B56" s="4" t="s">
        <v>233</v>
      </c>
      <c r="C56" s="10" t="s">
        <v>571</v>
      </c>
      <c r="D56" s="10" t="s">
        <v>573</v>
      </c>
      <c r="E56" s="18">
        <v>30</v>
      </c>
      <c r="F56" s="5" t="s">
        <v>576</v>
      </c>
      <c r="G56" s="18"/>
      <c r="H56" s="5">
        <v>27112903</v>
      </c>
      <c r="I56" s="1">
        <v>4774</v>
      </c>
      <c r="J56" s="98">
        <f>+I56*0.19</f>
        <v>907.06000000000006</v>
      </c>
      <c r="K56" s="98">
        <f>+I56+J56</f>
        <v>5681.06</v>
      </c>
      <c r="L56" s="98">
        <f>+K56*1.0483</f>
        <v>5955.4551980000006</v>
      </c>
      <c r="M56" s="98">
        <f>+L56*E56</f>
        <v>178663.65594000003</v>
      </c>
      <c r="N56" s="277" t="s">
        <v>581</v>
      </c>
    </row>
    <row r="57" spans="1:74" ht="116" x14ac:dyDescent="0.35">
      <c r="A57" s="268">
        <v>38</v>
      </c>
      <c r="B57" s="4" t="s">
        <v>233</v>
      </c>
      <c r="C57" s="10" t="s">
        <v>571</v>
      </c>
      <c r="D57" s="10" t="s">
        <v>584</v>
      </c>
      <c r="E57" s="18">
        <v>30</v>
      </c>
      <c r="F57" s="5" t="s">
        <v>577</v>
      </c>
      <c r="G57" s="18"/>
      <c r="H57" s="5" t="s">
        <v>580</v>
      </c>
      <c r="I57" s="1">
        <v>56800</v>
      </c>
      <c r="J57" s="98">
        <f>+I57*0.19</f>
        <v>10792</v>
      </c>
      <c r="K57" s="98">
        <f>+I57+J57</f>
        <v>67592</v>
      </c>
      <c r="L57" s="98">
        <f>+K57</f>
        <v>67592</v>
      </c>
      <c r="M57" s="98">
        <f>+L57*E57</f>
        <v>2027760</v>
      </c>
      <c r="N57" s="276" t="s">
        <v>583</v>
      </c>
    </row>
    <row r="58" spans="1:74" ht="47" customHeight="1" x14ac:dyDescent="0.35">
      <c r="A58" s="268">
        <v>39</v>
      </c>
      <c r="B58" s="4" t="s">
        <v>233</v>
      </c>
      <c r="C58" s="10" t="s">
        <v>571</v>
      </c>
      <c r="D58" s="10" t="s">
        <v>574</v>
      </c>
      <c r="E58" s="18">
        <v>30</v>
      </c>
      <c r="F58" s="5" t="s">
        <v>578</v>
      </c>
      <c r="G58" s="18"/>
      <c r="H58" s="5">
        <v>46181802</v>
      </c>
      <c r="I58" s="1">
        <v>8600</v>
      </c>
      <c r="J58" s="98">
        <f>+I58*0.19</f>
        <v>1634</v>
      </c>
      <c r="K58" s="98">
        <f>+I58+J58</f>
        <v>10234</v>
      </c>
      <c r="L58" s="98">
        <f>+K58</f>
        <v>10234</v>
      </c>
      <c r="M58" s="98">
        <f>+L58*E58</f>
        <v>307020</v>
      </c>
      <c r="N58" s="276" t="s">
        <v>582</v>
      </c>
    </row>
    <row r="59" spans="1:74" ht="30.5" customHeight="1" thickBot="1" x14ac:dyDescent="0.4">
      <c r="A59" s="200" t="s">
        <v>230</v>
      </c>
      <c r="B59" s="252"/>
      <c r="C59" s="252"/>
      <c r="D59" s="252"/>
      <c r="E59" s="252"/>
      <c r="F59" s="252"/>
      <c r="G59" s="252"/>
      <c r="H59" s="201"/>
      <c r="I59" s="251"/>
      <c r="J59" s="213">
        <f>SUM(M26:M58)</f>
        <v>91607769.125373974</v>
      </c>
      <c r="K59" s="214"/>
      <c r="L59" s="214"/>
      <c r="M59" s="215"/>
      <c r="N59" s="278"/>
    </row>
    <row r="60" spans="1:74" ht="30" customHeight="1" thickBot="1" x14ac:dyDescent="0.4">
      <c r="A60" s="216" t="s">
        <v>357</v>
      </c>
      <c r="B60" s="217"/>
      <c r="C60" s="217"/>
      <c r="D60" s="217"/>
      <c r="E60" s="217"/>
      <c r="F60" s="217"/>
      <c r="G60" s="217"/>
      <c r="H60" s="217"/>
      <c r="I60" s="218"/>
      <c r="J60" s="217"/>
      <c r="K60" s="217"/>
      <c r="L60" s="217"/>
      <c r="M60" s="217"/>
      <c r="N60" s="219"/>
    </row>
    <row r="61" spans="1:74" s="2" customFormat="1" ht="145" x14ac:dyDescent="0.35">
      <c r="A61" s="266">
        <v>1</v>
      </c>
      <c r="B61" s="29" t="s">
        <v>303</v>
      </c>
      <c r="C61" s="29" t="s">
        <v>592</v>
      </c>
      <c r="D61" s="28" t="s">
        <v>356</v>
      </c>
      <c r="E61" s="27">
        <v>1</v>
      </c>
      <c r="F61" s="27" t="s">
        <v>300</v>
      </c>
      <c r="G61" s="27">
        <v>4</v>
      </c>
      <c r="H61" s="27">
        <v>80111603</v>
      </c>
      <c r="I61" s="26">
        <v>4917000</v>
      </c>
      <c r="J61" s="7">
        <v>0</v>
      </c>
      <c r="K61" s="7">
        <f t="shared" ref="K61:K63" si="12">I61+J61</f>
        <v>4917000</v>
      </c>
      <c r="L61" s="7">
        <f t="shared" ref="L61:L63" si="13">+K61</f>
        <v>4917000</v>
      </c>
      <c r="M61" s="25">
        <f>+L61*E61*G61</f>
        <v>19668000</v>
      </c>
      <c r="N61" s="271" t="s">
        <v>478</v>
      </c>
      <c r="O61" s="257"/>
      <c r="P61" s="257"/>
      <c r="Q61" s="257"/>
      <c r="R61" s="257"/>
      <c r="S61" s="257"/>
      <c r="T61" s="257"/>
      <c r="U61" s="257"/>
      <c r="V61" s="257"/>
      <c r="W61" s="257"/>
      <c r="X61" s="257"/>
      <c r="Y61" s="257"/>
      <c r="Z61" s="257"/>
      <c r="AA61" s="257"/>
      <c r="AB61" s="257"/>
      <c r="AC61" s="257"/>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row>
    <row r="62" spans="1:74" s="2" customFormat="1" ht="116" x14ac:dyDescent="0.35">
      <c r="A62" s="268">
        <v>2</v>
      </c>
      <c r="B62" s="4" t="s">
        <v>303</v>
      </c>
      <c r="C62" s="4" t="s">
        <v>302</v>
      </c>
      <c r="D62" s="23" t="s">
        <v>355</v>
      </c>
      <c r="E62" s="5">
        <v>2</v>
      </c>
      <c r="F62" s="5" t="s">
        <v>300</v>
      </c>
      <c r="G62" s="5">
        <v>2</v>
      </c>
      <c r="H62" s="5">
        <v>86132101</v>
      </c>
      <c r="I62" s="1">
        <v>4200000</v>
      </c>
      <c r="J62" s="7">
        <v>0</v>
      </c>
      <c r="K62" s="7">
        <f t="shared" si="12"/>
        <v>4200000</v>
      </c>
      <c r="L62" s="7">
        <f t="shared" si="13"/>
        <v>4200000</v>
      </c>
      <c r="M62" s="24">
        <f>+L62*E62*G62</f>
        <v>16800000</v>
      </c>
      <c r="N62" s="271" t="s">
        <v>478</v>
      </c>
      <c r="O62" s="257"/>
      <c r="P62" s="257"/>
      <c r="Q62" s="257"/>
      <c r="R62" s="257"/>
      <c r="S62" s="257"/>
      <c r="T62" s="257"/>
      <c r="U62" s="257"/>
      <c r="V62" s="257"/>
      <c r="W62" s="257"/>
      <c r="X62" s="257"/>
      <c r="Y62" s="257"/>
      <c r="Z62" s="257"/>
      <c r="AA62" s="257"/>
      <c r="AB62" s="257"/>
      <c r="AC62" s="257"/>
      <c r="AD62" s="257"/>
      <c r="AE62" s="257"/>
      <c r="AF62" s="257"/>
      <c r="AG62" s="257"/>
      <c r="AH62" s="257"/>
      <c r="AI62" s="257"/>
      <c r="AJ62" s="257"/>
      <c r="AK62" s="257"/>
      <c r="AL62" s="257"/>
      <c r="AM62" s="257"/>
      <c r="AN62" s="257"/>
      <c r="AO62" s="257"/>
      <c r="AP62" s="257"/>
      <c r="AQ62" s="257"/>
      <c r="AR62" s="257"/>
      <c r="AS62" s="257"/>
      <c r="AT62" s="257"/>
      <c r="AU62" s="257"/>
      <c r="AV62" s="257"/>
      <c r="AW62" s="257"/>
      <c r="AX62" s="257"/>
      <c r="AY62" s="257"/>
      <c r="AZ62" s="257"/>
      <c r="BA62" s="257"/>
      <c r="BB62" s="257"/>
      <c r="BC62" s="257"/>
      <c r="BD62" s="257"/>
      <c r="BE62" s="257"/>
      <c r="BF62" s="257"/>
      <c r="BG62" s="257"/>
      <c r="BH62" s="257"/>
      <c r="BI62" s="257"/>
      <c r="BJ62" s="257"/>
      <c r="BK62" s="257"/>
      <c r="BL62" s="257"/>
      <c r="BM62" s="257"/>
      <c r="BN62" s="257"/>
      <c r="BO62" s="257"/>
      <c r="BP62" s="257"/>
      <c r="BQ62" s="257"/>
      <c r="BR62" s="257"/>
      <c r="BS62" s="257"/>
      <c r="BT62" s="257"/>
      <c r="BU62" s="257"/>
      <c r="BV62" s="257"/>
    </row>
    <row r="63" spans="1:74" s="2" customFormat="1" ht="130.5" x14ac:dyDescent="0.35">
      <c r="A63" s="268">
        <v>3</v>
      </c>
      <c r="B63" s="4" t="s">
        <v>303</v>
      </c>
      <c r="C63" s="4" t="s">
        <v>302</v>
      </c>
      <c r="D63" s="21" t="s">
        <v>354</v>
      </c>
      <c r="E63" s="5">
        <v>1</v>
      </c>
      <c r="F63" s="5" t="s">
        <v>300</v>
      </c>
      <c r="G63" s="5">
        <v>2</v>
      </c>
      <c r="H63" s="5">
        <v>86132101</v>
      </c>
      <c r="I63" s="1">
        <v>4200000</v>
      </c>
      <c r="J63" s="7">
        <v>0</v>
      </c>
      <c r="K63" s="7">
        <f t="shared" si="12"/>
        <v>4200000</v>
      </c>
      <c r="L63" s="7">
        <f t="shared" si="13"/>
        <v>4200000</v>
      </c>
      <c r="M63" s="24">
        <f>+L63*E63*G63</f>
        <v>8400000</v>
      </c>
      <c r="N63" s="271" t="s">
        <v>478</v>
      </c>
      <c r="O63" s="257"/>
      <c r="P63" s="257"/>
      <c r="Q63" s="257"/>
      <c r="R63" s="257"/>
      <c r="S63" s="257"/>
      <c r="T63" s="257"/>
      <c r="U63" s="257"/>
      <c r="V63" s="257"/>
      <c r="W63" s="257"/>
      <c r="X63" s="257"/>
      <c r="Y63" s="257"/>
      <c r="Z63" s="257"/>
      <c r="AA63" s="257"/>
      <c r="AB63" s="257"/>
      <c r="AC63" s="257"/>
      <c r="AD63" s="257"/>
      <c r="AE63" s="257"/>
      <c r="AF63" s="257"/>
      <c r="AG63" s="257"/>
      <c r="AH63" s="257"/>
      <c r="AI63" s="257"/>
      <c r="AJ63" s="257"/>
      <c r="AK63" s="257"/>
      <c r="AL63" s="257"/>
      <c r="AM63" s="257"/>
      <c r="AN63" s="257"/>
      <c r="AO63" s="257"/>
      <c r="AP63" s="257"/>
      <c r="AQ63" s="257"/>
      <c r="AR63" s="257"/>
      <c r="AS63" s="257"/>
      <c r="AT63" s="257"/>
      <c r="AU63" s="257"/>
      <c r="AV63" s="257"/>
      <c r="AW63" s="257"/>
      <c r="AX63" s="257"/>
      <c r="AY63" s="257"/>
      <c r="AZ63" s="257"/>
      <c r="BA63" s="257"/>
      <c r="BB63" s="257"/>
      <c r="BC63" s="257"/>
      <c r="BD63" s="257"/>
      <c r="BE63" s="257"/>
      <c r="BF63" s="257"/>
      <c r="BG63" s="257"/>
      <c r="BH63" s="257"/>
      <c r="BI63" s="257"/>
      <c r="BJ63" s="257"/>
      <c r="BK63" s="257"/>
      <c r="BL63" s="257"/>
      <c r="BM63" s="257"/>
      <c r="BN63" s="257"/>
      <c r="BO63" s="257"/>
      <c r="BP63" s="257"/>
      <c r="BQ63" s="257"/>
      <c r="BR63" s="257"/>
      <c r="BS63" s="257"/>
      <c r="BT63" s="257"/>
      <c r="BU63" s="257"/>
      <c r="BV63" s="257"/>
    </row>
    <row r="64" spans="1:74" ht="203" x14ac:dyDescent="0.35">
      <c r="A64" s="268">
        <v>4</v>
      </c>
      <c r="B64" s="4" t="s">
        <v>281</v>
      </c>
      <c r="C64" s="4" t="s">
        <v>298</v>
      </c>
      <c r="D64" s="21" t="s">
        <v>353</v>
      </c>
      <c r="E64" s="5">
        <v>3</v>
      </c>
      <c r="F64" s="5" t="s">
        <v>231</v>
      </c>
      <c r="G64" s="5"/>
      <c r="H64" s="5">
        <v>82141501</v>
      </c>
      <c r="I64" s="1">
        <v>64527</v>
      </c>
      <c r="J64" s="54">
        <f t="shared" ref="J64:J73" si="14">I64*19%</f>
        <v>12260.130000000001</v>
      </c>
      <c r="K64" s="54">
        <f t="shared" ref="K64:K74" si="15">I64+J64</f>
        <v>76787.13</v>
      </c>
      <c r="L64" s="54">
        <f t="shared" ref="L64:L72" si="16">+K64*1.0483</f>
        <v>80495.948379000009</v>
      </c>
      <c r="M64" s="55">
        <f t="shared" ref="M64:M72" si="17">E64*L64</f>
        <v>241487.84513700003</v>
      </c>
      <c r="N64" s="273" t="s">
        <v>234</v>
      </c>
    </row>
    <row r="65" spans="1:14" ht="203" x14ac:dyDescent="0.35">
      <c r="A65" s="268">
        <v>5</v>
      </c>
      <c r="B65" s="4" t="s">
        <v>281</v>
      </c>
      <c r="C65" s="4" t="s">
        <v>298</v>
      </c>
      <c r="D65" s="23" t="s">
        <v>352</v>
      </c>
      <c r="E65" s="5">
        <v>5</v>
      </c>
      <c r="F65" s="5" t="s">
        <v>231</v>
      </c>
      <c r="G65" s="5"/>
      <c r="H65" s="5">
        <v>82141501</v>
      </c>
      <c r="I65" s="1">
        <v>64527</v>
      </c>
      <c r="J65" s="54">
        <f t="shared" si="14"/>
        <v>12260.130000000001</v>
      </c>
      <c r="K65" s="54">
        <f t="shared" si="15"/>
        <v>76787.13</v>
      </c>
      <c r="L65" s="54">
        <f t="shared" si="16"/>
        <v>80495.948379000009</v>
      </c>
      <c r="M65" s="55">
        <f t="shared" si="17"/>
        <v>402479.74189500004</v>
      </c>
      <c r="N65" s="273" t="s">
        <v>234</v>
      </c>
    </row>
    <row r="66" spans="1:14" ht="203" x14ac:dyDescent="0.35">
      <c r="A66" s="268">
        <v>6</v>
      </c>
      <c r="B66" s="4" t="s">
        <v>281</v>
      </c>
      <c r="C66" s="4" t="s">
        <v>294</v>
      </c>
      <c r="D66" s="21" t="s">
        <v>351</v>
      </c>
      <c r="E66" s="5">
        <v>50</v>
      </c>
      <c r="F66" s="5" t="s">
        <v>231</v>
      </c>
      <c r="G66" s="5"/>
      <c r="H66" s="5">
        <v>82141501</v>
      </c>
      <c r="I66" s="1">
        <v>41555</v>
      </c>
      <c r="J66" s="54">
        <f t="shared" si="14"/>
        <v>7895.45</v>
      </c>
      <c r="K66" s="54">
        <f t="shared" si="15"/>
        <v>49450.45</v>
      </c>
      <c r="L66" s="54">
        <f t="shared" si="16"/>
        <v>51838.906734999997</v>
      </c>
      <c r="M66" s="55">
        <f t="shared" si="17"/>
        <v>2591945.3367499998</v>
      </c>
      <c r="N66" s="273" t="s">
        <v>234</v>
      </c>
    </row>
    <row r="67" spans="1:14" ht="203" x14ac:dyDescent="0.35">
      <c r="A67" s="268">
        <v>7</v>
      </c>
      <c r="B67" s="4" t="s">
        <v>281</v>
      </c>
      <c r="C67" s="4" t="s">
        <v>296</v>
      </c>
      <c r="D67" s="21" t="s">
        <v>350</v>
      </c>
      <c r="E67" s="5">
        <v>20</v>
      </c>
      <c r="F67" s="5" t="s">
        <v>231</v>
      </c>
      <c r="G67" s="5"/>
      <c r="H67" s="5">
        <v>82131603</v>
      </c>
      <c r="I67" s="1">
        <v>41555</v>
      </c>
      <c r="J67" s="54">
        <f t="shared" si="14"/>
        <v>7895.45</v>
      </c>
      <c r="K67" s="54">
        <f t="shared" si="15"/>
        <v>49450.45</v>
      </c>
      <c r="L67" s="54">
        <f t="shared" si="16"/>
        <v>51838.906734999997</v>
      </c>
      <c r="M67" s="55">
        <f t="shared" si="17"/>
        <v>1036778.1346999999</v>
      </c>
      <c r="N67" s="273" t="s">
        <v>234</v>
      </c>
    </row>
    <row r="68" spans="1:14" ht="203" x14ac:dyDescent="0.35">
      <c r="A68" s="268">
        <v>8</v>
      </c>
      <c r="B68" s="4" t="s">
        <v>281</v>
      </c>
      <c r="C68" s="4" t="s">
        <v>294</v>
      </c>
      <c r="D68" s="21" t="s">
        <v>349</v>
      </c>
      <c r="E68" s="5">
        <v>50</v>
      </c>
      <c r="F68" s="5" t="s">
        <v>231</v>
      </c>
      <c r="G68" s="5"/>
      <c r="H68" s="5">
        <v>82131603</v>
      </c>
      <c r="I68" s="1">
        <v>41555</v>
      </c>
      <c r="J68" s="54">
        <f t="shared" si="14"/>
        <v>7895.45</v>
      </c>
      <c r="K68" s="54">
        <f t="shared" si="15"/>
        <v>49450.45</v>
      </c>
      <c r="L68" s="54">
        <f t="shared" si="16"/>
        <v>51838.906734999997</v>
      </c>
      <c r="M68" s="55">
        <f t="shared" si="17"/>
        <v>2591945.3367499998</v>
      </c>
      <c r="N68" s="273" t="s">
        <v>234</v>
      </c>
    </row>
    <row r="69" spans="1:14" ht="203" x14ac:dyDescent="0.35">
      <c r="A69" s="268">
        <v>9</v>
      </c>
      <c r="B69" s="4" t="s">
        <v>233</v>
      </c>
      <c r="C69" s="4" t="s">
        <v>348</v>
      </c>
      <c r="D69" s="4" t="s">
        <v>347</v>
      </c>
      <c r="E69" s="22">
        <v>200</v>
      </c>
      <c r="F69" s="5"/>
      <c r="G69" s="5"/>
      <c r="H69" s="5">
        <v>10161504</v>
      </c>
      <c r="I69" s="1">
        <v>12033</v>
      </c>
      <c r="J69" s="54">
        <f t="shared" si="14"/>
        <v>2286.27</v>
      </c>
      <c r="K69" s="54">
        <f t="shared" si="15"/>
        <v>14319.27</v>
      </c>
      <c r="L69" s="54">
        <f t="shared" si="16"/>
        <v>15010.890741000001</v>
      </c>
      <c r="M69" s="55">
        <f t="shared" si="17"/>
        <v>3002178.1482000002</v>
      </c>
      <c r="N69" s="273" t="s">
        <v>234</v>
      </c>
    </row>
    <row r="70" spans="1:14" ht="203" x14ac:dyDescent="0.35">
      <c r="A70" s="268">
        <v>10</v>
      </c>
      <c r="B70" s="4" t="s">
        <v>233</v>
      </c>
      <c r="C70" s="4" t="s">
        <v>346</v>
      </c>
      <c r="D70" s="4" t="s">
        <v>475</v>
      </c>
      <c r="E70" s="5">
        <v>20</v>
      </c>
      <c r="F70" s="5"/>
      <c r="G70" s="5"/>
      <c r="H70" s="5">
        <v>10161500</v>
      </c>
      <c r="I70" s="1">
        <v>8000</v>
      </c>
      <c r="J70" s="54">
        <f t="shared" si="14"/>
        <v>1520</v>
      </c>
      <c r="K70" s="54">
        <f t="shared" si="15"/>
        <v>9520</v>
      </c>
      <c r="L70" s="54">
        <f t="shared" si="16"/>
        <v>9979.8160000000007</v>
      </c>
      <c r="M70" s="55">
        <f t="shared" si="17"/>
        <v>199596.32</v>
      </c>
      <c r="N70" s="273" t="s">
        <v>234</v>
      </c>
    </row>
    <row r="71" spans="1:14" ht="203" x14ac:dyDescent="0.35">
      <c r="A71" s="268">
        <v>11</v>
      </c>
      <c r="B71" s="4" t="s">
        <v>233</v>
      </c>
      <c r="C71" s="4" t="s">
        <v>345</v>
      </c>
      <c r="D71" s="4" t="s">
        <v>344</v>
      </c>
      <c r="E71" s="5">
        <v>80</v>
      </c>
      <c r="F71" s="5" t="s">
        <v>343</v>
      </c>
      <c r="G71" s="5"/>
      <c r="H71" s="5">
        <v>30152000</v>
      </c>
      <c r="I71" s="1">
        <v>6500</v>
      </c>
      <c r="J71" s="54">
        <f t="shared" si="14"/>
        <v>1235</v>
      </c>
      <c r="K71" s="54">
        <f t="shared" si="15"/>
        <v>7735</v>
      </c>
      <c r="L71" s="54">
        <f t="shared" si="16"/>
        <v>8108.6005000000005</v>
      </c>
      <c r="M71" s="55">
        <f t="shared" si="17"/>
        <v>648688.04</v>
      </c>
      <c r="N71" s="273" t="s">
        <v>234</v>
      </c>
    </row>
    <row r="72" spans="1:14" ht="203" x14ac:dyDescent="0.35">
      <c r="A72" s="268">
        <v>12</v>
      </c>
      <c r="B72" s="4" t="s">
        <v>233</v>
      </c>
      <c r="C72" s="4" t="s">
        <v>342</v>
      </c>
      <c r="D72" s="4" t="s">
        <v>341</v>
      </c>
      <c r="E72" s="5">
        <v>30</v>
      </c>
      <c r="F72" s="5" t="s">
        <v>340</v>
      </c>
      <c r="G72" s="5"/>
      <c r="H72" s="5">
        <v>27112000</v>
      </c>
      <c r="I72" s="1">
        <v>50000</v>
      </c>
      <c r="J72" s="54">
        <f t="shared" si="14"/>
        <v>9500</v>
      </c>
      <c r="K72" s="54">
        <f t="shared" si="15"/>
        <v>59500</v>
      </c>
      <c r="L72" s="54">
        <f t="shared" si="16"/>
        <v>62373.85</v>
      </c>
      <c r="M72" s="55">
        <f t="shared" si="17"/>
        <v>1871215.5</v>
      </c>
      <c r="N72" s="273" t="s">
        <v>234</v>
      </c>
    </row>
    <row r="73" spans="1:14" ht="203" x14ac:dyDescent="0.35">
      <c r="A73" s="268">
        <v>13</v>
      </c>
      <c r="B73" s="4" t="s">
        <v>233</v>
      </c>
      <c r="C73" s="4" t="s">
        <v>339</v>
      </c>
      <c r="D73" s="4" t="s">
        <v>469</v>
      </c>
      <c r="E73" s="5">
        <v>2</v>
      </c>
      <c r="F73" s="5" t="s">
        <v>231</v>
      </c>
      <c r="G73" s="5"/>
      <c r="H73" s="5">
        <v>24112200</v>
      </c>
      <c r="I73" s="1">
        <v>204826</v>
      </c>
      <c r="J73" s="54">
        <f t="shared" si="14"/>
        <v>38916.94</v>
      </c>
      <c r="K73" s="54">
        <f t="shared" si="15"/>
        <v>243742.94</v>
      </c>
      <c r="L73" s="54">
        <f>+K73*1.0483</f>
        <v>255515.724002</v>
      </c>
      <c r="M73" s="55">
        <f>E73*L73</f>
        <v>511031.44800400001</v>
      </c>
      <c r="N73" s="273" t="s">
        <v>234</v>
      </c>
    </row>
    <row r="74" spans="1:14" ht="203" x14ac:dyDescent="0.35">
      <c r="A74" s="268">
        <v>14</v>
      </c>
      <c r="B74" s="4" t="s">
        <v>233</v>
      </c>
      <c r="C74" s="4" t="s">
        <v>338</v>
      </c>
      <c r="D74" s="4" t="s">
        <v>337</v>
      </c>
      <c r="E74" s="5">
        <v>3</v>
      </c>
      <c r="F74" s="5" t="s">
        <v>231</v>
      </c>
      <c r="G74" s="5"/>
      <c r="H74" s="5">
        <v>27112009</v>
      </c>
      <c r="I74" s="5">
        <v>39200</v>
      </c>
      <c r="J74" s="54">
        <f>I74*19%</f>
        <v>7448</v>
      </c>
      <c r="K74" s="54">
        <f t="shared" si="15"/>
        <v>46648</v>
      </c>
      <c r="L74" s="54">
        <f>+K74*1.0483</f>
        <v>48901.098400000003</v>
      </c>
      <c r="M74" s="55">
        <f>E74*L74</f>
        <v>146703.29519999999</v>
      </c>
      <c r="N74" s="273" t="s">
        <v>234</v>
      </c>
    </row>
    <row r="75" spans="1:14" ht="203" x14ac:dyDescent="0.35">
      <c r="A75" s="268">
        <v>15</v>
      </c>
      <c r="B75" s="4" t="s">
        <v>233</v>
      </c>
      <c r="C75" s="4" t="s">
        <v>336</v>
      </c>
      <c r="D75" s="4" t="s">
        <v>335</v>
      </c>
      <c r="E75" s="5">
        <v>50</v>
      </c>
      <c r="F75" s="5" t="s">
        <v>231</v>
      </c>
      <c r="G75" s="5"/>
      <c r="H75" s="5">
        <v>10151505</v>
      </c>
      <c r="I75" s="5">
        <v>7500</v>
      </c>
      <c r="J75" s="54">
        <f t="shared" ref="J75:J88" si="18">I75*19%</f>
        <v>1425</v>
      </c>
      <c r="K75" s="54">
        <f t="shared" ref="K75:K87" si="19">I75+J75</f>
        <v>8925</v>
      </c>
      <c r="L75" s="54">
        <f t="shared" ref="L75:L88" si="20">+K75*1.0483</f>
        <v>9356.0774999999994</v>
      </c>
      <c r="M75" s="55">
        <f>E75*L75</f>
        <v>467803.875</v>
      </c>
      <c r="N75" s="273" t="s">
        <v>234</v>
      </c>
    </row>
    <row r="76" spans="1:14" ht="203" x14ac:dyDescent="0.35">
      <c r="A76" s="268">
        <v>16</v>
      </c>
      <c r="B76" s="4" t="s">
        <v>233</v>
      </c>
      <c r="C76" s="4" t="s">
        <v>334</v>
      </c>
      <c r="D76" s="4" t="s">
        <v>333</v>
      </c>
      <c r="E76" s="5">
        <v>6</v>
      </c>
      <c r="F76" s="5" t="s">
        <v>231</v>
      </c>
      <c r="G76" s="5"/>
      <c r="H76" s="5">
        <v>30152000</v>
      </c>
      <c r="I76" s="5">
        <v>250000</v>
      </c>
      <c r="J76" s="54">
        <f t="shared" si="18"/>
        <v>47500</v>
      </c>
      <c r="K76" s="54">
        <f t="shared" si="19"/>
        <v>297500</v>
      </c>
      <c r="L76" s="54">
        <f t="shared" si="20"/>
        <v>311869.25</v>
      </c>
      <c r="M76" s="55">
        <f t="shared" ref="M76:M87" si="21">E76*L76</f>
        <v>1871215.5</v>
      </c>
      <c r="N76" s="273" t="s">
        <v>234</v>
      </c>
    </row>
    <row r="77" spans="1:14" ht="203" x14ac:dyDescent="0.35">
      <c r="A77" s="268">
        <v>17</v>
      </c>
      <c r="B77" s="4" t="s">
        <v>233</v>
      </c>
      <c r="C77" s="4" t="s">
        <v>332</v>
      </c>
      <c r="D77" s="4" t="s">
        <v>331</v>
      </c>
      <c r="E77" s="5">
        <v>400</v>
      </c>
      <c r="F77" s="5" t="s">
        <v>231</v>
      </c>
      <c r="G77" s="5"/>
      <c r="H77" s="5">
        <v>31162406</v>
      </c>
      <c r="I77" s="5">
        <v>14000</v>
      </c>
      <c r="J77" s="54">
        <f t="shared" si="18"/>
        <v>2660</v>
      </c>
      <c r="K77" s="54">
        <f t="shared" si="19"/>
        <v>16660</v>
      </c>
      <c r="L77" s="54">
        <f t="shared" si="20"/>
        <v>17464.678</v>
      </c>
      <c r="M77" s="55">
        <f t="shared" si="21"/>
        <v>6985871.2000000002</v>
      </c>
      <c r="N77" s="273" t="s">
        <v>234</v>
      </c>
    </row>
    <row r="78" spans="1:14" ht="203" x14ac:dyDescent="0.35">
      <c r="A78" s="268">
        <v>18</v>
      </c>
      <c r="B78" s="4" t="s">
        <v>233</v>
      </c>
      <c r="C78" s="4" t="s">
        <v>330</v>
      </c>
      <c r="D78" s="4" t="s">
        <v>329</v>
      </c>
      <c r="E78" s="5">
        <v>20</v>
      </c>
      <c r="F78" s="5" t="s">
        <v>231</v>
      </c>
      <c r="G78" s="5"/>
      <c r="H78" s="5">
        <v>30101506</v>
      </c>
      <c r="I78" s="5">
        <v>9500</v>
      </c>
      <c r="J78" s="54">
        <f t="shared" si="18"/>
        <v>1805</v>
      </c>
      <c r="K78" s="54">
        <f t="shared" si="19"/>
        <v>11305</v>
      </c>
      <c r="L78" s="54">
        <f t="shared" si="20"/>
        <v>11851.031500000001</v>
      </c>
      <c r="M78" s="55">
        <f t="shared" si="21"/>
        <v>237020.63</v>
      </c>
      <c r="N78" s="273" t="s">
        <v>234</v>
      </c>
    </row>
    <row r="79" spans="1:14" ht="203" x14ac:dyDescent="0.35">
      <c r="A79" s="268">
        <v>19</v>
      </c>
      <c r="B79" s="4" t="s">
        <v>233</v>
      </c>
      <c r="C79" s="4" t="s">
        <v>328</v>
      </c>
      <c r="D79" s="4" t="s">
        <v>327</v>
      </c>
      <c r="E79" s="5">
        <v>2</v>
      </c>
      <c r="F79" s="5" t="s">
        <v>326</v>
      </c>
      <c r="G79" s="5"/>
      <c r="H79" s="5">
        <v>30102003</v>
      </c>
      <c r="I79" s="5">
        <v>28600</v>
      </c>
      <c r="J79" s="54">
        <f t="shared" si="18"/>
        <v>5434</v>
      </c>
      <c r="K79" s="54">
        <f t="shared" si="19"/>
        <v>34034</v>
      </c>
      <c r="L79" s="54">
        <f t="shared" si="20"/>
        <v>35677.842199999999</v>
      </c>
      <c r="M79" s="55">
        <f t="shared" si="21"/>
        <v>71355.684399999998</v>
      </c>
      <c r="N79" s="273" t="s">
        <v>234</v>
      </c>
    </row>
    <row r="80" spans="1:14" ht="203" x14ac:dyDescent="0.35">
      <c r="A80" s="268">
        <v>20</v>
      </c>
      <c r="B80" s="4" t="s">
        <v>233</v>
      </c>
      <c r="C80" s="4" t="s">
        <v>325</v>
      </c>
      <c r="D80" s="4" t="s">
        <v>324</v>
      </c>
      <c r="E80" s="5">
        <v>1</v>
      </c>
      <c r="F80" s="5" t="s">
        <v>323</v>
      </c>
      <c r="G80" s="5"/>
      <c r="H80" s="5">
        <v>31162001</v>
      </c>
      <c r="I80" s="5">
        <v>15000</v>
      </c>
      <c r="J80" s="54">
        <f t="shared" si="18"/>
        <v>2850</v>
      </c>
      <c r="K80" s="54">
        <f t="shared" si="19"/>
        <v>17850</v>
      </c>
      <c r="L80" s="54">
        <f t="shared" si="20"/>
        <v>18712.154999999999</v>
      </c>
      <c r="M80" s="55">
        <f t="shared" si="21"/>
        <v>18712.154999999999</v>
      </c>
      <c r="N80" s="273" t="s">
        <v>234</v>
      </c>
    </row>
    <row r="81" spans="1:74" ht="203" x14ac:dyDescent="0.35">
      <c r="A81" s="268">
        <v>21</v>
      </c>
      <c r="B81" s="4" t="s">
        <v>233</v>
      </c>
      <c r="C81" s="4" t="s">
        <v>322</v>
      </c>
      <c r="D81" s="4" t="s">
        <v>321</v>
      </c>
      <c r="E81" s="5">
        <v>40</v>
      </c>
      <c r="F81" s="5" t="s">
        <v>231</v>
      </c>
      <c r="G81" s="5"/>
      <c r="H81" s="5">
        <v>11151504</v>
      </c>
      <c r="I81" s="5">
        <v>50000</v>
      </c>
      <c r="J81" s="54">
        <f t="shared" si="18"/>
        <v>9500</v>
      </c>
      <c r="K81" s="54">
        <f t="shared" si="19"/>
        <v>59500</v>
      </c>
      <c r="L81" s="54">
        <f t="shared" si="20"/>
        <v>62373.85</v>
      </c>
      <c r="M81" s="55">
        <f t="shared" si="21"/>
        <v>2494954</v>
      </c>
      <c r="N81" s="273" t="s">
        <v>234</v>
      </c>
    </row>
    <row r="82" spans="1:74" ht="203" x14ac:dyDescent="0.35">
      <c r="A82" s="268">
        <v>22</v>
      </c>
      <c r="B82" s="4" t="s">
        <v>233</v>
      </c>
      <c r="C82" s="4" t="s">
        <v>320</v>
      </c>
      <c r="D82" s="4" t="s">
        <v>319</v>
      </c>
      <c r="E82" s="5">
        <v>24</v>
      </c>
      <c r="F82" s="5" t="s">
        <v>318</v>
      </c>
      <c r="G82" s="5"/>
      <c r="H82" s="5">
        <v>10161504</v>
      </c>
      <c r="I82" s="5">
        <v>20000</v>
      </c>
      <c r="J82" s="54">
        <f t="shared" si="18"/>
        <v>3800</v>
      </c>
      <c r="K82" s="54">
        <f t="shared" si="19"/>
        <v>23800</v>
      </c>
      <c r="L82" s="54">
        <f t="shared" si="20"/>
        <v>24949.54</v>
      </c>
      <c r="M82" s="55">
        <f t="shared" si="21"/>
        <v>598788.96</v>
      </c>
      <c r="N82" s="273" t="s">
        <v>234</v>
      </c>
    </row>
    <row r="83" spans="1:74" ht="275.5" x14ac:dyDescent="0.35">
      <c r="A83" s="268">
        <v>23</v>
      </c>
      <c r="B83" s="4" t="s">
        <v>233</v>
      </c>
      <c r="C83" s="4" t="s">
        <v>317</v>
      </c>
      <c r="D83" s="21" t="s">
        <v>316</v>
      </c>
      <c r="E83" s="5">
        <v>2</v>
      </c>
      <c r="F83" s="5" t="s">
        <v>231</v>
      </c>
      <c r="G83" s="5"/>
      <c r="H83" s="5">
        <v>46171501</v>
      </c>
      <c r="I83" s="5">
        <v>42016</v>
      </c>
      <c r="J83" s="54">
        <f t="shared" si="18"/>
        <v>7983.04</v>
      </c>
      <c r="K83" s="54">
        <f t="shared" si="19"/>
        <v>49999.040000000001</v>
      </c>
      <c r="L83" s="54">
        <f t="shared" si="20"/>
        <v>52413.993631999998</v>
      </c>
      <c r="M83" s="55">
        <f t="shared" si="21"/>
        <v>104827.987264</v>
      </c>
      <c r="N83" s="274" t="s">
        <v>315</v>
      </c>
    </row>
    <row r="84" spans="1:74" ht="203" x14ac:dyDescent="0.35">
      <c r="A84" s="268">
        <v>24</v>
      </c>
      <c r="B84" s="4" t="s">
        <v>233</v>
      </c>
      <c r="C84" s="4" t="s">
        <v>314</v>
      </c>
      <c r="D84" s="4" t="s">
        <v>313</v>
      </c>
      <c r="E84" s="5">
        <v>2</v>
      </c>
      <c r="F84" s="5" t="s">
        <v>231</v>
      </c>
      <c r="G84" s="5"/>
      <c r="H84" s="5">
        <v>27112010</v>
      </c>
      <c r="I84" s="5">
        <v>40000</v>
      </c>
      <c r="J84" s="54">
        <f t="shared" si="18"/>
        <v>7600</v>
      </c>
      <c r="K84" s="54">
        <f t="shared" si="19"/>
        <v>47600</v>
      </c>
      <c r="L84" s="54">
        <f t="shared" si="20"/>
        <v>49899.08</v>
      </c>
      <c r="M84" s="55">
        <f t="shared" si="21"/>
        <v>99798.16</v>
      </c>
      <c r="N84" s="273" t="s">
        <v>234</v>
      </c>
    </row>
    <row r="85" spans="1:74" ht="203" x14ac:dyDescent="0.35">
      <c r="A85" s="268">
        <v>25</v>
      </c>
      <c r="B85" s="4" t="s">
        <v>233</v>
      </c>
      <c r="C85" s="4" t="s">
        <v>312</v>
      </c>
      <c r="D85" s="4" t="s">
        <v>311</v>
      </c>
      <c r="E85" s="5">
        <v>1</v>
      </c>
      <c r="F85" s="5" t="s">
        <v>231</v>
      </c>
      <c r="G85" s="5"/>
      <c r="H85" s="5">
        <v>27112011</v>
      </c>
      <c r="I85" s="5">
        <v>23000</v>
      </c>
      <c r="J85" s="54">
        <f t="shared" si="18"/>
        <v>4370</v>
      </c>
      <c r="K85" s="54">
        <f t="shared" si="19"/>
        <v>27370</v>
      </c>
      <c r="L85" s="54">
        <f t="shared" si="20"/>
        <v>28691.971000000001</v>
      </c>
      <c r="M85" s="55">
        <f t="shared" si="21"/>
        <v>28691.971000000001</v>
      </c>
      <c r="N85" s="273" t="s">
        <v>234</v>
      </c>
    </row>
    <row r="86" spans="1:74" ht="203" x14ac:dyDescent="0.35">
      <c r="A86" s="268">
        <v>26</v>
      </c>
      <c r="B86" s="4" t="s">
        <v>233</v>
      </c>
      <c r="C86" s="4" t="s">
        <v>310</v>
      </c>
      <c r="D86" s="4" t="s">
        <v>309</v>
      </c>
      <c r="E86" s="5">
        <v>30</v>
      </c>
      <c r="F86" s="5" t="s">
        <v>231</v>
      </c>
      <c r="G86" s="5"/>
      <c r="H86" s="5">
        <v>60101608</v>
      </c>
      <c r="I86" s="1">
        <v>3340</v>
      </c>
      <c r="J86" s="54">
        <f t="shared" si="18"/>
        <v>634.6</v>
      </c>
      <c r="K86" s="54">
        <f t="shared" si="19"/>
        <v>3974.6</v>
      </c>
      <c r="L86" s="54">
        <f t="shared" si="20"/>
        <v>4166.5731800000003</v>
      </c>
      <c r="M86" s="55">
        <f t="shared" si="21"/>
        <v>124997.19540000001</v>
      </c>
      <c r="N86" s="273" t="s">
        <v>234</v>
      </c>
    </row>
    <row r="87" spans="1:74" ht="203" x14ac:dyDescent="0.35">
      <c r="A87" s="268">
        <v>27</v>
      </c>
      <c r="B87" s="4" t="s">
        <v>233</v>
      </c>
      <c r="C87" s="4" t="s">
        <v>308</v>
      </c>
      <c r="D87" s="4" t="s">
        <v>307</v>
      </c>
      <c r="E87" s="5">
        <v>30</v>
      </c>
      <c r="F87" s="5" t="s">
        <v>231</v>
      </c>
      <c r="G87" s="5"/>
      <c r="H87" s="5">
        <v>82101501</v>
      </c>
      <c r="I87" s="1">
        <v>13502</v>
      </c>
      <c r="J87" s="54">
        <f t="shared" si="18"/>
        <v>2565.38</v>
      </c>
      <c r="K87" s="54">
        <f t="shared" si="19"/>
        <v>16067.380000000001</v>
      </c>
      <c r="L87" s="54">
        <f t="shared" si="20"/>
        <v>16843.434454000002</v>
      </c>
      <c r="M87" s="55">
        <f t="shared" si="21"/>
        <v>505303.03362000006</v>
      </c>
      <c r="N87" s="273" t="s">
        <v>234</v>
      </c>
    </row>
    <row r="88" spans="1:74" ht="189" thickBot="1" x14ac:dyDescent="0.4">
      <c r="A88" s="279">
        <v>28</v>
      </c>
      <c r="B88" s="20" t="s">
        <v>233</v>
      </c>
      <c r="C88" s="20" t="s">
        <v>232</v>
      </c>
      <c r="D88" s="20" t="s">
        <v>599</v>
      </c>
      <c r="E88" s="97">
        <v>30</v>
      </c>
      <c r="F88" s="19" t="s">
        <v>231</v>
      </c>
      <c r="G88" s="19"/>
      <c r="H88" s="19">
        <v>50192701</v>
      </c>
      <c r="I88" s="1">
        <v>13502</v>
      </c>
      <c r="J88" s="98">
        <f t="shared" si="18"/>
        <v>2565.38</v>
      </c>
      <c r="K88" s="98">
        <f>I88+J88</f>
        <v>16067.380000000001</v>
      </c>
      <c r="L88" s="98">
        <f t="shared" si="20"/>
        <v>16843.434454000002</v>
      </c>
      <c r="M88" s="96">
        <f>J88+L88</f>
        <v>19408.814454000003</v>
      </c>
      <c r="N88" s="274" t="s">
        <v>125</v>
      </c>
    </row>
    <row r="89" spans="1:74" ht="30.5" customHeight="1" thickBot="1" x14ac:dyDescent="0.4">
      <c r="A89" s="206" t="s">
        <v>230</v>
      </c>
      <c r="B89" s="207"/>
      <c r="C89" s="207"/>
      <c r="D89" s="207"/>
      <c r="E89" s="207"/>
      <c r="F89" s="207"/>
      <c r="G89" s="207"/>
      <c r="H89" s="208"/>
      <c r="I89" s="9"/>
      <c r="J89" s="209">
        <f>SUM(M61:M88)</f>
        <v>71740798.312774003</v>
      </c>
      <c r="K89" s="210"/>
      <c r="L89" s="210"/>
      <c r="M89" s="211"/>
      <c r="N89" s="280"/>
    </row>
    <row r="90" spans="1:74" ht="28.5" customHeight="1" x14ac:dyDescent="0.35">
      <c r="A90" s="212" t="s">
        <v>306</v>
      </c>
      <c r="B90" s="281"/>
      <c r="C90" s="281"/>
      <c r="D90" s="281"/>
      <c r="E90" s="281"/>
      <c r="F90" s="281"/>
      <c r="G90" s="281"/>
      <c r="H90" s="281"/>
      <c r="I90" s="282"/>
      <c r="J90" s="281"/>
      <c r="K90" s="281"/>
      <c r="L90" s="281"/>
      <c r="M90" s="281"/>
      <c r="N90" s="283"/>
    </row>
    <row r="91" spans="1:74" s="2" customFormat="1" ht="116" x14ac:dyDescent="0.35">
      <c r="A91" s="284" t="s">
        <v>305</v>
      </c>
      <c r="B91" s="10" t="s">
        <v>303</v>
      </c>
      <c r="C91" s="10" t="s">
        <v>592</v>
      </c>
      <c r="D91" s="10" t="s">
        <v>304</v>
      </c>
      <c r="E91" s="10">
        <v>1</v>
      </c>
      <c r="F91" s="10" t="s">
        <v>300</v>
      </c>
      <c r="G91" s="10">
        <v>3</v>
      </c>
      <c r="H91" s="4">
        <v>80111603</v>
      </c>
      <c r="I91" s="26">
        <v>4917000</v>
      </c>
      <c r="J91" s="7">
        <v>0</v>
      </c>
      <c r="K91" s="7">
        <f t="shared" ref="K91:K92" si="22">I91+J91</f>
        <v>4917000</v>
      </c>
      <c r="L91" s="7">
        <f t="shared" ref="L91:L92" si="23">+K91</f>
        <v>4917000</v>
      </c>
      <c r="M91" s="1">
        <f>+L91*E91*G91</f>
        <v>14751000</v>
      </c>
      <c r="N91" s="271" t="s">
        <v>478</v>
      </c>
      <c r="O91" s="257"/>
      <c r="P91" s="257"/>
      <c r="Q91" s="257"/>
      <c r="R91" s="257"/>
      <c r="S91" s="257"/>
      <c r="T91" s="257"/>
      <c r="U91" s="257"/>
      <c r="V91" s="257"/>
      <c r="W91" s="257"/>
      <c r="X91" s="257"/>
      <c r="Y91" s="257"/>
      <c r="Z91" s="257"/>
      <c r="AA91" s="257"/>
      <c r="AB91" s="257"/>
      <c r="AC91" s="257"/>
      <c r="AD91" s="257"/>
      <c r="AE91" s="257"/>
      <c r="AF91" s="257"/>
      <c r="AG91" s="257"/>
      <c r="AH91" s="257"/>
      <c r="AI91" s="257"/>
      <c r="AJ91" s="257"/>
      <c r="AK91" s="257"/>
      <c r="AL91" s="257"/>
      <c r="AM91" s="257"/>
      <c r="AN91" s="257"/>
      <c r="AO91" s="257"/>
      <c r="AP91" s="257"/>
      <c r="AQ91" s="257"/>
      <c r="AR91" s="257"/>
      <c r="AS91" s="257"/>
      <c r="AT91" s="257"/>
      <c r="AU91" s="257"/>
      <c r="AV91" s="257"/>
      <c r="AW91" s="257"/>
      <c r="AX91" s="257"/>
      <c r="AY91" s="257"/>
      <c r="AZ91" s="257"/>
      <c r="BA91" s="257"/>
      <c r="BB91" s="257"/>
      <c r="BC91" s="257"/>
      <c r="BD91" s="257"/>
      <c r="BE91" s="257"/>
      <c r="BF91" s="257"/>
      <c r="BG91" s="257"/>
      <c r="BH91" s="257"/>
      <c r="BI91" s="257"/>
      <c r="BJ91" s="257"/>
      <c r="BK91" s="257"/>
      <c r="BL91" s="257"/>
      <c r="BM91" s="257"/>
      <c r="BN91" s="257"/>
      <c r="BO91" s="257"/>
      <c r="BP91" s="257"/>
      <c r="BQ91" s="257"/>
      <c r="BR91" s="257"/>
      <c r="BS91" s="257"/>
      <c r="BT91" s="257"/>
      <c r="BU91" s="257"/>
      <c r="BV91" s="257"/>
    </row>
    <row r="92" spans="1:74" s="2" customFormat="1" ht="116" x14ac:dyDescent="0.35">
      <c r="A92" s="268">
        <v>2</v>
      </c>
      <c r="B92" s="4" t="s">
        <v>303</v>
      </c>
      <c r="C92" s="17" t="s">
        <v>302</v>
      </c>
      <c r="D92" s="17" t="s">
        <v>301</v>
      </c>
      <c r="E92" s="4">
        <v>1</v>
      </c>
      <c r="F92" s="4" t="s">
        <v>300</v>
      </c>
      <c r="G92" s="4">
        <v>2</v>
      </c>
      <c r="H92" s="4">
        <v>86132101</v>
      </c>
      <c r="I92" s="31">
        <v>4200000</v>
      </c>
      <c r="J92" s="7">
        <v>0</v>
      </c>
      <c r="K92" s="7">
        <f t="shared" si="22"/>
        <v>4200000</v>
      </c>
      <c r="L92" s="7">
        <f t="shared" si="23"/>
        <v>4200000</v>
      </c>
      <c r="M92" s="1">
        <f>+L92*E92*G92</f>
        <v>8400000</v>
      </c>
      <c r="N92" s="271" t="s">
        <v>478</v>
      </c>
      <c r="O92" s="257"/>
      <c r="P92" s="257"/>
      <c r="Q92" s="257"/>
      <c r="R92" s="257"/>
      <c r="S92" s="257"/>
      <c r="T92" s="257"/>
      <c r="U92" s="257"/>
      <c r="V92" s="257"/>
      <c r="W92" s="257"/>
      <c r="X92" s="257"/>
      <c r="Y92" s="257"/>
      <c r="Z92" s="257"/>
      <c r="AA92" s="257"/>
      <c r="AB92" s="257"/>
      <c r="AC92" s="257"/>
      <c r="AD92" s="257"/>
      <c r="AE92" s="257"/>
      <c r="AF92" s="257"/>
      <c r="AG92" s="257"/>
      <c r="AH92" s="257"/>
      <c r="AI92" s="257"/>
      <c r="AJ92" s="257"/>
      <c r="AK92" s="257"/>
      <c r="AL92" s="257"/>
      <c r="AM92" s="257"/>
      <c r="AN92" s="257"/>
      <c r="AO92" s="257"/>
      <c r="AP92" s="257"/>
      <c r="AQ92" s="257"/>
      <c r="AR92" s="257"/>
      <c r="AS92" s="257"/>
      <c r="AT92" s="257"/>
      <c r="AU92" s="257"/>
      <c r="AV92" s="257"/>
      <c r="AW92" s="257"/>
      <c r="AX92" s="257"/>
      <c r="AY92" s="257"/>
      <c r="AZ92" s="257"/>
      <c r="BA92" s="257"/>
      <c r="BB92" s="257"/>
      <c r="BC92" s="257"/>
      <c r="BD92" s="257"/>
      <c r="BE92" s="257"/>
      <c r="BF92" s="257"/>
      <c r="BG92" s="257"/>
      <c r="BH92" s="257"/>
      <c r="BI92" s="257"/>
      <c r="BJ92" s="257"/>
      <c r="BK92" s="257"/>
      <c r="BL92" s="257"/>
      <c r="BM92" s="257"/>
      <c r="BN92" s="257"/>
      <c r="BO92" s="257"/>
      <c r="BP92" s="257"/>
      <c r="BQ92" s="257"/>
      <c r="BR92" s="257"/>
      <c r="BS92" s="257"/>
      <c r="BT92" s="257"/>
      <c r="BU92" s="257"/>
      <c r="BV92" s="257"/>
    </row>
    <row r="93" spans="1:74" ht="203" x14ac:dyDescent="0.35">
      <c r="A93" s="268">
        <v>3</v>
      </c>
      <c r="B93" s="4" t="s">
        <v>281</v>
      </c>
      <c r="C93" s="4" t="s">
        <v>298</v>
      </c>
      <c r="D93" s="10" t="s">
        <v>299</v>
      </c>
      <c r="E93" s="4">
        <v>3</v>
      </c>
      <c r="F93" s="4" t="s">
        <v>231</v>
      </c>
      <c r="G93" s="4"/>
      <c r="H93" s="4">
        <v>86132101</v>
      </c>
      <c r="I93" s="1">
        <v>64527</v>
      </c>
      <c r="J93" s="54">
        <f t="shared" ref="J93:J110" si="24">I93*19%</f>
        <v>12260.130000000001</v>
      </c>
      <c r="K93" s="54">
        <f t="shared" ref="K93:K110" si="25">I93+J93</f>
        <v>76787.13</v>
      </c>
      <c r="L93" s="54">
        <f t="shared" ref="L93:L118" si="26">+K93*1.0483</f>
        <v>80495.948379000009</v>
      </c>
      <c r="M93" s="55">
        <f t="shared" ref="M93:M103" si="27">E93*L93</f>
        <v>241487.84513700003</v>
      </c>
      <c r="N93" s="273" t="s">
        <v>234</v>
      </c>
    </row>
    <row r="94" spans="1:74" ht="203" x14ac:dyDescent="0.35">
      <c r="A94" s="268">
        <v>4</v>
      </c>
      <c r="B94" s="4" t="s">
        <v>281</v>
      </c>
      <c r="C94" s="4" t="s">
        <v>298</v>
      </c>
      <c r="D94" s="10" t="s">
        <v>297</v>
      </c>
      <c r="E94" s="4">
        <v>5</v>
      </c>
      <c r="F94" s="4" t="s">
        <v>231</v>
      </c>
      <c r="G94" s="4"/>
      <c r="H94" s="4">
        <v>82141501</v>
      </c>
      <c r="I94" s="1">
        <v>64527</v>
      </c>
      <c r="J94" s="54">
        <f t="shared" si="24"/>
        <v>12260.130000000001</v>
      </c>
      <c r="K94" s="54">
        <f t="shared" si="25"/>
        <v>76787.13</v>
      </c>
      <c r="L94" s="54">
        <f t="shared" si="26"/>
        <v>80495.948379000009</v>
      </c>
      <c r="M94" s="55">
        <f t="shared" si="27"/>
        <v>402479.74189500004</v>
      </c>
      <c r="N94" s="273" t="s">
        <v>234</v>
      </c>
    </row>
    <row r="95" spans="1:74" ht="203" x14ac:dyDescent="0.35">
      <c r="A95" s="268">
        <v>5</v>
      </c>
      <c r="B95" s="4" t="s">
        <v>281</v>
      </c>
      <c r="C95" s="4" t="s">
        <v>296</v>
      </c>
      <c r="D95" s="10" t="s">
        <v>295</v>
      </c>
      <c r="E95" s="4">
        <v>20</v>
      </c>
      <c r="F95" s="4" t="s">
        <v>231</v>
      </c>
      <c r="G95" s="4"/>
      <c r="H95" s="4">
        <v>82141501</v>
      </c>
      <c r="I95" s="1">
        <v>41555</v>
      </c>
      <c r="J95" s="54">
        <f t="shared" si="24"/>
        <v>7895.45</v>
      </c>
      <c r="K95" s="54">
        <f t="shared" si="25"/>
        <v>49450.45</v>
      </c>
      <c r="L95" s="54">
        <f t="shared" si="26"/>
        <v>51838.906734999997</v>
      </c>
      <c r="M95" s="55">
        <f t="shared" si="27"/>
        <v>1036778.1346999999</v>
      </c>
      <c r="N95" s="273" t="s">
        <v>234</v>
      </c>
    </row>
    <row r="96" spans="1:74" ht="203" x14ac:dyDescent="0.35">
      <c r="A96" s="268">
        <v>6</v>
      </c>
      <c r="B96" s="4" t="s">
        <v>281</v>
      </c>
      <c r="C96" s="4" t="s">
        <v>294</v>
      </c>
      <c r="D96" s="10" t="s">
        <v>293</v>
      </c>
      <c r="E96" s="4">
        <v>50</v>
      </c>
      <c r="F96" s="4" t="s">
        <v>231</v>
      </c>
      <c r="G96" s="4"/>
      <c r="H96" s="4">
        <v>82141501</v>
      </c>
      <c r="I96" s="1">
        <v>41555</v>
      </c>
      <c r="J96" s="54">
        <f t="shared" si="24"/>
        <v>7895.45</v>
      </c>
      <c r="K96" s="54">
        <f t="shared" si="25"/>
        <v>49450.45</v>
      </c>
      <c r="L96" s="54">
        <f t="shared" si="26"/>
        <v>51838.906734999997</v>
      </c>
      <c r="M96" s="55">
        <f t="shared" si="27"/>
        <v>2591945.3367499998</v>
      </c>
      <c r="N96" s="273" t="s">
        <v>234</v>
      </c>
    </row>
    <row r="97" spans="1:14" ht="203" x14ac:dyDescent="0.35">
      <c r="A97" s="268">
        <v>7</v>
      </c>
      <c r="B97" s="4" t="s">
        <v>281</v>
      </c>
      <c r="C97" s="4" t="s">
        <v>292</v>
      </c>
      <c r="D97" s="10" t="s">
        <v>291</v>
      </c>
      <c r="E97" s="4">
        <v>200</v>
      </c>
      <c r="F97" s="4" t="s">
        <v>231</v>
      </c>
      <c r="G97" s="4"/>
      <c r="H97" s="4">
        <v>82131603</v>
      </c>
      <c r="I97" s="1">
        <v>13502</v>
      </c>
      <c r="J97" s="54">
        <f t="shared" si="24"/>
        <v>2565.38</v>
      </c>
      <c r="K97" s="54">
        <f t="shared" si="25"/>
        <v>16067.380000000001</v>
      </c>
      <c r="L97" s="54">
        <f t="shared" si="26"/>
        <v>16843.434454000002</v>
      </c>
      <c r="M97" s="55">
        <f>E97*L97</f>
        <v>3368686.8908000002</v>
      </c>
      <c r="N97" s="273" t="s">
        <v>234</v>
      </c>
    </row>
    <row r="98" spans="1:14" ht="203" x14ac:dyDescent="0.35">
      <c r="A98" s="268">
        <v>8</v>
      </c>
      <c r="B98" s="10" t="s">
        <v>281</v>
      </c>
      <c r="C98" s="10" t="s">
        <v>290</v>
      </c>
      <c r="D98" s="4" t="s">
        <v>289</v>
      </c>
      <c r="E98" s="10">
        <v>200</v>
      </c>
      <c r="F98" s="4" t="s">
        <v>288</v>
      </c>
      <c r="G98" s="10"/>
      <c r="H98" s="4">
        <v>82131603</v>
      </c>
      <c r="I98" s="1">
        <v>8800</v>
      </c>
      <c r="J98" s="54">
        <f t="shared" si="24"/>
        <v>1672</v>
      </c>
      <c r="K98" s="54">
        <f t="shared" si="25"/>
        <v>10472</v>
      </c>
      <c r="L98" s="54">
        <f t="shared" si="26"/>
        <v>10977.7976</v>
      </c>
      <c r="M98" s="55">
        <f t="shared" si="27"/>
        <v>2195559.52</v>
      </c>
      <c r="N98" s="273" t="s">
        <v>234</v>
      </c>
    </row>
    <row r="99" spans="1:14" ht="203" x14ac:dyDescent="0.35">
      <c r="A99" s="268">
        <v>9</v>
      </c>
      <c r="B99" s="4" t="s">
        <v>281</v>
      </c>
      <c r="C99" s="4" t="s">
        <v>287</v>
      </c>
      <c r="D99" s="10" t="s">
        <v>286</v>
      </c>
      <c r="E99" s="4">
        <v>200</v>
      </c>
      <c r="F99" s="4" t="s">
        <v>283</v>
      </c>
      <c r="G99" s="4"/>
      <c r="H99" s="4">
        <v>44121701</v>
      </c>
      <c r="I99" s="5">
        <v>1600</v>
      </c>
      <c r="J99" s="54">
        <f t="shared" si="24"/>
        <v>304</v>
      </c>
      <c r="K99" s="54">
        <f t="shared" si="25"/>
        <v>1904</v>
      </c>
      <c r="L99" s="54">
        <f t="shared" si="26"/>
        <v>1995.9631999999999</v>
      </c>
      <c r="M99" s="55">
        <f t="shared" si="27"/>
        <v>399192.63999999996</v>
      </c>
      <c r="N99" s="273" t="s">
        <v>234</v>
      </c>
    </row>
    <row r="100" spans="1:14" ht="203" x14ac:dyDescent="0.35">
      <c r="A100" s="268">
        <v>10</v>
      </c>
      <c r="B100" s="4" t="s">
        <v>281</v>
      </c>
      <c r="C100" s="4" t="s">
        <v>285</v>
      </c>
      <c r="D100" s="10" t="s">
        <v>284</v>
      </c>
      <c r="E100" s="4">
        <v>200</v>
      </c>
      <c r="F100" s="4" t="s">
        <v>283</v>
      </c>
      <c r="G100" s="4"/>
      <c r="H100" s="4">
        <v>44121701</v>
      </c>
      <c r="I100" s="5">
        <v>1600</v>
      </c>
      <c r="J100" s="54">
        <f t="shared" si="24"/>
        <v>304</v>
      </c>
      <c r="K100" s="54">
        <f t="shared" si="25"/>
        <v>1904</v>
      </c>
      <c r="L100" s="54">
        <f t="shared" si="26"/>
        <v>1995.9631999999999</v>
      </c>
      <c r="M100" s="55">
        <f t="shared" si="27"/>
        <v>399192.63999999996</v>
      </c>
      <c r="N100" s="275" t="s">
        <v>282</v>
      </c>
    </row>
    <row r="101" spans="1:14" ht="203" x14ac:dyDescent="0.35">
      <c r="A101" s="268">
        <v>11</v>
      </c>
      <c r="B101" s="4" t="s">
        <v>281</v>
      </c>
      <c r="C101" s="4" t="s">
        <v>280</v>
      </c>
      <c r="D101" s="10" t="s">
        <v>279</v>
      </c>
      <c r="E101" s="4">
        <v>1</v>
      </c>
      <c r="F101" s="4" t="s">
        <v>231</v>
      </c>
      <c r="G101" s="4"/>
      <c r="H101" s="4">
        <v>90131500</v>
      </c>
      <c r="I101" s="5">
        <f>800000</f>
        <v>800000</v>
      </c>
      <c r="J101" s="54">
        <f t="shared" si="24"/>
        <v>152000</v>
      </c>
      <c r="K101" s="54">
        <f t="shared" si="25"/>
        <v>952000</v>
      </c>
      <c r="L101" s="54">
        <f t="shared" si="26"/>
        <v>997981.6</v>
      </c>
      <c r="M101" s="55">
        <f t="shared" si="27"/>
        <v>997981.6</v>
      </c>
      <c r="N101" s="273" t="s">
        <v>234</v>
      </c>
    </row>
    <row r="102" spans="1:14" ht="203" x14ac:dyDescent="0.35">
      <c r="A102" s="268">
        <v>12</v>
      </c>
      <c r="B102" s="4" t="s">
        <v>278</v>
      </c>
      <c r="C102" s="4" t="s">
        <v>277</v>
      </c>
      <c r="D102" s="10" t="s">
        <v>276</v>
      </c>
      <c r="E102" s="4">
        <v>210</v>
      </c>
      <c r="F102" s="4" t="s">
        <v>231</v>
      </c>
      <c r="G102" s="4"/>
      <c r="H102" s="4">
        <v>24111503</v>
      </c>
      <c r="I102" s="5">
        <v>12333</v>
      </c>
      <c r="J102" s="54">
        <f t="shared" si="24"/>
        <v>2343.27</v>
      </c>
      <c r="K102" s="54">
        <f t="shared" si="25"/>
        <v>14676.27</v>
      </c>
      <c r="L102" s="54">
        <f t="shared" si="26"/>
        <v>15385.133841000001</v>
      </c>
      <c r="M102" s="55">
        <f t="shared" si="27"/>
        <v>3230878.1066100001</v>
      </c>
      <c r="N102" s="273" t="s">
        <v>234</v>
      </c>
    </row>
    <row r="103" spans="1:14" ht="203" x14ac:dyDescent="0.35">
      <c r="A103" s="268">
        <v>13</v>
      </c>
      <c r="B103" s="4" t="s">
        <v>270</v>
      </c>
      <c r="C103" s="5" t="s">
        <v>275</v>
      </c>
      <c r="D103" s="10" t="s">
        <v>274</v>
      </c>
      <c r="E103" s="5">
        <v>204</v>
      </c>
      <c r="F103" s="5" t="s">
        <v>231</v>
      </c>
      <c r="G103" s="4"/>
      <c r="H103" s="4">
        <v>42132203</v>
      </c>
      <c r="I103" s="16">
        <v>27779.1</v>
      </c>
      <c r="J103" s="54">
        <f t="shared" si="24"/>
        <v>5278.0289999999995</v>
      </c>
      <c r="K103" s="54">
        <f t="shared" si="25"/>
        <v>33057.129000000001</v>
      </c>
      <c r="L103" s="54">
        <f t="shared" si="26"/>
        <v>34653.788330700001</v>
      </c>
      <c r="M103" s="55">
        <f t="shared" si="27"/>
        <v>7069372.8194628004</v>
      </c>
      <c r="N103" s="269" t="s">
        <v>273</v>
      </c>
    </row>
    <row r="104" spans="1:14" ht="203" x14ac:dyDescent="0.35">
      <c r="A104" s="268">
        <v>14</v>
      </c>
      <c r="B104" s="4" t="s">
        <v>270</v>
      </c>
      <c r="C104" s="4" t="s">
        <v>272</v>
      </c>
      <c r="D104" s="10" t="s">
        <v>271</v>
      </c>
      <c r="E104" s="4">
        <v>230</v>
      </c>
      <c r="F104" s="4" t="s">
        <v>231</v>
      </c>
      <c r="G104" s="4"/>
      <c r="H104" s="4">
        <v>42131713</v>
      </c>
      <c r="I104" s="5">
        <v>59933</v>
      </c>
      <c r="J104" s="54">
        <f t="shared" si="24"/>
        <v>11387.27</v>
      </c>
      <c r="K104" s="54">
        <f t="shared" si="25"/>
        <v>71320.27</v>
      </c>
      <c r="L104" s="54">
        <f t="shared" si="26"/>
        <v>74765.039041000011</v>
      </c>
      <c r="M104" s="14">
        <f>L104*E104</f>
        <v>17195958.979430001</v>
      </c>
      <c r="N104" s="273" t="s">
        <v>234</v>
      </c>
    </row>
    <row r="105" spans="1:14" ht="203" x14ac:dyDescent="0.35">
      <c r="A105" s="268">
        <v>15</v>
      </c>
      <c r="B105" s="4" t="s">
        <v>270</v>
      </c>
      <c r="C105" s="10" t="s">
        <v>269</v>
      </c>
      <c r="D105" s="4" t="s">
        <v>268</v>
      </c>
      <c r="E105" s="10">
        <v>200</v>
      </c>
      <c r="F105" s="4" t="s">
        <v>231</v>
      </c>
      <c r="G105" s="10"/>
      <c r="H105" s="4">
        <v>53102504</v>
      </c>
      <c r="I105" s="5">
        <v>18033</v>
      </c>
      <c r="J105" s="54">
        <f t="shared" si="24"/>
        <v>3426.27</v>
      </c>
      <c r="K105" s="54">
        <f t="shared" si="25"/>
        <v>21459.27</v>
      </c>
      <c r="L105" s="54">
        <f t="shared" si="26"/>
        <v>22495.752741</v>
      </c>
      <c r="M105" s="55">
        <f>E105*L105</f>
        <v>4499150.5482000001</v>
      </c>
      <c r="N105" s="273" t="s">
        <v>234</v>
      </c>
    </row>
    <row r="106" spans="1:14" ht="261" x14ac:dyDescent="0.35">
      <c r="A106" s="268">
        <v>18</v>
      </c>
      <c r="B106" s="4" t="s">
        <v>233</v>
      </c>
      <c r="C106" s="4" t="s">
        <v>267</v>
      </c>
      <c r="D106" s="10" t="s">
        <v>470</v>
      </c>
      <c r="E106" s="4">
        <v>1</v>
      </c>
      <c r="F106" s="4" t="s">
        <v>231</v>
      </c>
      <c r="G106" s="4"/>
      <c r="H106" s="4">
        <v>43232408</v>
      </c>
      <c r="I106" s="5">
        <v>1026861</v>
      </c>
      <c r="J106" s="54">
        <f t="shared" si="24"/>
        <v>195103.59</v>
      </c>
      <c r="K106" s="54">
        <f t="shared" si="25"/>
        <v>1221964.5900000001</v>
      </c>
      <c r="L106" s="54">
        <f t="shared" si="26"/>
        <v>1280985.479697</v>
      </c>
      <c r="M106" s="55">
        <f>E106*L106</f>
        <v>1280985.479697</v>
      </c>
      <c r="N106" s="274" t="s">
        <v>266</v>
      </c>
    </row>
    <row r="107" spans="1:14" ht="203" x14ac:dyDescent="0.35">
      <c r="A107" s="268"/>
      <c r="B107" s="4" t="s">
        <v>233</v>
      </c>
      <c r="C107" s="4" t="s">
        <v>265</v>
      </c>
      <c r="D107" s="10" t="s">
        <v>264</v>
      </c>
      <c r="E107" s="10">
        <v>200</v>
      </c>
      <c r="F107" s="4" t="s">
        <v>231</v>
      </c>
      <c r="G107" s="10"/>
      <c r="H107" s="4">
        <v>24111503</v>
      </c>
      <c r="I107" s="5">
        <v>12333</v>
      </c>
      <c r="J107" s="54">
        <f t="shared" si="24"/>
        <v>2343.27</v>
      </c>
      <c r="K107" s="54">
        <f t="shared" si="25"/>
        <v>14676.27</v>
      </c>
      <c r="L107" s="54">
        <f t="shared" si="26"/>
        <v>15385.133841000001</v>
      </c>
      <c r="M107" s="55">
        <f>E107*L107</f>
        <v>3077026.7682000003</v>
      </c>
      <c r="N107" s="273" t="s">
        <v>234</v>
      </c>
    </row>
    <row r="108" spans="1:14" ht="203" x14ac:dyDescent="0.35">
      <c r="A108" s="268"/>
      <c r="B108" s="4" t="s">
        <v>233</v>
      </c>
      <c r="C108" s="10" t="s">
        <v>263</v>
      </c>
      <c r="D108" s="10" t="s">
        <v>262</v>
      </c>
      <c r="E108" s="10">
        <v>200</v>
      </c>
      <c r="F108" s="4" t="s">
        <v>231</v>
      </c>
      <c r="G108" s="10"/>
      <c r="H108" s="4">
        <v>24111503</v>
      </c>
      <c r="I108" s="5">
        <v>12333</v>
      </c>
      <c r="J108" s="54">
        <f t="shared" si="24"/>
        <v>2343.27</v>
      </c>
      <c r="K108" s="54">
        <f t="shared" si="25"/>
        <v>14676.27</v>
      </c>
      <c r="L108" s="54">
        <f t="shared" si="26"/>
        <v>15385.133841000001</v>
      </c>
      <c r="M108" s="55">
        <f>E108*L108</f>
        <v>3077026.7682000003</v>
      </c>
      <c r="N108" s="273" t="s">
        <v>234</v>
      </c>
    </row>
    <row r="109" spans="1:14" ht="203" x14ac:dyDescent="0.35">
      <c r="A109" s="268"/>
      <c r="B109" s="4" t="s">
        <v>233</v>
      </c>
      <c r="C109" s="4" t="s">
        <v>261</v>
      </c>
      <c r="D109" s="10" t="s">
        <v>260</v>
      </c>
      <c r="E109" s="10" t="s">
        <v>259</v>
      </c>
      <c r="F109" s="4" t="s">
        <v>231</v>
      </c>
      <c r="G109" s="10"/>
      <c r="H109" s="4">
        <v>55121606</v>
      </c>
      <c r="I109" s="5">
        <v>45000</v>
      </c>
      <c r="J109" s="54">
        <f t="shared" si="24"/>
        <v>8550</v>
      </c>
      <c r="K109" s="54">
        <f t="shared" si="25"/>
        <v>53550</v>
      </c>
      <c r="L109" s="54">
        <f t="shared" si="26"/>
        <v>56136.465000000004</v>
      </c>
      <c r="M109" s="55">
        <f>L109*10</f>
        <v>561364.65</v>
      </c>
      <c r="N109" s="273" t="s">
        <v>234</v>
      </c>
    </row>
    <row r="110" spans="1:14" ht="261" x14ac:dyDescent="0.35">
      <c r="A110" s="268"/>
      <c r="B110" s="4" t="s">
        <v>233</v>
      </c>
      <c r="C110" s="4" t="s">
        <v>258</v>
      </c>
      <c r="D110" s="10" t="s">
        <v>257</v>
      </c>
      <c r="E110" s="10">
        <v>200</v>
      </c>
      <c r="F110" s="4" t="s">
        <v>231</v>
      </c>
      <c r="G110" s="10"/>
      <c r="H110" s="4">
        <v>24112000</v>
      </c>
      <c r="I110" s="5">
        <v>270537</v>
      </c>
      <c r="J110" s="54">
        <f t="shared" si="24"/>
        <v>51402.03</v>
      </c>
      <c r="K110" s="54">
        <f t="shared" si="25"/>
        <v>321939.03000000003</v>
      </c>
      <c r="L110" s="54">
        <f t="shared" si="26"/>
        <v>337488.68514900003</v>
      </c>
      <c r="M110" s="55">
        <f>I110*E110</f>
        <v>54107400</v>
      </c>
      <c r="N110" s="275" t="s">
        <v>256</v>
      </c>
    </row>
    <row r="111" spans="1:14" ht="203" x14ac:dyDescent="0.35">
      <c r="A111" s="268"/>
      <c r="B111" s="4" t="s">
        <v>233</v>
      </c>
      <c r="C111" s="4" t="s">
        <v>255</v>
      </c>
      <c r="D111" s="10" t="s">
        <v>254</v>
      </c>
      <c r="E111" s="10">
        <v>200</v>
      </c>
      <c r="F111" s="4" t="s">
        <v>231</v>
      </c>
      <c r="G111" s="10"/>
      <c r="H111" s="4">
        <v>24122002</v>
      </c>
      <c r="I111" s="4" t="s">
        <v>253</v>
      </c>
      <c r="J111" s="13" t="s">
        <v>252</v>
      </c>
      <c r="K111" s="13"/>
      <c r="L111" s="54">
        <f t="shared" si="26"/>
        <v>0</v>
      </c>
      <c r="M111" s="12" t="s">
        <v>251</v>
      </c>
      <c r="N111" s="273" t="s">
        <v>234</v>
      </c>
    </row>
    <row r="112" spans="1:14" ht="203" x14ac:dyDescent="0.35">
      <c r="A112" s="268"/>
      <c r="B112" s="4" t="s">
        <v>233</v>
      </c>
      <c r="C112" s="4" t="s">
        <v>250</v>
      </c>
      <c r="D112" s="10" t="s">
        <v>249</v>
      </c>
      <c r="E112" s="10">
        <v>200</v>
      </c>
      <c r="F112" s="4" t="s">
        <v>231</v>
      </c>
      <c r="G112" s="10"/>
      <c r="H112" s="4">
        <v>40161500</v>
      </c>
      <c r="I112" s="1">
        <v>13502</v>
      </c>
      <c r="J112" s="54">
        <f t="shared" ref="J112:J118" si="28">I112*19%</f>
        <v>2565.38</v>
      </c>
      <c r="K112" s="54">
        <f t="shared" ref="K112:K118" si="29">I112+J112</f>
        <v>16067.380000000001</v>
      </c>
      <c r="L112" s="54">
        <f t="shared" si="26"/>
        <v>16843.434454000002</v>
      </c>
      <c r="M112" s="55">
        <f>E112*L112</f>
        <v>3368686.8908000002</v>
      </c>
      <c r="N112" s="273" t="s">
        <v>234</v>
      </c>
    </row>
    <row r="113" spans="1:14" ht="203" x14ac:dyDescent="0.35">
      <c r="A113" s="268"/>
      <c r="B113" s="4" t="s">
        <v>233</v>
      </c>
      <c r="C113" s="4" t="s">
        <v>248</v>
      </c>
      <c r="D113" s="10" t="s">
        <v>247</v>
      </c>
      <c r="E113" s="10">
        <v>200</v>
      </c>
      <c r="F113" s="4" t="s">
        <v>231</v>
      </c>
      <c r="G113" s="10"/>
      <c r="H113" s="4">
        <v>14111514</v>
      </c>
      <c r="I113" s="1">
        <v>14300</v>
      </c>
      <c r="J113" s="54">
        <f t="shared" si="28"/>
        <v>2717</v>
      </c>
      <c r="K113" s="54">
        <f t="shared" si="29"/>
        <v>17017</v>
      </c>
      <c r="L113" s="54">
        <f t="shared" si="26"/>
        <v>17838.9211</v>
      </c>
      <c r="M113" s="55">
        <f>L113*200</f>
        <v>3567784.2199999997</v>
      </c>
      <c r="N113" s="273" t="s">
        <v>234</v>
      </c>
    </row>
    <row r="114" spans="1:14" ht="72.5" x14ac:dyDescent="0.35">
      <c r="A114" s="268"/>
      <c r="B114" s="4" t="s">
        <v>233</v>
      </c>
      <c r="C114" s="4" t="s">
        <v>246</v>
      </c>
      <c r="D114" s="10" t="s">
        <v>245</v>
      </c>
      <c r="E114" s="10">
        <v>40</v>
      </c>
      <c r="F114" s="4" t="s">
        <v>231</v>
      </c>
      <c r="G114" s="10"/>
      <c r="H114" s="4">
        <v>44121702</v>
      </c>
      <c r="I114" s="1">
        <v>8933</v>
      </c>
      <c r="J114" s="54">
        <f t="shared" si="28"/>
        <v>1697.27</v>
      </c>
      <c r="K114" s="54">
        <f t="shared" si="29"/>
        <v>10630.27</v>
      </c>
      <c r="L114" s="54">
        <f t="shared" si="26"/>
        <v>11143.712041000001</v>
      </c>
      <c r="M114" s="55">
        <f>L114*40</f>
        <v>445748.48164000001</v>
      </c>
      <c r="N114" s="274">
        <v>350</v>
      </c>
    </row>
    <row r="115" spans="1:14" ht="261" x14ac:dyDescent="0.35">
      <c r="A115" s="268"/>
      <c r="B115" s="4" t="s">
        <v>233</v>
      </c>
      <c r="C115" s="4" t="s">
        <v>244</v>
      </c>
      <c r="D115" s="10" t="s">
        <v>243</v>
      </c>
      <c r="E115" s="10">
        <v>200</v>
      </c>
      <c r="F115" s="4" t="s">
        <v>231</v>
      </c>
      <c r="G115" s="10"/>
      <c r="H115" s="4">
        <v>46181501</v>
      </c>
      <c r="I115" s="1">
        <v>15000</v>
      </c>
      <c r="J115" s="54">
        <f t="shared" si="28"/>
        <v>2850</v>
      </c>
      <c r="K115" s="54">
        <f t="shared" si="29"/>
        <v>17850</v>
      </c>
      <c r="L115" s="54">
        <f t="shared" si="26"/>
        <v>18712.154999999999</v>
      </c>
      <c r="M115" s="55">
        <f>L115*200</f>
        <v>3742431</v>
      </c>
      <c r="N115" s="275" t="s">
        <v>242</v>
      </c>
    </row>
    <row r="116" spans="1:14" ht="203" x14ac:dyDescent="0.35">
      <c r="A116" s="268"/>
      <c r="B116" s="4" t="s">
        <v>233</v>
      </c>
      <c r="C116" s="4" t="s">
        <v>241</v>
      </c>
      <c r="D116" s="10" t="s">
        <v>240</v>
      </c>
      <c r="E116" s="10" t="s">
        <v>239</v>
      </c>
      <c r="F116" s="4" t="s">
        <v>231</v>
      </c>
      <c r="G116" s="10"/>
      <c r="H116" s="4">
        <v>60121000</v>
      </c>
      <c r="I116" s="1">
        <v>13502</v>
      </c>
      <c r="J116" s="54">
        <f t="shared" si="28"/>
        <v>2565.38</v>
      </c>
      <c r="K116" s="54">
        <f t="shared" si="29"/>
        <v>16067.380000000001</v>
      </c>
      <c r="L116" s="54">
        <f t="shared" si="26"/>
        <v>16843.434454000002</v>
      </c>
      <c r="M116" s="55">
        <f>20*L116</f>
        <v>336868.68908000004</v>
      </c>
      <c r="N116" s="273" t="s">
        <v>234</v>
      </c>
    </row>
    <row r="117" spans="1:14" ht="203" x14ac:dyDescent="0.35">
      <c r="A117" s="268"/>
      <c r="B117" s="4" t="s">
        <v>233</v>
      </c>
      <c r="C117" s="10" t="s">
        <v>238</v>
      </c>
      <c r="D117" s="10" t="s">
        <v>237</v>
      </c>
      <c r="E117" s="10">
        <v>15</v>
      </c>
      <c r="F117" s="4" t="s">
        <v>231</v>
      </c>
      <c r="G117" s="10"/>
      <c r="H117" s="4">
        <v>44121708</v>
      </c>
      <c r="I117" s="1">
        <v>2617</v>
      </c>
      <c r="J117" s="54">
        <f t="shared" si="28"/>
        <v>497.23</v>
      </c>
      <c r="K117" s="54">
        <f t="shared" si="29"/>
        <v>3114.23</v>
      </c>
      <c r="L117" s="54">
        <f t="shared" si="26"/>
        <v>3264.647309</v>
      </c>
      <c r="M117" s="55">
        <f>L117*E117-(2011.06)</f>
        <v>46958.649635000002</v>
      </c>
      <c r="N117" s="275" t="s">
        <v>234</v>
      </c>
    </row>
    <row r="118" spans="1:14" ht="129" customHeight="1" x14ac:dyDescent="0.35">
      <c r="A118" s="268"/>
      <c r="B118" s="4" t="s">
        <v>233</v>
      </c>
      <c r="C118" s="10" t="s">
        <v>236</v>
      </c>
      <c r="D118" s="10" t="s">
        <v>235</v>
      </c>
      <c r="E118" s="10">
        <v>400</v>
      </c>
      <c r="F118" s="4" t="s">
        <v>231</v>
      </c>
      <c r="G118" s="10"/>
      <c r="H118" s="4">
        <v>90101602</v>
      </c>
      <c r="I118" s="5">
        <v>29675</v>
      </c>
      <c r="J118" s="54">
        <f t="shared" si="28"/>
        <v>5638.25</v>
      </c>
      <c r="K118" s="54">
        <f t="shared" si="29"/>
        <v>35313.25</v>
      </c>
      <c r="L118" s="54">
        <f t="shared" si="26"/>
        <v>37018.879975000003</v>
      </c>
      <c r="M118" s="55">
        <f>E118*L118</f>
        <v>14807551.990000002</v>
      </c>
      <c r="N118" s="273" t="s">
        <v>234</v>
      </c>
    </row>
    <row r="119" spans="1:14" ht="189" thickBot="1" x14ac:dyDescent="0.4">
      <c r="A119" s="285"/>
      <c r="B119" s="286" t="s">
        <v>233</v>
      </c>
      <c r="C119" s="286" t="s">
        <v>232</v>
      </c>
      <c r="D119" s="286" t="s">
        <v>599</v>
      </c>
      <c r="E119" s="287">
        <v>280</v>
      </c>
      <c r="F119" s="286" t="s">
        <v>231</v>
      </c>
      <c r="G119" s="287"/>
      <c r="H119" s="286">
        <v>50192701</v>
      </c>
      <c r="I119" s="288">
        <f>13502</f>
        <v>13502</v>
      </c>
      <c r="J119" s="288">
        <f>+I119*0.19</f>
        <v>2565.38</v>
      </c>
      <c r="K119" s="288">
        <f>+I119+J119</f>
        <v>16067.380000000001</v>
      </c>
      <c r="L119" s="289">
        <f>+K119*1.0483</f>
        <v>16843.434454000002</v>
      </c>
      <c r="M119" s="289">
        <f>E119*L119</f>
        <v>4716161.6471200008</v>
      </c>
      <c r="N119" s="290" t="s">
        <v>125</v>
      </c>
    </row>
    <row r="120" spans="1:14" ht="30.5" customHeight="1" thickBot="1" x14ac:dyDescent="0.4">
      <c r="A120" s="258" t="s">
        <v>230</v>
      </c>
      <c r="B120" s="259"/>
      <c r="C120" s="259"/>
      <c r="D120" s="259"/>
      <c r="E120" s="259"/>
      <c r="F120" s="259"/>
      <c r="G120" s="259"/>
      <c r="H120" s="260"/>
      <c r="I120" s="261"/>
      <c r="J120" s="262">
        <f>SUM(M91:M119)</f>
        <v>159915660.03735682</v>
      </c>
      <c r="K120" s="263"/>
      <c r="L120" s="263"/>
      <c r="M120" s="264"/>
      <c r="N120" s="265"/>
    </row>
    <row r="121" spans="1:14" ht="33.5" customHeight="1" thickBot="1" x14ac:dyDescent="0.4">
      <c r="A121" s="163" t="s">
        <v>229</v>
      </c>
      <c r="B121" s="164"/>
      <c r="C121" s="164"/>
      <c r="D121" s="164"/>
      <c r="E121" s="164"/>
      <c r="F121" s="164"/>
      <c r="G121" s="164"/>
      <c r="H121" s="202"/>
      <c r="I121" s="56"/>
      <c r="J121" s="203">
        <f>J24+J59+J89+J120</f>
        <v>390748831.47550476</v>
      </c>
      <c r="K121" s="204"/>
      <c r="L121" s="204"/>
      <c r="M121" s="205"/>
    </row>
    <row r="129" spans="12:12" x14ac:dyDescent="0.35">
      <c r="L129" s="144"/>
    </row>
  </sheetData>
  <autoFilter ref="A6:N121" xr:uid="{435CE11A-D183-42FD-9C2F-EE237F8537E2}">
    <filterColumn colId="9" showButton="0"/>
    <filterColumn colId="10" showButton="0"/>
    <filterColumn colId="11" showButton="0"/>
  </autoFilter>
  <mergeCells count="33">
    <mergeCell ref="A8:N8"/>
    <mergeCell ref="A5:N5"/>
    <mergeCell ref="A1:B3"/>
    <mergeCell ref="D1:M1"/>
    <mergeCell ref="D2:M2"/>
    <mergeCell ref="C3:M3"/>
    <mergeCell ref="A4:N4"/>
    <mergeCell ref="A59:H59"/>
    <mergeCell ref="A121:H121"/>
    <mergeCell ref="J121:M121"/>
    <mergeCell ref="A89:H89"/>
    <mergeCell ref="J89:M89"/>
    <mergeCell ref="A90:N90"/>
    <mergeCell ref="A120:H120"/>
    <mergeCell ref="J120:M120"/>
    <mergeCell ref="J59:M59"/>
    <mergeCell ref="A60:N60"/>
    <mergeCell ref="A24:H24"/>
    <mergeCell ref="J24:M24"/>
    <mergeCell ref="M6:M7"/>
    <mergeCell ref="N6:N7"/>
    <mergeCell ref="A25:N25"/>
    <mergeCell ref="A6:A7"/>
    <mergeCell ref="B6:B7"/>
    <mergeCell ref="K6:K7"/>
    <mergeCell ref="J6:J7"/>
    <mergeCell ref="L6:L7"/>
    <mergeCell ref="C6:C7"/>
    <mergeCell ref="D6:D7"/>
    <mergeCell ref="E6:E7"/>
    <mergeCell ref="F6:F7"/>
    <mergeCell ref="G6:G7"/>
    <mergeCell ref="H6:H7"/>
  </mergeCells>
  <conditionalFormatting sqref="C18:C21">
    <cfRule type="cellIs" dxfId="7" priority="8" operator="equal">
      <formula>0</formula>
    </cfRule>
  </conditionalFormatting>
  <conditionalFormatting sqref="E18:E21">
    <cfRule type="cellIs" dxfId="6" priority="5" operator="equal">
      <formula>0</formula>
    </cfRule>
  </conditionalFormatting>
  <conditionalFormatting sqref="N18:N21">
    <cfRule type="cellIs" dxfId="4" priority="7" operator="equal">
      <formula>0</formula>
    </cfRule>
  </conditionalFormatting>
  <conditionalFormatting sqref="C16:C17">
    <cfRule type="cellIs" dxfId="3" priority="4" operator="equal">
      <formula>0</formula>
    </cfRule>
  </conditionalFormatting>
  <conditionalFormatting sqref="E16:E17">
    <cfRule type="cellIs" dxfId="2" priority="1" operator="equal">
      <formula>0</formula>
    </cfRule>
  </conditionalFormatting>
  <conditionalFormatting sqref="N16:N17">
    <cfRule type="cellIs" dxfId="0" priority="3" operator="equal">
      <formula>0</formula>
    </cfRule>
  </conditionalFormatting>
  <hyperlinks>
    <hyperlink ref="N9" r:id="rId1" xr:uid="{2F692DE0-1387-44CA-91BF-A2DC8213472E}"/>
    <hyperlink ref="N10" r:id="rId2" xr:uid="{E0236A26-0412-4274-8D5F-B5AFF0067B22}"/>
    <hyperlink ref="N11" r:id="rId3" xr:uid="{40A9BC89-CE09-4BCB-B649-8CEEB682A6F4}"/>
    <hyperlink ref="N12" r:id="rId4" xr:uid="{CF3E2D7A-89CF-4AE3-8728-EDE820C8F5CB}"/>
    <hyperlink ref="N13:N15" r:id="rId5" display="FDLAN-MCA-013-2024" xr:uid="{BC9C99D6-F73E-4157-9EEB-BB89DC8D2221}"/>
    <hyperlink ref="N44" r:id="rId6" display="https://www.secop.gov.co/CO1BusinessLine/Tendering/ContractNoticeView/Index?prevCtxLbl=Buscar+procesos&amp;prevCtxUrl=https%3a%2f%2fwww.secop.gov.co%3a443%2fCO1BusinessLine%2fTendering%2fContractNoticeManagement%2fIndex&amp;notice=CO1.NTC.7109314" xr:uid="{48A43FFD-0C92-4F67-A72C-CA1F81FE9CC0}"/>
    <hyperlink ref="N110" r:id="rId7" xr:uid="{2820CCA7-7918-4CB4-B1BD-AAEAE0C5436E}"/>
    <hyperlink ref="N115" r:id="rId8" display="https://www.secop.gov.co/CO1BusinessLine/Tendering/ContractNoticeView/Index?prevCtxLbl=Buscar+procesos&amp;prevCtxUrl=https%3a%2f%2fwww.secop.gov.co%3a443%2fCO1BusinessLine%2fTendering%2fContractNoticeManagement%2fIndex&amp;notice=CO1.NTC.7969785" xr:uid="{E5FD740C-5CD2-47EF-AD80-FFF9C494D760}"/>
    <hyperlink ref="N46" r:id="rId9" xr:uid="{B6E74C96-4585-4DFD-9173-0662F85972CC}"/>
    <hyperlink ref="N103" r:id="rId10" xr:uid="{79C55EE7-5422-46C2-AF15-11D197D08E3C}"/>
    <hyperlink ref="N48" r:id="rId11" display="https://www.secop.gov.co/CO1BusinessLine/Tendering/ContractNoticeView/Index?prevCtxLbl=Buscar+procesos&amp;prevCtxUrl=https%3a%2f%2fwww.secop.gov.co%3a443%2fCO1BusinessLine%2fTendering%2fContractNoticeManagement%2fIndex&amp;notice=CO1.NTC.4890587" xr:uid="{328CC343-F07A-4D86-A706-9459610E8747}"/>
    <hyperlink ref="N50" r:id="rId12" display="https://www.secop.gov.co/CO1BusinessLine/Tendering/ContractNoticeView/Index?prevCtxLbl=Buscar+procesos&amp;prevCtxUrl=https%3a%2f%2fwww.secop.gov.co%3a443%2fCO1BusinessLine%2fTendering%2fContractNoticeManagement%2fIndex&amp;notice=CO1.NTC.8384511" xr:uid="{74209EB3-7069-476A-8A55-4E9EB7CB9340}"/>
    <hyperlink ref="N52" r:id="rId13" display="https://www.secop.gov.co/CO1BusinessLine/Tendering/ContractNoticeView/Index?prevCtxLbl=Buscar+procesos&amp;prevCtxUrl=https%3a%2f%2fwww.secop.gov.co%3a443%2fCO1BusinessLine%2fTendering%2fContractNoticeManagement%2fIndex&amp;notice=CO1.NTC.8384511" xr:uid="{93B76C38-0468-43CC-A40D-4FD23DADBEEF}"/>
    <hyperlink ref="N39" r:id="rId14" display="https://community.secop.gov.co/Public/Tendering/OpportunityDetail/Index?noticeUID=CO1.NTC.6324564&amp;isFromPublicArea=True&amp;isModal=False" xr:uid="{0CF069C2-60F4-45ED-9037-142EB1FA2180}"/>
    <hyperlink ref="N40" r:id="rId15" display="https://community.secop.gov.co/Public/Tendering/OpportunityDetail/Index?noticeUID=CO1.NTC.6324564&amp;isFromPublicArea=True&amp;isModal=False" xr:uid="{670A2702-5D80-46AF-AAC7-B4816D4A8EC5}"/>
    <hyperlink ref="N41:N42" r:id="rId16" display="https://community.secop.gov.co/Public/Tendering/OpportunityDetail/Index?noticeUID=CO1.NTC.6324564&amp;isFromPublicArea=True&amp;isModal=False" xr:uid="{CDB40167-9069-4353-B8EC-49EC257D4766}"/>
    <hyperlink ref="N64" r:id="rId17" xr:uid="{8B02AD0E-74C9-4EF4-9FE7-D17787491DCF}"/>
    <hyperlink ref="N65:N82" r:id="rId18" display="https://community.secop.gov.co/Public/Tendering/OpportunityDetail/Index?noticeUID=CO1.NTC.6324564&amp;isFromPublicArea=True&amp;isModal=False _x000a_ANTONIO NARIÑO 350 -  FDLAN-LP-003-2024 " xr:uid="{98071594-06F9-4A0D-9892-3207602B3E58}"/>
    <hyperlink ref="N84:N87" r:id="rId19" display="https://community.secop.gov.co/Public/Tendering/OpportunityDetail/Index?noticeUID=CO1.NTC.6324564&amp;isFromPublicArea=True&amp;isModal=False _x000a_ANTONIO NARIÑO 350 -  FDLAN-LP-003-2024 " xr:uid="{BE35EFDF-7400-426F-8751-143123FB7035}"/>
    <hyperlink ref="N93" r:id="rId20" xr:uid="{0FBD8297-7DBC-4DB8-AF2C-1FA6BA3AE06E}"/>
    <hyperlink ref="N94" r:id="rId21" xr:uid="{CFE13D22-4503-4AF5-B18A-EFB627EB7122}"/>
    <hyperlink ref="N95" r:id="rId22" xr:uid="{3DA2157F-CA8A-4A71-BE39-478A67B07E0F}"/>
    <hyperlink ref="N96" r:id="rId23" xr:uid="{06C58593-5F5C-4325-B309-83A5E302A75C}"/>
    <hyperlink ref="N97" r:id="rId24" xr:uid="{26181B35-1D2A-41A4-945B-A92D024C1DC7}"/>
    <hyperlink ref="N98" r:id="rId25" xr:uid="{1FE172CF-E4B6-4E81-BEC0-A2E625E5A80F}"/>
    <hyperlink ref="N99" r:id="rId26" xr:uid="{2CECEC9D-E2FC-4B49-A377-0409BD7CD93C}"/>
    <hyperlink ref="N100" r:id="rId27" xr:uid="{93AB724C-2A2E-4862-8293-6A193DD9357F}"/>
    <hyperlink ref="N101" r:id="rId28" display="https://community.secop.gov.co/Public/Tendering/OpportunityDetail/Index?noticeUID=CO1.NTC.6324564&amp;isFromPublicArea=True&amp;isModal=False%2520ANTONIO%2520NARI%C3%91O%2520350%2520-%2520%2520FDLAN-LP-003-2024" xr:uid="{AE6AC345-E3BD-4084-B4F7-9B3CF1E0A1B5}"/>
    <hyperlink ref="N102" r:id="rId29" display="https://community.secop.gov.co/Public/Tendering/OpportunityDetail/Index?noticeUID=CO1.NTC.6324564&amp;isFromPublicArea=True&amp;isModal=False%2520ANTONIO%2520NARI%C3%91O%2520350%2520-%2520%2520FDLAN-LP-003-2024" xr:uid="{CFD078D1-FBC5-4C2D-8D0D-68DD5965AEEE}"/>
    <hyperlink ref="N104" r:id="rId30" display="https://community.secop.gov.co/Public/Tendering/OpportunityDetail/Index?noticeUID=CO1.NTC.6324564&amp;isFromPublicArea=True&amp;isModal=False%2520ANTONIO%2520NARI%C3%91O%2520350%2520-%2520%2520FDLAN-LP-003-2024" xr:uid="{2AD3B8DA-730C-410D-A55A-E31A7EB3A699}"/>
    <hyperlink ref="N105" r:id="rId31" display="https://community.secop.gov.co/Public/Tendering/OpportunityDetail/Index?noticeUID=CO1.NTC.6324564&amp;isFromPublicArea=True&amp;isModal=False%2520ANTONIO%2520NARI%C3%91O%2520350%2520-%2520%2520FDLAN-LP-003-2024" xr:uid="{9DF0A851-8EBE-417C-8454-A5CC5C57725C}"/>
    <hyperlink ref="N107" r:id="rId32" display="https://community.secop.gov.co/Public/Tendering/OpportunityDetail/Index?noticeUID=CO1.NTC.6324564&amp;isFromPublicArea=True&amp;isModal=False%2520ANTONIO%2520NARI%C3%91O%2520350%2520-%2520%2520FDLAN-LP-003-2024" xr:uid="{FE3AA840-486A-4C8C-AD93-0FB7CBDF5F65}"/>
    <hyperlink ref="N108" r:id="rId33" display="https://community.secop.gov.co/Public/Tendering/OpportunityDetail/Index?noticeUID=CO1.NTC.6324564&amp;isFromPublicArea=True&amp;isModal=False%2520ANTONIO%2520NARI%C3%91O%2520350%2520-%2520%2520FDLAN-LP-003-2024" xr:uid="{19FF32F2-8593-4F5B-9C0D-3BD54BCC205F}"/>
    <hyperlink ref="N109" r:id="rId34" display="https://community.secop.gov.co/Public/Tendering/OpportunityDetail/Index?noticeUID=CO1.NTC.6324564&amp;isFromPublicArea=True&amp;isModal=False%2520ANTONIO%2520NARI%C3%91O%2520350%2520-%2520%2520FDLAN-LP-003-2024" xr:uid="{5059A912-FFFB-4750-88C2-08669DA4A1C9}"/>
    <hyperlink ref="N111" r:id="rId35" display="https://community.secop.gov.co/Public/Tendering/OpportunityDetail/Index?noticeUID=CO1.NTC.6324564&amp;isFromPublicArea=True&amp;isModal=False%2520ANTONIO%2520NARI%C3%91O%2520350%2520-%2520%2520FDLAN-LP-003-2024" xr:uid="{42D883CD-36A4-41C4-87B2-225D779D3DFB}"/>
    <hyperlink ref="N112" r:id="rId36" display="https://community.secop.gov.co/Public/Tendering/OpportunityDetail/Index?noticeUID=CO1.NTC.6324564&amp;isFromPublicArea=True&amp;isModal=False%2520ANTONIO%2520NARI%C3%91O%2520350%2520-%2520%2520FDLAN-LP-003-2024" xr:uid="{7178250F-BC07-4D4C-A9EB-089532818E8C}"/>
    <hyperlink ref="N113" r:id="rId37" display="https://community.secop.gov.co/Public/Tendering/OpportunityDetail/Index?noticeUID=CO1.NTC.6324564&amp;isFromPublicArea=True&amp;isModal=False%2520ANTONIO%2520NARI%C3%91O%2520350%2520-%2520%2520FDLAN-LP-003-2024" xr:uid="{5DF3318E-96E8-4447-9415-9A09A1943B69}"/>
    <hyperlink ref="N116" r:id="rId38" display="https://community.secop.gov.co/Public/Tendering/OpportunityDetail/Index?noticeUID=CO1.NTC.6324564&amp;isFromPublicArea=True&amp;isModal=False%2520ANTONIO%2520NARI%C3%91O%2520350%2520-%2520%2520FDLAN-LP-003-2024" xr:uid="{C535395F-698E-46AA-BC00-4688F596F24C}"/>
    <hyperlink ref="N117" r:id="rId39" xr:uid="{0BD6E43F-22DD-4594-BE3F-AB4387100C13}"/>
    <hyperlink ref="N118" r:id="rId40" display="https://community.secop.gov.co/Public/Tendering/OpportunityDetail/Index?noticeUID=CO1.NTC.6324564&amp;isFromPublicArea=True&amp;isModal=False%2520ANTONIO%2520NARI%C3%91O%2520350%2520-%2520%2520FDLAN-LP-003-2024" xr:uid="{9861883D-FCE4-4D97-8275-AC03EC1A6054}"/>
    <hyperlink ref="N31" r:id="rId41" xr:uid="{5B9C76DF-7B85-4A40-AC3A-309FEE4FF739}"/>
    <hyperlink ref="N29" r:id="rId42" xr:uid="{7215FE14-A5E6-4EE0-B483-CE2ECD1BAF37}"/>
    <hyperlink ref="N30" r:id="rId43" xr:uid="{A2AA9121-7C17-493D-AA30-9D7A5EB17C33}"/>
    <hyperlink ref="N32:N37" r:id="rId44" display="https://community.secop.gov.co/Public/Tendering/OpportunityDetail/Index?noticeUID=CO1.NTC.6324564&amp;isFromPublicArea=True&amp;isModal=False _x000a_ANTONIO NARIÑO 350 -  FDLAN-LP-003-2024 " xr:uid="{BDDD74BE-4477-4884-A7F1-825645D9531A}"/>
    <hyperlink ref="N47" r:id="rId45" xr:uid="{CAFEFEBD-35CC-444D-AA5E-43BC88BBF8A8}"/>
    <hyperlink ref="N51" r:id="rId46" xr:uid="{89EB56C7-FE44-465E-AD42-71C7451E4CDF}"/>
    <hyperlink ref="N56" r:id="rId47" xr:uid="{261DE68B-F9EE-1445-A751-B260D7D5021C}"/>
    <hyperlink ref="N58" r:id="rId48" xr:uid="{D4A58528-3E4B-C14C-B1DE-2F4D433E490E}"/>
    <hyperlink ref="N57" r:id="rId49" xr:uid="{CA3E18F7-3FB6-EC4A-8E2E-3C3F66A21551}"/>
    <hyperlink ref="N55" r:id="rId50" xr:uid="{DCC1679C-F0E1-504D-B267-E64995BEFFA8}"/>
    <hyperlink ref="N54" r:id="rId51" xr:uid="{93492B2A-E104-1140-B702-B39AC8AB4CE4}"/>
  </hyperlinks>
  <pageMargins left="0.7" right="0.7" top="0.75" bottom="0.75" header="0.3" footer="0.3"/>
  <drawing r:id="rId5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BB6CD-3B80-464C-8FC0-2E201B3760C3}">
  <dimension ref="A1:L29"/>
  <sheetViews>
    <sheetView topLeftCell="D13" zoomScale="93" workbookViewId="0">
      <selection activeCell="E16" sqref="E16"/>
    </sheetView>
  </sheetViews>
  <sheetFormatPr baseColWidth="10" defaultColWidth="9" defaultRowHeight="14.5" x14ac:dyDescent="0.35"/>
  <cols>
    <col min="1" max="1" width="6.1796875" style="42" customWidth="1"/>
    <col min="2" max="2" width="15.6328125" style="42" customWidth="1"/>
    <col min="3" max="3" width="14.1796875" style="42" customWidth="1"/>
    <col min="4" max="4" width="117.1796875" style="42" customWidth="1"/>
    <col min="5" max="5" width="33.6328125" style="42" customWidth="1"/>
    <col min="6" max="6" width="9.6328125" style="42" customWidth="1"/>
    <col min="7" max="7" width="13.1796875" style="42" customWidth="1"/>
    <col min="8" max="8" width="20.36328125" style="42" customWidth="1"/>
    <col min="9" max="9" width="16.36328125" style="42" customWidth="1"/>
    <col min="10" max="10" width="24.36328125" style="42" customWidth="1"/>
    <col min="11" max="11" width="18.453125" style="42" customWidth="1"/>
    <col min="12" max="12" width="27.6328125" style="42" customWidth="1"/>
    <col min="13" max="14" width="9" style="42"/>
    <col min="15" max="16" width="10.453125" style="42" bestFit="1" customWidth="1"/>
    <col min="17" max="16384" width="9" style="42"/>
  </cols>
  <sheetData>
    <row r="1" spans="1:12" x14ac:dyDescent="0.35">
      <c r="A1" s="230"/>
      <c r="B1" s="231"/>
      <c r="C1" s="71"/>
      <c r="D1" s="148" t="s">
        <v>75</v>
      </c>
      <c r="E1" s="148"/>
      <c r="F1" s="231"/>
      <c r="G1" s="231"/>
      <c r="H1" s="231"/>
      <c r="I1" s="231"/>
      <c r="J1" s="231"/>
    </row>
    <row r="2" spans="1:12" x14ac:dyDescent="0.35">
      <c r="A2" s="231"/>
      <c r="B2" s="231"/>
      <c r="C2" s="71"/>
      <c r="D2" s="148" t="s">
        <v>74</v>
      </c>
      <c r="E2" s="148"/>
      <c r="F2" s="231"/>
      <c r="G2" s="231"/>
      <c r="H2" s="231"/>
      <c r="I2" s="231"/>
      <c r="J2" s="231"/>
    </row>
    <row r="3" spans="1:12" x14ac:dyDescent="0.35">
      <c r="A3" s="231"/>
      <c r="B3" s="231"/>
      <c r="C3" s="148" t="s">
        <v>606</v>
      </c>
      <c r="D3" s="148"/>
      <c r="E3" s="148"/>
      <c r="F3" s="148"/>
      <c r="G3" s="148"/>
      <c r="H3" s="148"/>
      <c r="I3" s="148"/>
      <c r="J3" s="148"/>
    </row>
    <row r="4" spans="1:12" ht="46" customHeight="1" x14ac:dyDescent="0.35">
      <c r="A4" s="232" t="s">
        <v>73</v>
      </c>
      <c r="B4" s="233"/>
      <c r="C4" s="233"/>
      <c r="D4" s="233"/>
      <c r="E4" s="233"/>
      <c r="F4" s="233"/>
      <c r="G4" s="233"/>
      <c r="H4" s="233"/>
      <c r="I4" s="233"/>
      <c r="J4" s="233"/>
    </row>
    <row r="5" spans="1:12" x14ac:dyDescent="0.35">
      <c r="A5" s="238" t="s">
        <v>72</v>
      </c>
      <c r="B5" s="238" t="s">
        <v>71</v>
      </c>
      <c r="C5" s="237" t="s">
        <v>228</v>
      </c>
      <c r="D5" s="237" t="s">
        <v>70</v>
      </c>
      <c r="E5" s="239" t="s">
        <v>459</v>
      </c>
      <c r="F5" s="237" t="s">
        <v>227</v>
      </c>
      <c r="G5" s="237" t="s">
        <v>69</v>
      </c>
      <c r="H5" s="241" t="s">
        <v>67</v>
      </c>
      <c r="I5" s="242"/>
      <c r="J5" s="242"/>
      <c r="K5" s="243"/>
      <c r="L5" s="234" t="s">
        <v>464</v>
      </c>
    </row>
    <row r="6" spans="1:12" ht="29" x14ac:dyDescent="0.35">
      <c r="A6" s="238"/>
      <c r="B6" s="238"/>
      <c r="C6" s="237"/>
      <c r="D6" s="237"/>
      <c r="E6" s="240"/>
      <c r="F6" s="237"/>
      <c r="G6" s="237"/>
      <c r="H6" s="82" t="s">
        <v>65</v>
      </c>
      <c r="I6" s="82" t="s">
        <v>64</v>
      </c>
      <c r="J6" s="83" t="s">
        <v>63</v>
      </c>
      <c r="K6" s="82" t="s">
        <v>460</v>
      </c>
      <c r="L6" s="235"/>
    </row>
    <row r="7" spans="1:12" ht="101.5" x14ac:dyDescent="0.35">
      <c r="A7" s="88">
        <v>1</v>
      </c>
      <c r="B7" s="5" t="s">
        <v>444</v>
      </c>
      <c r="C7" s="5" t="s">
        <v>443</v>
      </c>
      <c r="D7" s="21" t="s">
        <v>461</v>
      </c>
      <c r="E7" s="75">
        <v>43211900</v>
      </c>
      <c r="F7" s="58">
        <v>1</v>
      </c>
      <c r="G7" s="58" t="s">
        <v>434</v>
      </c>
      <c r="H7" s="86">
        <v>10762471.720000001</v>
      </c>
      <c r="I7" s="87">
        <v>0.19</v>
      </c>
      <c r="J7" s="86">
        <f>H7+I7</f>
        <v>10762471.91</v>
      </c>
      <c r="K7" s="86">
        <f t="shared" ref="K7:K9" si="0">J7*F7</f>
        <v>10762471.91</v>
      </c>
      <c r="L7" s="21" t="s">
        <v>466</v>
      </c>
    </row>
    <row r="8" spans="1:12" ht="275.5" x14ac:dyDescent="0.35">
      <c r="A8" s="88">
        <v>2</v>
      </c>
      <c r="B8" s="5" t="s">
        <v>444</v>
      </c>
      <c r="C8" s="5" t="s">
        <v>457</v>
      </c>
      <c r="D8" s="21" t="s">
        <v>462</v>
      </c>
      <c r="E8" s="75">
        <v>43211500</v>
      </c>
      <c r="F8" s="58">
        <v>19</v>
      </c>
      <c r="G8" s="58" t="s">
        <v>434</v>
      </c>
      <c r="H8" s="51">
        <f>5297146*1.0483</f>
        <v>5552998.1518000001</v>
      </c>
      <c r="I8" s="84">
        <v>0.19</v>
      </c>
      <c r="J8" s="51">
        <f t="shared" ref="J8:J9" si="1">H8*1.19</f>
        <v>6608067.8006419996</v>
      </c>
      <c r="K8" s="51">
        <f t="shared" si="0"/>
        <v>125553288.21219799</v>
      </c>
      <c r="L8" s="15" t="s">
        <v>463</v>
      </c>
    </row>
    <row r="9" spans="1:12" ht="101.5" x14ac:dyDescent="0.35">
      <c r="A9" s="88">
        <v>7</v>
      </c>
      <c r="B9" s="5" t="s">
        <v>456</v>
      </c>
      <c r="C9" s="5" t="s">
        <v>455</v>
      </c>
      <c r="D9" s="74" t="s">
        <v>553</v>
      </c>
      <c r="E9" s="75">
        <v>82101500</v>
      </c>
      <c r="F9" s="58">
        <v>4</v>
      </c>
      <c r="G9" s="58" t="s">
        <v>231</v>
      </c>
      <c r="H9" s="51">
        <v>209660</v>
      </c>
      <c r="I9" s="84" t="s">
        <v>562</v>
      </c>
      <c r="J9" s="94">
        <f t="shared" si="1"/>
        <v>249495.4</v>
      </c>
      <c r="K9" s="93">
        <f t="shared" si="0"/>
        <v>997981.6</v>
      </c>
      <c r="L9" s="21" t="s">
        <v>554</v>
      </c>
    </row>
    <row r="10" spans="1:12" ht="72.5" x14ac:dyDescent="0.35">
      <c r="A10" s="89">
        <v>9</v>
      </c>
      <c r="B10" s="5" t="s">
        <v>450</v>
      </c>
      <c r="C10" s="5" t="s">
        <v>454</v>
      </c>
      <c r="D10" s="21" t="s">
        <v>453</v>
      </c>
      <c r="E10" s="75">
        <v>56101700</v>
      </c>
      <c r="F10" s="58">
        <v>16</v>
      </c>
      <c r="G10" s="58" t="s">
        <v>434</v>
      </c>
      <c r="H10" s="91">
        <v>1661274.54</v>
      </c>
      <c r="I10" s="85">
        <v>0.19</v>
      </c>
      <c r="J10" s="92">
        <f t="shared" ref="J10:J15" si="2">H10*1.19</f>
        <v>1976916.7026</v>
      </c>
      <c r="K10" s="93">
        <f>J10*F10</f>
        <v>31630667.241599999</v>
      </c>
      <c r="L10" s="21" t="s">
        <v>466</v>
      </c>
    </row>
    <row r="11" spans="1:12" ht="87" x14ac:dyDescent="0.35">
      <c r="A11" s="89">
        <v>10</v>
      </c>
      <c r="B11" s="5" t="s">
        <v>450</v>
      </c>
      <c r="C11" s="5" t="s">
        <v>452</v>
      </c>
      <c r="D11" s="21" t="s">
        <v>563</v>
      </c>
      <c r="E11" s="75">
        <v>56101700</v>
      </c>
      <c r="F11" s="58">
        <v>31</v>
      </c>
      <c r="G11" s="58" t="s">
        <v>434</v>
      </c>
      <c r="H11" s="51">
        <v>147147</v>
      </c>
      <c r="I11" s="85">
        <v>0.19</v>
      </c>
      <c r="J11" s="92">
        <f t="shared" si="2"/>
        <v>175104.93</v>
      </c>
      <c r="K11" s="93">
        <f>J11*F11</f>
        <v>5428252.8300000001</v>
      </c>
      <c r="L11" s="21" t="s">
        <v>466</v>
      </c>
    </row>
    <row r="12" spans="1:12" ht="101.5" x14ac:dyDescent="0.35">
      <c r="A12" s="89">
        <v>11</v>
      </c>
      <c r="B12" s="5" t="s">
        <v>450</v>
      </c>
      <c r="C12" s="5" t="s">
        <v>449</v>
      </c>
      <c r="D12" s="21" t="s">
        <v>451</v>
      </c>
      <c r="E12" s="75">
        <v>56101700</v>
      </c>
      <c r="F12" s="58">
        <v>1</v>
      </c>
      <c r="G12" s="58" t="s">
        <v>434</v>
      </c>
      <c r="H12" s="51">
        <v>17377360</v>
      </c>
      <c r="I12" s="62">
        <v>0.19</v>
      </c>
      <c r="J12" s="92">
        <f t="shared" si="2"/>
        <v>20679058.399999999</v>
      </c>
      <c r="K12" s="93">
        <f t="shared" ref="K12:K15" si="3">J12*F12</f>
        <v>20679058.399999999</v>
      </c>
      <c r="L12" s="21" t="s">
        <v>466</v>
      </c>
    </row>
    <row r="13" spans="1:12" ht="87" x14ac:dyDescent="0.35">
      <c r="A13" s="89">
        <v>12</v>
      </c>
      <c r="B13" s="5" t="s">
        <v>450</v>
      </c>
      <c r="C13" s="5" t="s">
        <v>449</v>
      </c>
      <c r="D13" s="21" t="s">
        <v>448</v>
      </c>
      <c r="E13" s="75">
        <v>56101700</v>
      </c>
      <c r="F13" s="58">
        <v>2</v>
      </c>
      <c r="G13" s="58" t="s">
        <v>434</v>
      </c>
      <c r="H13" s="51">
        <v>3931347.3200000003</v>
      </c>
      <c r="I13" s="62">
        <v>0.19</v>
      </c>
      <c r="J13" s="92">
        <f t="shared" si="2"/>
        <v>4678303.3108000001</v>
      </c>
      <c r="K13" s="93">
        <f t="shared" si="3"/>
        <v>9356606.6216000002</v>
      </c>
      <c r="L13" s="21" t="s">
        <v>466</v>
      </c>
    </row>
    <row r="14" spans="1:12" ht="101.5" x14ac:dyDescent="0.35">
      <c r="A14" s="89">
        <v>13</v>
      </c>
      <c r="B14" s="5" t="s">
        <v>444</v>
      </c>
      <c r="C14" s="5" t="s">
        <v>447</v>
      </c>
      <c r="D14" s="21" t="s">
        <v>446</v>
      </c>
      <c r="E14" s="75" t="s">
        <v>445</v>
      </c>
      <c r="F14" s="58">
        <v>16</v>
      </c>
      <c r="G14" s="58" t="s">
        <v>434</v>
      </c>
      <c r="H14" s="51">
        <v>6238853.5159999998</v>
      </c>
      <c r="I14" s="62">
        <v>0.19</v>
      </c>
      <c r="J14" s="92">
        <f t="shared" si="2"/>
        <v>7424235.6840399997</v>
      </c>
      <c r="K14" s="93">
        <f t="shared" si="3"/>
        <v>118787770.94464</v>
      </c>
      <c r="L14" s="21" t="s">
        <v>466</v>
      </c>
    </row>
    <row r="15" spans="1:12" ht="101.5" x14ac:dyDescent="0.35">
      <c r="A15" s="89">
        <v>14</v>
      </c>
      <c r="B15" s="5" t="s">
        <v>444</v>
      </c>
      <c r="C15" s="5" t="s">
        <v>443</v>
      </c>
      <c r="D15" s="21" t="s">
        <v>461</v>
      </c>
      <c r="E15" s="75">
        <v>43211900</v>
      </c>
      <c r="F15" s="58">
        <v>1</v>
      </c>
      <c r="G15" s="58" t="s">
        <v>434</v>
      </c>
      <c r="H15" s="51">
        <v>10762471.720000001</v>
      </c>
      <c r="I15" s="62">
        <v>0.19</v>
      </c>
      <c r="J15" s="92">
        <f t="shared" si="2"/>
        <v>12807341.346799999</v>
      </c>
      <c r="K15" s="93">
        <f t="shared" si="3"/>
        <v>12807341.346799999</v>
      </c>
      <c r="L15" s="21" t="s">
        <v>466</v>
      </c>
    </row>
    <row r="16" spans="1:12" ht="145" x14ac:dyDescent="0.35">
      <c r="A16" s="88">
        <v>17</v>
      </c>
      <c r="B16" s="5" t="s">
        <v>439</v>
      </c>
      <c r="C16" s="5" t="s">
        <v>442</v>
      </c>
      <c r="D16" s="21" t="s">
        <v>441</v>
      </c>
      <c r="E16" s="75" t="s">
        <v>440</v>
      </c>
      <c r="F16" s="58">
        <v>1</v>
      </c>
      <c r="G16" s="58" t="s">
        <v>434</v>
      </c>
      <c r="H16" s="51">
        <v>9986096.120000001</v>
      </c>
      <c r="I16" s="62">
        <v>0.19</v>
      </c>
      <c r="J16" s="92">
        <f>H16*1.19</f>
        <v>11883454.3828</v>
      </c>
      <c r="K16" s="93">
        <f>J16*F16</f>
        <v>11883454.3828</v>
      </c>
      <c r="L16" s="21" t="s">
        <v>466</v>
      </c>
    </row>
    <row r="17" spans="1:12" ht="116" x14ac:dyDescent="0.35">
      <c r="A17" s="88">
        <v>18</v>
      </c>
      <c r="B17" s="5" t="s">
        <v>439</v>
      </c>
      <c r="C17" s="5" t="s">
        <v>473</v>
      </c>
      <c r="D17" s="21" t="s">
        <v>438</v>
      </c>
      <c r="E17" s="75">
        <v>81112100</v>
      </c>
      <c r="F17" s="58">
        <v>1</v>
      </c>
      <c r="G17" s="58" t="s">
        <v>434</v>
      </c>
      <c r="H17" s="51">
        <v>420420</v>
      </c>
      <c r="I17" s="62">
        <v>0.19</v>
      </c>
      <c r="J17" s="92">
        <f>H17*1.19</f>
        <v>500299.8</v>
      </c>
      <c r="K17" s="93">
        <f>J17*F17</f>
        <v>500299.8</v>
      </c>
      <c r="L17" s="21" t="s">
        <v>466</v>
      </c>
    </row>
    <row r="18" spans="1:12" ht="130.5" x14ac:dyDescent="0.35">
      <c r="A18" s="88">
        <v>19</v>
      </c>
      <c r="B18" s="5" t="s">
        <v>4</v>
      </c>
      <c r="C18" s="5" t="s">
        <v>437</v>
      </c>
      <c r="D18" s="23" t="s">
        <v>570</v>
      </c>
      <c r="E18" s="76">
        <v>80111600</v>
      </c>
      <c r="F18" s="58">
        <v>2</v>
      </c>
      <c r="G18" s="58" t="s">
        <v>434</v>
      </c>
      <c r="H18" s="51">
        <f>3500000*5</f>
        <v>17500000</v>
      </c>
      <c r="I18" s="62">
        <v>0</v>
      </c>
      <c r="J18" s="94">
        <f>H18</f>
        <v>17500000</v>
      </c>
      <c r="K18" s="93">
        <f>J18*F18</f>
        <v>35000000</v>
      </c>
      <c r="L18" s="21" t="s">
        <v>478</v>
      </c>
    </row>
    <row r="19" spans="1:12" ht="101.5" x14ac:dyDescent="0.35">
      <c r="A19" s="88">
        <v>20</v>
      </c>
      <c r="B19" s="5" t="s">
        <v>4</v>
      </c>
      <c r="C19" s="5" t="s">
        <v>436</v>
      </c>
      <c r="D19" s="23" t="s">
        <v>435</v>
      </c>
      <c r="E19" s="76">
        <v>80111600</v>
      </c>
      <c r="F19" s="58">
        <v>2</v>
      </c>
      <c r="G19" s="58" t="s">
        <v>434</v>
      </c>
      <c r="H19" s="51">
        <f>4917000*5</f>
        <v>24585000</v>
      </c>
      <c r="I19" s="62">
        <v>0</v>
      </c>
      <c r="J19" s="94">
        <f>H19</f>
        <v>24585000</v>
      </c>
      <c r="K19" s="93">
        <f>J19*F19</f>
        <v>49170000</v>
      </c>
      <c r="L19" s="21" t="s">
        <v>478</v>
      </c>
    </row>
    <row r="20" spans="1:12" ht="217.5" x14ac:dyDescent="0.35">
      <c r="A20" s="90">
        <v>22</v>
      </c>
      <c r="B20" s="5" t="s">
        <v>439</v>
      </c>
      <c r="C20" s="95" t="s">
        <v>472</v>
      </c>
      <c r="D20" s="23" t="s">
        <v>465</v>
      </c>
      <c r="E20" s="76" t="s">
        <v>471</v>
      </c>
      <c r="F20" s="95">
        <v>1</v>
      </c>
      <c r="G20" s="80" t="s">
        <v>231</v>
      </c>
      <c r="H20" s="95">
        <f>1900000*1.04</f>
        <v>1976000</v>
      </c>
      <c r="I20" s="62">
        <v>0.19</v>
      </c>
      <c r="J20" s="94">
        <f>H20*1.19</f>
        <v>2351440</v>
      </c>
      <c r="K20" s="93">
        <f>(J20*F20)-258633</f>
        <v>2092807</v>
      </c>
      <c r="L20" s="11" t="s">
        <v>386</v>
      </c>
    </row>
    <row r="21" spans="1:12" ht="20.5" x14ac:dyDescent="0.45">
      <c r="A21" s="236" t="s">
        <v>561</v>
      </c>
      <c r="B21" s="236"/>
      <c r="C21" s="236"/>
      <c r="D21" s="236"/>
      <c r="E21" s="236"/>
      <c r="F21" s="236"/>
      <c r="G21" s="236"/>
      <c r="H21" s="236"/>
      <c r="I21" s="236"/>
      <c r="J21" s="236"/>
      <c r="K21" s="116">
        <f>SUM(K7:K20)</f>
        <v>434650000.28963798</v>
      </c>
      <c r="L21" s="73"/>
    </row>
    <row r="29" spans="1:12" x14ac:dyDescent="0.35">
      <c r="K29" s="143"/>
    </row>
  </sheetData>
  <mergeCells count="15">
    <mergeCell ref="L5:L6"/>
    <mergeCell ref="A21:J21"/>
    <mergeCell ref="G5:G6"/>
    <mergeCell ref="A5:A6"/>
    <mergeCell ref="B5:B6"/>
    <mergeCell ref="C5:C6"/>
    <mergeCell ref="D5:D6"/>
    <mergeCell ref="E5:E6"/>
    <mergeCell ref="H5:K5"/>
    <mergeCell ref="F5:F6"/>
    <mergeCell ref="A1:B3"/>
    <mergeCell ref="D1:J1"/>
    <mergeCell ref="D2:J2"/>
    <mergeCell ref="C3:J3"/>
    <mergeCell ref="A4:J4"/>
  </mergeCells>
  <hyperlinks>
    <hyperlink ref="L8" r:id="rId1" xr:uid="{8344837E-AD00-4349-A42E-63BD04A228EE}"/>
    <hyperlink ref="L20" r:id="rId2" display="https://community.secop.gov.co/Public/Tendering/OpportunityDetail/Index?noticeUID=CO1.NTC.6324564&amp;isFromPublicArea=True&amp;isModal=False" xr:uid="{ED5F89BD-3BEC-2540-82C5-130D2B5EC37E}"/>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EBE19-D15C-DA42-ABB2-16E4249377E8}">
  <dimension ref="A1:J19"/>
  <sheetViews>
    <sheetView workbookViewId="0">
      <selection activeCell="F21" sqref="F21"/>
    </sheetView>
  </sheetViews>
  <sheetFormatPr baseColWidth="10" defaultRowHeight="14.5" x14ac:dyDescent="0.35"/>
  <cols>
    <col min="1" max="1" width="47" customWidth="1"/>
    <col min="5" max="5" width="16" customWidth="1"/>
    <col min="6" max="6" width="18.81640625" customWidth="1"/>
    <col min="8" max="8" width="18.36328125" customWidth="1"/>
    <col min="9" max="9" width="20.453125" customWidth="1"/>
    <col min="10" max="10" width="22.81640625" customWidth="1"/>
  </cols>
  <sheetData>
    <row r="1" spans="1:10" s="42" customFormat="1" ht="15" customHeight="1" x14ac:dyDescent="0.35">
      <c r="A1" s="224" t="s">
        <v>75</v>
      </c>
      <c r="B1" s="224"/>
      <c r="C1" s="224"/>
      <c r="D1" s="224"/>
      <c r="E1" s="224"/>
      <c r="F1" s="224"/>
      <c r="G1" s="224"/>
      <c r="H1" s="224"/>
      <c r="I1" s="224"/>
      <c r="J1" s="224"/>
    </row>
    <row r="2" spans="1:10" s="42" customFormat="1" ht="15" customHeight="1" x14ac:dyDescent="0.35">
      <c r="A2" s="224"/>
      <c r="B2" s="224"/>
      <c r="C2" s="224"/>
      <c r="D2" s="224"/>
      <c r="E2" s="224"/>
      <c r="F2" s="224"/>
      <c r="G2" s="224"/>
      <c r="H2" s="224"/>
      <c r="I2" s="224"/>
      <c r="J2" s="224"/>
    </row>
    <row r="3" spans="1:10" s="42" customFormat="1" ht="15" customHeight="1" x14ac:dyDescent="0.35">
      <c r="A3" s="224"/>
      <c r="B3" s="224"/>
      <c r="C3" s="224"/>
      <c r="D3" s="224"/>
      <c r="E3" s="224"/>
      <c r="F3" s="224"/>
      <c r="G3" s="224"/>
      <c r="H3" s="224"/>
      <c r="I3" s="224"/>
      <c r="J3" s="224"/>
    </row>
    <row r="4" spans="1:10" s="42" customFormat="1" ht="46" customHeight="1" x14ac:dyDescent="0.35">
      <c r="A4" s="245" t="s">
        <v>590</v>
      </c>
      <c r="B4" s="245"/>
      <c r="C4" s="245"/>
      <c r="D4" s="245"/>
      <c r="E4" s="245"/>
      <c r="F4" s="245"/>
      <c r="G4" s="245"/>
      <c r="H4" s="245"/>
      <c r="I4" s="245"/>
      <c r="J4" s="245"/>
    </row>
    <row r="6" spans="1:10" ht="15" customHeight="1" x14ac:dyDescent="0.35">
      <c r="A6" s="239" t="s">
        <v>70</v>
      </c>
      <c r="B6" s="239" t="s">
        <v>459</v>
      </c>
      <c r="C6" s="239" t="s">
        <v>227</v>
      </c>
      <c r="D6" s="239" t="s">
        <v>69</v>
      </c>
      <c r="E6" s="120"/>
      <c r="F6" s="241" t="s">
        <v>67</v>
      </c>
      <c r="G6" s="242"/>
      <c r="H6" s="242"/>
      <c r="I6" s="243"/>
      <c r="J6" s="234" t="s">
        <v>464</v>
      </c>
    </row>
    <row r="7" spans="1:10" ht="43.5" x14ac:dyDescent="0.35">
      <c r="A7" s="240"/>
      <c r="B7" s="240"/>
      <c r="C7" s="240"/>
      <c r="D7" s="240"/>
      <c r="E7" s="81" t="s">
        <v>588</v>
      </c>
      <c r="F7" s="82" t="s">
        <v>65</v>
      </c>
      <c r="G7" s="82" t="s">
        <v>64</v>
      </c>
      <c r="H7" s="83" t="s">
        <v>63</v>
      </c>
      <c r="I7" s="82" t="s">
        <v>460</v>
      </c>
      <c r="J7" s="235"/>
    </row>
    <row r="8" spans="1:10" ht="130.5" x14ac:dyDescent="0.35">
      <c r="A8" s="121" t="s">
        <v>607</v>
      </c>
      <c r="B8" s="78">
        <v>80111600</v>
      </c>
      <c r="C8" s="78">
        <v>1</v>
      </c>
      <c r="D8" s="78" t="s">
        <v>587</v>
      </c>
      <c r="E8" s="78" t="s">
        <v>589</v>
      </c>
      <c r="F8" s="122">
        <v>8817000</v>
      </c>
      <c r="G8" s="78" t="s">
        <v>509</v>
      </c>
      <c r="H8" s="122">
        <f>+F8</f>
        <v>8817000</v>
      </c>
      <c r="I8" s="122">
        <f>+H8*C8*7</f>
        <v>61719000</v>
      </c>
      <c r="J8" s="121" t="s">
        <v>478</v>
      </c>
    </row>
    <row r="9" spans="1:10" x14ac:dyDescent="0.35">
      <c r="A9" s="244" t="s">
        <v>568</v>
      </c>
      <c r="B9" s="244"/>
      <c r="C9" s="244"/>
      <c r="D9" s="244"/>
      <c r="E9" s="244"/>
      <c r="F9" s="244"/>
      <c r="G9" s="244"/>
      <c r="H9" s="244"/>
      <c r="I9" s="77">
        <f>+I8</f>
        <v>61719000</v>
      </c>
    </row>
    <row r="13" spans="1:10" x14ac:dyDescent="0.35">
      <c r="I13" s="130"/>
    </row>
    <row r="14" spans="1:10" x14ac:dyDescent="0.35">
      <c r="I14" s="130"/>
    </row>
    <row r="15" spans="1:10" x14ac:dyDescent="0.35">
      <c r="I15" s="123"/>
    </row>
    <row r="17" spans="9:9" x14ac:dyDescent="0.35">
      <c r="I17" s="123"/>
    </row>
    <row r="19" spans="9:9" x14ac:dyDescent="0.35">
      <c r="I19" s="123"/>
    </row>
  </sheetData>
  <mergeCells count="9">
    <mergeCell ref="A9:H9"/>
    <mergeCell ref="A4:J4"/>
    <mergeCell ref="A1:J3"/>
    <mergeCell ref="A6:A7"/>
    <mergeCell ref="B6:B7"/>
    <mergeCell ref="C6:C7"/>
    <mergeCell ref="D6:D7"/>
    <mergeCell ref="F6:I6"/>
    <mergeCell ref="J6:J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F750F-4C68-7D4D-9F86-7411FF166044}">
  <dimension ref="A1:H17"/>
  <sheetViews>
    <sheetView zoomScale="150" workbookViewId="0">
      <selection activeCell="B4" sqref="B4"/>
    </sheetView>
  </sheetViews>
  <sheetFormatPr baseColWidth="10" defaultRowHeight="14.5" x14ac:dyDescent="0.35"/>
  <cols>
    <col min="1" max="1" width="20" customWidth="1"/>
    <col min="2" max="2" width="19.1796875" bestFit="1" customWidth="1"/>
    <col min="8" max="8" width="14" customWidth="1"/>
  </cols>
  <sheetData>
    <row r="1" spans="1:8" x14ac:dyDescent="0.35">
      <c r="A1" s="118" t="s">
        <v>564</v>
      </c>
      <c r="B1" s="118" t="s">
        <v>569</v>
      </c>
    </row>
    <row r="2" spans="1:8" x14ac:dyDescent="0.35">
      <c r="A2" s="117" t="s">
        <v>565</v>
      </c>
      <c r="B2" s="119">
        <f>+DEPORTE!J77</f>
        <v>669151277.28857613</v>
      </c>
    </row>
    <row r="3" spans="1:8" x14ac:dyDescent="0.35">
      <c r="A3" s="117" t="s">
        <v>566</v>
      </c>
      <c r="B3" s="119">
        <f>+EMPRENDIMIENTO!I97</f>
        <v>1229741599.2497885</v>
      </c>
    </row>
    <row r="4" spans="1:8" x14ac:dyDescent="0.35">
      <c r="A4" s="117" t="s">
        <v>567</v>
      </c>
      <c r="B4" s="119" cm="1">
        <f t="array" ref="B4:E4">+'AMBIENTE '!J121:M121+Coordinador!I9</f>
        <v>452467831.47550476</v>
      </c>
      <c r="C4">
        <v>61719000</v>
      </c>
      <c r="D4">
        <v>61719000</v>
      </c>
      <c r="E4">
        <v>61719000</v>
      </c>
    </row>
    <row r="5" spans="1:8" x14ac:dyDescent="0.35">
      <c r="A5" s="117" t="s">
        <v>47</v>
      </c>
      <c r="B5" s="119">
        <f>+TICS!K21</f>
        <v>434650000.28963798</v>
      </c>
    </row>
    <row r="6" spans="1:8" x14ac:dyDescent="0.35">
      <c r="A6" s="118" t="s">
        <v>568</v>
      </c>
      <c r="B6" s="125">
        <f>SUM(B2:B5)</f>
        <v>2786010708.3035073</v>
      </c>
    </row>
    <row r="8" spans="1:8" x14ac:dyDescent="0.35">
      <c r="B8" s="130">
        <v>2786010708</v>
      </c>
    </row>
    <row r="9" spans="1:8" x14ac:dyDescent="0.35">
      <c r="F9" s="127"/>
      <c r="G9" s="127"/>
      <c r="H9" s="129"/>
    </row>
    <row r="10" spans="1:8" x14ac:dyDescent="0.35">
      <c r="B10" s="131">
        <f>+B6-B8</f>
        <v>0.30350732803344727</v>
      </c>
      <c r="F10" s="127"/>
      <c r="G10" s="246"/>
      <c r="H10" s="127"/>
    </row>
    <row r="11" spans="1:8" x14ac:dyDescent="0.35">
      <c r="B11" s="123"/>
      <c r="F11" s="127"/>
      <c r="G11" s="246"/>
      <c r="H11" s="129"/>
    </row>
    <row r="12" spans="1:8" x14ac:dyDescent="0.35">
      <c r="F12" s="127"/>
      <c r="G12" s="246"/>
      <c r="H12" s="128"/>
    </row>
    <row r="14" spans="1:8" x14ac:dyDescent="0.35">
      <c r="H14" s="123"/>
    </row>
    <row r="17" spans="4:4" x14ac:dyDescent="0.35">
      <c r="D17" t="s">
        <v>598</v>
      </c>
    </row>
  </sheetData>
  <mergeCells count="1">
    <mergeCell ref="G10:G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DEPORTE</vt:lpstr>
      <vt:lpstr>EMPRENDIMIENTO</vt:lpstr>
      <vt:lpstr>AMBIENTE </vt:lpstr>
      <vt:lpstr>TICS</vt:lpstr>
      <vt:lpstr>Coordinador</vt:lpstr>
      <vt:lpstr>Resumen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Cotizaciones Suba</dc:creator>
  <cp:lastModifiedBy>Laura Valentina Medina Leal</cp:lastModifiedBy>
  <dcterms:created xsi:type="dcterms:W3CDTF">2025-07-16T15:05:51Z</dcterms:created>
  <dcterms:modified xsi:type="dcterms:W3CDTF">2025-09-29T14:02:56Z</dcterms:modified>
</cp:coreProperties>
</file>