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4140030bcd9bb158/Equipo Montesierra Asociados S.A.S/2025/Ministerio del Interior 2025/LOS CARDONALES/Tercera revisión/"/>
    </mc:Choice>
  </mc:AlternateContent>
  <xr:revisionPtr revIDLastSave="23" documentId="13_ncr:1_{655D6B4A-732B-4283-92A3-21F7088C4237}" xr6:coauthVersionLast="47" xr6:coauthVersionMax="47" xr10:uidLastSave="{A5455974-8B59-447F-BF10-8F5F8FAE3A8A}"/>
  <bookViews>
    <workbookView xWindow="-108" yWindow="-108" windowWidth="23256" windowHeight="12456" xr2:uid="{0AFA262C-6391-4EF5-A9C1-CD8D7264700E}"/>
  </bookViews>
  <sheets>
    <sheet name="COSTEO INICIAL" sheetId="2" r:id="rId1"/>
    <sheet name="CARIBE" sheetId="4" r:id="rId2"/>
    <sheet name="CAUCA" sheetId="3" r:id="rId3"/>
    <sheet name="VALLE CAUCA" sheetId="5" r:id="rId4"/>
    <sheet name="PRESUPUESTO INICIAL" sheetId="7" r:id="rId5"/>
    <sheet name="VIATICOS" sheetId="10" r:id="rId6"/>
    <sheet name="CARTILLAS" sheetId="11" r:id="rId7"/>
    <sheet name="COMPARATIVO VS PROPUESTAS" sheetId="12" r:id="rId8"/>
    <sheet name="PRESUPUESTO FINAL" sheetId="8" r:id="rId9"/>
  </sheets>
  <definedNames>
    <definedName name="_xlnm._FilterDatabase" localSheetId="2" hidden="1">CAUCA!$B$3:$E$3</definedName>
    <definedName name="_Hlk204597360" localSheetId="1">CARIBE!$A$2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2" l="1"/>
  <c r="G9" i="2"/>
  <c r="G8" i="2"/>
  <c r="G6" i="2"/>
  <c r="G5" i="2"/>
  <c r="C49" i="8"/>
  <c r="B46" i="8"/>
  <c r="B47" i="8"/>
  <c r="B48" i="8"/>
  <c r="B45" i="8"/>
  <c r="D33" i="12"/>
  <c r="C32" i="12"/>
  <c r="D32" i="12" s="1"/>
  <c r="D31" i="12"/>
  <c r="D26" i="12"/>
  <c r="C25" i="12"/>
  <c r="D25" i="12" s="1"/>
  <c r="D24" i="12"/>
  <c r="C23" i="12"/>
  <c r="D23" i="12" s="1"/>
  <c r="C22" i="12"/>
  <c r="D22" i="12" s="1"/>
  <c r="D17" i="12"/>
  <c r="D16" i="12"/>
  <c r="D15" i="12"/>
  <c r="D14" i="12"/>
  <c r="D13" i="12"/>
  <c r="D12" i="12"/>
  <c r="D9" i="12"/>
  <c r="D8" i="12"/>
  <c r="D7" i="12"/>
  <c r="D10" i="12" s="1"/>
  <c r="E7" i="8"/>
  <c r="E33" i="7"/>
  <c r="D32" i="7"/>
  <c r="D8" i="11"/>
  <c r="D34" i="12" l="1"/>
  <c r="D18" i="12"/>
  <c r="D19" i="12" s="1"/>
  <c r="D28" i="12"/>
  <c r="D35" i="12" s="1"/>
  <c r="E9" i="2"/>
  <c r="F31" i="10"/>
  <c r="I31" i="10" s="1"/>
  <c r="F32" i="10"/>
  <c r="I32" i="10" s="1"/>
  <c r="F33" i="10"/>
  <c r="I33" i="10" s="1"/>
  <c r="F34" i="10"/>
  <c r="I34" i="10" s="1"/>
  <c r="F35" i="10"/>
  <c r="F30" i="10"/>
  <c r="I30" i="10" s="1"/>
  <c r="I35" i="10"/>
  <c r="B14" i="10"/>
  <c r="L13" i="10"/>
  <c r="H13" i="10"/>
  <c r="B13" i="10"/>
  <c r="B12" i="10"/>
  <c r="B11" i="10"/>
  <c r="B10" i="10"/>
  <c r="J9" i="10"/>
  <c r="L12" i="10" s="1"/>
  <c r="B9" i="10"/>
  <c r="L8" i="10"/>
  <c r="B8" i="10"/>
  <c r="B7" i="10"/>
  <c r="B6" i="10"/>
  <c r="L4" i="10"/>
  <c r="L5" i="10" s="1"/>
  <c r="L6" i="10" s="1"/>
  <c r="H4" i="10"/>
  <c r="H5" i="10" s="1"/>
  <c r="H6" i="10" s="1"/>
  <c r="D37" i="12" l="1"/>
  <c r="I36" i="10"/>
  <c r="H12" i="10"/>
  <c r="I12" i="10" s="1"/>
  <c r="I14" i="10" s="1"/>
  <c r="I13" i="10"/>
  <c r="N12" i="10"/>
  <c r="N13" i="10"/>
  <c r="D40" i="12" l="1"/>
  <c r="D41" i="12"/>
  <c r="C46" i="8" s="1"/>
  <c r="N14" i="10"/>
  <c r="C45" i="8" l="1"/>
  <c r="D43" i="12"/>
  <c r="C48" i="8" s="1"/>
  <c r="D42" i="12"/>
  <c r="C47" i="8" s="1"/>
  <c r="D32" i="8"/>
  <c r="E22" i="8"/>
  <c r="E33" i="8"/>
  <c r="E32" i="8"/>
  <c r="E31" i="8"/>
  <c r="C26" i="8"/>
  <c r="E26" i="8" s="1"/>
  <c r="E25" i="8"/>
  <c r="E24" i="8"/>
  <c r="E23" i="8"/>
  <c r="E17" i="8"/>
  <c r="E16" i="8"/>
  <c r="E15" i="8"/>
  <c r="E18" i="8" s="1"/>
  <c r="E14" i="8"/>
  <c r="E13" i="8"/>
  <c r="E12" i="8"/>
  <c r="E9" i="8"/>
  <c r="E8" i="8"/>
  <c r="E10" i="8"/>
  <c r="E5" i="2"/>
  <c r="D22" i="7" s="1"/>
  <c r="E34" i="8" l="1"/>
  <c r="E28" i="8"/>
  <c r="E35" i="8" s="1"/>
  <c r="E37" i="8" s="1"/>
  <c r="E19" i="8"/>
  <c r="F30" i="4"/>
  <c r="E6" i="2" l="1"/>
  <c r="E7" i="2"/>
  <c r="E8" i="2"/>
  <c r="E31" i="7" l="1"/>
  <c r="E32" i="7" l="1"/>
  <c r="E13" i="7"/>
  <c r="E14" i="7"/>
  <c r="E15" i="7"/>
  <c r="E16" i="7"/>
  <c r="E17" i="7"/>
  <c r="E12" i="7"/>
  <c r="E18" i="7" l="1"/>
  <c r="E24" i="7" l="1"/>
  <c r="E8" i="7"/>
  <c r="E9" i="7"/>
  <c r="E7" i="7"/>
  <c r="E10" i="7" l="1"/>
  <c r="E19" i="7" s="1"/>
  <c r="D23" i="7" l="1"/>
  <c r="E23" i="7" s="1"/>
  <c r="D25" i="7" l="1"/>
  <c r="E25" i="7" s="1"/>
  <c r="E22" i="7"/>
  <c r="F4" i="5" l="1"/>
  <c r="F5" i="5" s="1"/>
  <c r="F6" i="5" s="1"/>
  <c r="F7" i="5" s="1"/>
  <c r="F8" i="5" s="1"/>
  <c r="F9" i="5" s="1"/>
  <c r="F10" i="5" s="1"/>
  <c r="F11" i="5" s="1"/>
  <c r="E26" i="7"/>
  <c r="E28" i="7" l="1"/>
  <c r="F12" i="5"/>
  <c r="F39" i="3"/>
  <c r="E34" i="7" l="1"/>
  <c r="E35" i="7" s="1"/>
  <c r="E37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F25" authorId="0" shapeId="0" xr:uid="{BFBA90B5-55C5-4EFD-941C-FAC375DCE898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SE ACTUALIZO VALOR POR EL CORRESPONDIENTE A LOS CC QUE PARTICIPARAN DE LA GASE 4 A LA 6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F4" authorId="0" shapeId="0" xr:uid="{D8FE01BA-5F12-410D-A049-C99B4DD96C94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SE AJUSTO VALOR EXACTO PARA LOS CC QUE PARTICIPARAN DE LA FASE 4 A LA 6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C7" authorId="0" shapeId="0" xr:uid="{EBCB5F22-16AD-4DAA-8D9D-9E52F4807B37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SE AJUSTO EL TIEMPO DE 3,5 A 3 MESES (90 DIAS) (A TODO LOS TALENTO HUMANO)</t>
        </r>
      </text>
    </comment>
    <comment ref="C32" authorId="0" shapeId="0" xr:uid="{D704A49F-8275-442F-B4DD-BB88C1639C96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SE PROYECTA QUE EL VALOR DE LOS EJEMPLARES DE LOS DOCUMENTOS FINALES SEA DE 50.000 COP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B7" authorId="0" shapeId="0" xr:uid="{C02EBBC2-9F10-4398-A317-A1EF3164F470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SE AJUSTO EL TIEMPO DE 3,5 A 3 MESES (90 DIAS) (A TODO LOS TALENTO HUMANO)</t>
        </r>
      </text>
    </comment>
    <comment ref="B32" authorId="0" shapeId="0" xr:uid="{6FF24B34-3F0E-499E-AF59-4C5D365D71C8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SE PROYECTA QUE EL VALOR DE LOS EJEMPLARES DE LOS DOCUMENTOS FINALES SEA DE 50.000 COP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C7" authorId="0" shapeId="0" xr:uid="{629BFA51-2276-494A-92CF-404B7F557FFD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SE AJUSTO EL TIEMPO DE 3,5 A 3 MESES (90 DIAS) (A TODO LOS TALENTO HUMANO)</t>
        </r>
      </text>
    </comment>
    <comment ref="C32" authorId="0" shapeId="0" xr:uid="{337D787A-66DD-4DC5-92A6-344E1506655F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SE PROYECTA QUE EL VALOR DE LOS EJEMPLARES DE LOS DOCUMENTOS FINALES SEA DE 50.000 COP</t>
        </r>
      </text>
    </comment>
  </commentList>
</comments>
</file>

<file path=xl/sharedStrings.xml><?xml version="1.0" encoding="utf-8"?>
<sst xmlns="http://schemas.openxmlformats.org/spreadsheetml/2006/main" count="506" uniqueCount="236">
  <si>
    <t>Concertación ruta metodologia</t>
  </si>
  <si>
    <t>Fase 2</t>
  </si>
  <si>
    <t xml:space="preserve">Desarrollo de la rura metodologica  3 dias </t>
  </si>
  <si>
    <t>Fase 3</t>
  </si>
  <si>
    <t>Fase</t>
  </si>
  <si>
    <t>Detalle</t>
  </si>
  <si>
    <t>Desarrollo documental (Recursos Humanos)</t>
  </si>
  <si>
    <t>Fase 1</t>
  </si>
  <si>
    <t>Fase 4</t>
  </si>
  <si>
    <t>Fase 5</t>
  </si>
  <si>
    <t>Protocolización</t>
  </si>
  <si>
    <t>cierre</t>
  </si>
  <si>
    <t>Fase 6</t>
  </si>
  <si>
    <t>IPC</t>
  </si>
  <si>
    <t>Valor 2025</t>
  </si>
  <si>
    <t>Departamento</t>
  </si>
  <si>
    <t>Municipio</t>
  </si>
  <si>
    <t>Consejos Comunitarios a Caracterizar</t>
  </si>
  <si>
    <t>Fases a Desarrollar</t>
  </si>
  <si>
    <t>Cauca</t>
  </si>
  <si>
    <t>Timbiquí</t>
  </si>
  <si>
    <t>Consejo Comunitario parte Sur del Rio Saija</t>
  </si>
  <si>
    <t>Fase 4 a 6</t>
  </si>
  <si>
    <t>Consejo Comunitario parte Norte del Rio Saija</t>
  </si>
  <si>
    <t>Consejo Comunitario parte Baja del Rio Saija</t>
  </si>
  <si>
    <t>Cordoba</t>
  </si>
  <si>
    <t>Córdoba</t>
  </si>
  <si>
    <t>CC San José de Uré</t>
  </si>
  <si>
    <t>Comunidad Puerto Libertador</t>
  </si>
  <si>
    <t>Comunidad Tierra Alta</t>
  </si>
  <si>
    <t>Bolívar</t>
  </si>
  <si>
    <t>María La Baja</t>
  </si>
  <si>
    <t xml:space="preserve">Cartagena </t>
  </si>
  <si>
    <t>Cesar</t>
  </si>
  <si>
    <t>La Jagua de Ibirico</t>
  </si>
  <si>
    <t>Sucre</t>
  </si>
  <si>
    <t>Toluviejo</t>
  </si>
  <si>
    <t>Consejo Comunitario De Comunidades Negras Del Corregimiento De La Piche</t>
  </si>
  <si>
    <t>Valle del Cauca</t>
  </si>
  <si>
    <t>Buenaventura</t>
  </si>
  <si>
    <t>Consejo Comunitario de Ladrilleros Valle</t>
  </si>
  <si>
    <t>Consejo Comunitario Bazan Bocana</t>
  </si>
  <si>
    <t>Consejo Comunitario Comunidad Negra de la Vereda los Limones</t>
  </si>
  <si>
    <t>Consejo Comunitario de Agua Clara</t>
  </si>
  <si>
    <t>Caloto</t>
  </si>
  <si>
    <t>Cc Pandao</t>
  </si>
  <si>
    <t>Corinto</t>
  </si>
  <si>
    <t>Cc Barranco Rio Guengue</t>
  </si>
  <si>
    <t>Guachené</t>
  </si>
  <si>
    <t>Miranda</t>
  </si>
  <si>
    <t>Padilla</t>
  </si>
  <si>
    <t>Puerto Tejada</t>
  </si>
  <si>
    <t>Santander De Quilichao</t>
  </si>
  <si>
    <t>Suarez</t>
  </si>
  <si>
    <t>Villa Rica</t>
  </si>
  <si>
    <t>Cc La Quebrada</t>
  </si>
  <si>
    <t>Buenos Aires</t>
  </si>
  <si>
    <t>Cc Cuenca Cauca</t>
  </si>
  <si>
    <t>Atlántico</t>
  </si>
  <si>
    <t>La Guajira</t>
  </si>
  <si>
    <t>Magdalena</t>
  </si>
  <si>
    <t>Juan de Acosta</t>
  </si>
  <si>
    <t>Luruaco</t>
  </si>
  <si>
    <t>Valledupar</t>
  </si>
  <si>
    <t>Riohacha</t>
  </si>
  <si>
    <t>San Juan Del Cesar</t>
  </si>
  <si>
    <t>El Retén</t>
  </si>
  <si>
    <t>Fundación</t>
  </si>
  <si>
    <t>Zona Bananera</t>
  </si>
  <si>
    <t>Consejo Comunitario Afrocolombiano Kusutoma – Gende Cokumalu</t>
  </si>
  <si>
    <t>Consejo Comunitario De Las Comunidades Negras Del Municipio De Repelon Magen De Mi</t>
  </si>
  <si>
    <t>Consejo Comunitario De Marlinda La Boquilla</t>
  </si>
  <si>
    <t>Consejo Comunitario De Comunidades Negras De La Jagua De Ibirico</t>
  </si>
  <si>
    <t>Consejo Comunitario Ancestral De La Comunidad Negra De Matitas Celinda Arevalo</t>
  </si>
  <si>
    <t>Consejo Comunitario De Comunidades Negras La Diaspora De El Tablazo</t>
  </si>
  <si>
    <t xml:space="preserve"> Consejo Comunitario Jose Isabel Erazo Marquez</t>
  </si>
  <si>
    <t>Consejo Comunitario Afrocolombiano De Fundacion Magdalena Concafum</t>
  </si>
  <si>
    <t>Consejo Comunitario De Comunidades Negras Del Corregimiento De Sevilla</t>
  </si>
  <si>
    <t xml:space="preserve">Cali </t>
  </si>
  <si>
    <t>Dagua</t>
  </si>
  <si>
    <t>Ginebra</t>
  </si>
  <si>
    <t>Consejo Comunitario La Paya Renaciente</t>
  </si>
  <si>
    <t>Consejo Comunitario De Comunidades Negras La Playa Renaciente</t>
  </si>
  <si>
    <t>Consejo Comunitario Alto Anchicaya</t>
  </si>
  <si>
    <t>Consejo Comunitario De La Comunidad Negra De Las Veredas Guinea Alta Guinea Baja La Puerta La Victoria Y Los Corregimientos: Zelandias Juntas Y Cisneros Dagua</t>
  </si>
  <si>
    <t>Consejo Comunitario Afrozabaletas</t>
  </si>
  <si>
    <t>N</t>
  </si>
  <si>
    <t>Valor total</t>
  </si>
  <si>
    <t>CC Afrodescendiente de Ayapel</t>
  </si>
  <si>
    <t>CC del Municipio de Montelivano</t>
  </si>
  <si>
    <t>Concertación caraterizacion</t>
  </si>
  <si>
    <t>Fase 1 a 4</t>
  </si>
  <si>
    <t>PERSONAL MÍNIMO REQUERIDO</t>
  </si>
  <si>
    <t>Equipo administrativo de base</t>
  </si>
  <si>
    <t>Cantidad</t>
  </si>
  <si>
    <t>Descripción del Rubro</t>
  </si>
  <si>
    <t>Tiempo (meses)</t>
  </si>
  <si>
    <t>Honorarios mensuales</t>
  </si>
  <si>
    <t xml:space="preserve"> Director técnico del proyecto </t>
  </si>
  <si>
    <t xml:space="preserve"> Coordinador administrativo y financiero </t>
  </si>
  <si>
    <t xml:space="preserve"> Asistente administrativo y financiero </t>
  </si>
  <si>
    <t xml:space="preserve"> Subtotal equipo administrativo de base </t>
  </si>
  <si>
    <t>Equipo Técnico</t>
  </si>
  <si>
    <t xml:space="preserve"> Abogados </t>
  </si>
  <si>
    <t xml:space="preserve"> Profesional Ambiental, forestal,   agroforestal o afines </t>
  </si>
  <si>
    <t xml:space="preserve"> Profesional en ciencias sociales: Antropólogos, filósofos, sociólogos, politólogos, psicólogos, trabajadores sociales y afines </t>
  </si>
  <si>
    <t xml:space="preserve"> Técnico administrativo (Sistematización, procesamiento de datos, tabulación) </t>
  </si>
  <si>
    <t xml:space="preserve"> Total Equipo Humano </t>
  </si>
  <si>
    <t>COSTEO POR FASES DEL PROYECTO</t>
  </si>
  <si>
    <t>Ítem</t>
  </si>
  <si>
    <t>Consejos Comunitarios</t>
  </si>
  <si>
    <t>Valor Unitario</t>
  </si>
  <si>
    <t xml:space="preserve"> Total costeo por Fases </t>
  </si>
  <si>
    <t xml:space="preserve"> Ítem </t>
  </si>
  <si>
    <t xml:space="preserve"> Descripción del Rubro </t>
  </si>
  <si>
    <t xml:space="preserve"> Costeo </t>
  </si>
  <si>
    <t xml:space="preserve"> Cantidad </t>
  </si>
  <si>
    <t xml:space="preserve"> Total Otros Gastos </t>
  </si>
  <si>
    <t>Total Costeo de actividades</t>
  </si>
  <si>
    <t>Total Financiación Ministerio</t>
  </si>
  <si>
    <t>Otros Gastos</t>
  </si>
  <si>
    <t xml:space="preserve"> Diseñador gráfico</t>
  </si>
  <si>
    <t>Consejo Comunitario De La Comunidad Negra De Tierra Bomba</t>
  </si>
  <si>
    <t>Gestor Territorial (Uno por departamento)</t>
  </si>
  <si>
    <t>Cc Cerro Teta</t>
  </si>
  <si>
    <t>Fase 4-6</t>
  </si>
  <si>
    <t>Cc  Cuenca Del Rio Cauca- La Alsacia</t>
  </si>
  <si>
    <t xml:space="preserve">Cc Bodega Guali </t>
  </si>
  <si>
    <t xml:space="preserve">Cc Yarumito </t>
  </si>
  <si>
    <t xml:space="preserve">Cc Quebrada Quita Calzon </t>
  </si>
  <si>
    <t>Cc Jagual La Maria</t>
  </si>
  <si>
    <t>Cc Veredas Y Barios De Corinto</t>
  </si>
  <si>
    <t xml:space="preserve">Cc Riveras De Rio Palo </t>
  </si>
  <si>
    <t xml:space="preserve">Cc Zanjon De Potoco </t>
  </si>
  <si>
    <t xml:space="preserve">Cc Pilamo </t>
  </si>
  <si>
    <t xml:space="preserve">Cc Brisas Del Rio Palo </t>
  </si>
  <si>
    <t xml:space="preserve">Cc Afro Mirandeño </t>
  </si>
  <si>
    <t xml:space="preserve">Cc Ortulin </t>
  </si>
  <si>
    <t xml:space="preserve">Cc Santafro </t>
  </si>
  <si>
    <t xml:space="preserve">Cc Union Yaru </t>
  </si>
  <si>
    <t xml:space="preserve">Cc Juan Jose Nieto </t>
  </si>
  <si>
    <t xml:space="preserve">Cc Severo Mulato </t>
  </si>
  <si>
    <t>Cc Cuenca Rio Palo Y Paila</t>
  </si>
  <si>
    <t xml:space="preserve">Cc Rio Palo </t>
  </si>
  <si>
    <t xml:space="preserve">Cc Palenque Monte Oscuro </t>
  </si>
  <si>
    <t>Cc Aires De Garrapatero</t>
  </si>
  <si>
    <t xml:space="preserve">Cc Zanjjon De Garrapatero </t>
  </si>
  <si>
    <t xml:space="preserve">Cc Curpaq </t>
  </si>
  <si>
    <t>Cc Bella Vista</t>
  </si>
  <si>
    <t>Cc Asnazu</t>
  </si>
  <si>
    <t>Cc Pureto</t>
  </si>
  <si>
    <t xml:space="preserve">Cc Quebrada Tabla </t>
  </si>
  <si>
    <t>Cc Territorio Y Paz</t>
  </si>
  <si>
    <t>FASE 1</t>
  </si>
  <si>
    <t>FASE 2</t>
  </si>
  <si>
    <t>FASE 3</t>
  </si>
  <si>
    <t>FASE 4</t>
  </si>
  <si>
    <t>FASE 5</t>
  </si>
  <si>
    <t>FASE 6</t>
  </si>
  <si>
    <t>40 Ejemplares de documentos finales de Caracterización (40 Consejos Comunitarios)</t>
  </si>
  <si>
    <t xml:space="preserve"> Gastos de viaje, transporte, alimentación y hospedaje del personal técnico del proyecto  46  personas, por 25 días trabajo de campo según cronograma </t>
  </si>
  <si>
    <t>Valor por consejo 2024</t>
  </si>
  <si>
    <t>Consejo Comunitario Kusuto Anneje Juan De Costa  Atlántico</t>
  </si>
  <si>
    <t>Repelón</t>
  </si>
  <si>
    <t>Cartagena</t>
  </si>
  <si>
    <t>Consejo Comunitario De Caño Del Oro</t>
  </si>
  <si>
    <t>Consejo Comunitario De María La Baja</t>
  </si>
  <si>
    <t>Consejo Comunitario De La Unidad Comunera De Gobierno Rural De La Boquilla Localidad De La Virgen Turistico y Cultural De Cartagena</t>
  </si>
  <si>
    <t>Consejo Comunitario Casimiro Meza Mendoza COCONEBO</t>
  </si>
  <si>
    <t>Consejo Comunitario De Comunidades Afrodescendientes De La Victoria De San Isidro  Coafrovis</t>
  </si>
  <si>
    <t>La Paz</t>
  </si>
  <si>
    <t>Consejo Comunitario Los Sabaneros Del Corregimiento De Minguillo</t>
  </si>
  <si>
    <t>Consejo Comunitario Arcilla Cardon Y Tuna</t>
  </si>
  <si>
    <t>Chiriguana</t>
  </si>
  <si>
    <t>Consejo Comunitario Comunidades Negras De La Sierra El Cruce Y La Estacion Conesice</t>
  </si>
  <si>
    <t>Consejo comunitario ancestral de la Comunidad negra del Totumo Numa Benjumea</t>
  </si>
  <si>
    <t xml:space="preserve">“El Cachaco Negro”, del Municipio de San Juan Del Cesar </t>
  </si>
  <si>
    <t>Decreto 0613 de 2025 (3 de junio 2025)</t>
  </si>
  <si>
    <t> </t>
  </si>
  <si>
    <t>Funcionario</t>
  </si>
  <si>
    <t>Contratista</t>
  </si>
  <si>
    <t xml:space="preserve">Desde </t>
  </si>
  <si>
    <t>Hasta</t>
  </si>
  <si>
    <t>Diario</t>
  </si>
  <si>
    <t>Salario</t>
  </si>
  <si>
    <t>-</t>
  </si>
  <si>
    <t>Valor dia Decreto</t>
  </si>
  <si>
    <t>Valor dia Resolucion</t>
  </si>
  <si>
    <t>Dia sin percnocta</t>
  </si>
  <si>
    <t>Fecha inicio</t>
  </si>
  <si>
    <t>Fecha final</t>
  </si>
  <si>
    <t>Dias total</t>
  </si>
  <si>
    <t xml:space="preserve"> Dias Percnocta </t>
  </si>
  <si>
    <t xml:space="preserve"> Dias No percnocta </t>
  </si>
  <si>
    <t>Dias enteros</t>
  </si>
  <si>
    <t>Dia Medio</t>
  </si>
  <si>
    <t>En adelante</t>
  </si>
  <si>
    <t xml:space="preserve"> Total </t>
  </si>
  <si>
    <t>Total</t>
  </si>
  <si>
    <t>Reconocimiento con percnocta</t>
  </si>
  <si>
    <t xml:space="preserve"> </t>
  </si>
  <si>
    <t>Desde</t>
  </si>
  <si>
    <t>Reconocimientosinpercnocta</t>
  </si>
  <si>
    <t>PERFILES</t>
  </si>
  <si>
    <t>HONORARIOS</t>
  </si>
  <si>
    <t>CANTIDAD</t>
  </si>
  <si>
    <t>VALOR MEDIO DIA</t>
  </si>
  <si>
    <t>DIAS EN CAMPO</t>
  </si>
  <si>
    <t>VALOR TOTAL</t>
  </si>
  <si>
    <t>Abogados</t>
  </si>
  <si>
    <t>Profesional en ciencias Sociales: Antropólogos, filósofos, sociólogos, politólogos, psicólogos</t>
  </si>
  <si>
    <t>Profesional Ambiental, forestal,   agroforestal, Biólogos o afines</t>
  </si>
  <si>
    <t xml:space="preserve">Gestor territoriales
</t>
  </si>
  <si>
    <t>Técnico administrativo</t>
  </si>
  <si>
    <t>Diseñador gráfico</t>
  </si>
  <si>
    <t>Cartilla-IMPRESIÓN EN PLOTER (Impresión en Ploter full color hoja carta. POR HOJA IMPRESA)</t>
  </si>
  <si>
    <t>Valor Hoja según Tarifario</t>
  </si>
  <si>
    <t>40 Ejemplares de documentos finales de Caracterización (40 Consejos Comunitarios)IMPRESIÓN EN PLOTER (Impresión en Ploter full color hoja carta. POR HOJA IMPRESA)</t>
  </si>
  <si>
    <t xml:space="preserve"> Administración y soporte institucional (5,89%)</t>
  </si>
  <si>
    <t xml:space="preserve"> Administración y soporte institucional (5,63%)</t>
  </si>
  <si>
    <t>CONTRATO OPERACIÓN LOGÍSTICA 1473 2025</t>
  </si>
  <si>
    <t>Cotizaciones</t>
  </si>
  <si>
    <t xml:space="preserve">Nota: El valor correspondiente  a la </t>
  </si>
  <si>
    <t xml:space="preserve"> DCN PRESUPUESTO INICIAL</t>
  </si>
  <si>
    <t>CONSEJO COMUNITARIO DE LA COMUNIDAD NEGRA DE GUACOCHE “LOS CARDONALES”</t>
  </si>
  <si>
    <t xml:space="preserve"> CENTRO NACIONAL DE CONSULTORIA S.A</t>
  </si>
  <si>
    <t xml:space="preserve"> EDP Soluciones SAS </t>
  </si>
  <si>
    <t>PROMEDIO</t>
  </si>
  <si>
    <t>DESVIACIÓN ESTANDAR</t>
  </si>
  <si>
    <t>LIMITE SUPERIOR</t>
  </si>
  <si>
    <t>LIMITE INFERIOR</t>
  </si>
  <si>
    <t>NOTA: ESTE VALOR NO SE INCLUYE YA QUE SUPERA EL PRESUPUESTO LIMITE ESTIMADO Y ES ARTIFICIALMENTE ALTA</t>
  </si>
  <si>
    <t>El valor de la propuesta del CONSEJO COMUNITARIO DE LA COMUNIDAD NEGRA DE GUACOCHE “LOS CARDONALES” se encuentra debntro de los limites definidos en el presupuesto oficial para la presente contratación</t>
  </si>
  <si>
    <t>OFERTA PRESENTADA</t>
  </si>
  <si>
    <t>Valor</t>
  </si>
  <si>
    <t>Fuente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</si>
</sst>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5" formatCode="&quot;$&quot;\ #,##0;\-&quot;$&quot;\ #,##0"/>
    <numFmt numFmtId="6" formatCode="&quot;$&quot;\ #,##0;[Red]\-&quot;$&quot;\ #,##0"/>
    <numFmt numFmtId="7" formatCode="&quot;$&quot;\ #,##0.00;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;\-&quot;$&quot;\ #,##0.0"/>
    <numFmt numFmtId="165" formatCode="_-[$$-409]* #,##0_ ;_-[$$-409]* \-#,##0\ ;_-[$$-409]* &quot;-&quot;??_ ;_-@_ "/>
    <numFmt numFmtId="166" formatCode="_-* #,##0.00\ _€_-;\-* #,##0.00\ _€_-;_-* &quot;-&quot;??\ _€_-;_-@_-"/>
    <numFmt numFmtId="167" formatCode="_-* #,##0\ _€_-;\-* #,##0\ _€_-;_-* &quot;-&quot;??\ _€_-;_-@_-"/>
    <numFmt numFmtId="168" formatCode="0.0"/>
    <numFmt numFmtId="169" formatCode="_-* #,##0_-;\-* #,##0_-;_-* &quot;-&quot;??_-;_-@_-"/>
  </numFmts>
  <fonts count="3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sz val="10"/>
      <color theme="1"/>
      <name val="Arial"/>
      <family val="2"/>
    </font>
    <font>
      <b/>
      <sz val="11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b/>
      <i/>
      <sz val="11"/>
      <color rgb="FF000000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6">
    <xf numFmtId="0" fontId="0" fillId="0" borderId="0"/>
    <xf numFmtId="4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2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166" fontId="3" fillId="0" borderId="0" applyFont="0" applyFill="0" applyBorder="0" applyAlignment="0" applyProtection="0"/>
  </cellStyleXfs>
  <cellXfs count="240">
    <xf numFmtId="0" fontId="0" fillId="0" borderId="0" xfId="0"/>
    <xf numFmtId="0" fontId="0" fillId="0" borderId="1" xfId="0" applyBorder="1" applyAlignment="1">
      <alignment wrapText="1"/>
    </xf>
    <xf numFmtId="0" fontId="8" fillId="0" borderId="0" xfId="0" applyFont="1"/>
    <xf numFmtId="0" fontId="10" fillId="0" borderId="1" xfId="0" applyFont="1" applyBorder="1"/>
    <xf numFmtId="0" fontId="8" fillId="0" borderId="1" xfId="0" applyFont="1" applyBorder="1"/>
    <xf numFmtId="0" fontId="0" fillId="0" borderId="1" xfId="0" applyBorder="1"/>
    <xf numFmtId="44" fontId="0" fillId="0" borderId="1" xfId="1" applyFont="1" applyBorder="1"/>
    <xf numFmtId="44" fontId="0" fillId="0" borderId="0" xfId="0" applyNumberFormat="1"/>
    <xf numFmtId="0" fontId="10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43" fontId="0" fillId="0" borderId="0" xfId="2" applyFont="1"/>
    <xf numFmtId="0" fontId="1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wrapText="1"/>
    </xf>
    <xf numFmtId="0" fontId="0" fillId="0" borderId="0" xfId="0" applyAlignment="1">
      <alignment horizontal="left"/>
    </xf>
    <xf numFmtId="44" fontId="10" fillId="0" borderId="0" xfId="0" applyNumberFormat="1" applyFont="1"/>
    <xf numFmtId="44" fontId="10" fillId="0" borderId="4" xfId="1" applyFont="1" applyBorder="1"/>
    <xf numFmtId="0" fontId="10" fillId="3" borderId="3" xfId="0" applyFont="1" applyFill="1" applyBorder="1" applyAlignment="1">
      <alignment wrapText="1"/>
    </xf>
    <xf numFmtId="0" fontId="10" fillId="3" borderId="3" xfId="0" applyFont="1" applyFill="1" applyBorder="1" applyAlignment="1">
      <alignment horizontal="left" wrapText="1"/>
    </xf>
    <xf numFmtId="44" fontId="0" fillId="0" borderId="1" xfId="1" applyFont="1" applyFill="1" applyBorder="1"/>
    <xf numFmtId="0" fontId="7" fillId="0" borderId="1" xfId="0" applyFont="1" applyBorder="1" applyAlignment="1">
      <alignment wrapText="1"/>
    </xf>
    <xf numFmtId="0" fontId="10" fillId="3" borderId="3" xfId="0" applyFont="1" applyFill="1" applyBorder="1"/>
    <xf numFmtId="44" fontId="7" fillId="4" borderId="5" xfId="1" applyFont="1" applyFill="1" applyBorder="1"/>
    <xf numFmtId="0" fontId="10" fillId="3" borderId="1" xfId="0" applyFont="1" applyFill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1" fillId="0" borderId="1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6" borderId="15" xfId="0" applyFont="1" applyFill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18" xfId="0" applyFont="1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14" fillId="0" borderId="0" xfId="0" applyFont="1"/>
    <xf numFmtId="3" fontId="16" fillId="8" borderId="19" xfId="0" applyNumberFormat="1" applyFont="1" applyFill="1" applyBorder="1" applyAlignment="1">
      <alignment horizontal="right" vertical="center"/>
    </xf>
    <xf numFmtId="0" fontId="6" fillId="0" borderId="0" xfId="0" applyFont="1"/>
    <xf numFmtId="43" fontId="6" fillId="0" borderId="0" xfId="0" applyNumberFormat="1" applyFont="1"/>
    <xf numFmtId="0" fontId="17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 wrapText="1"/>
    </xf>
    <xf numFmtId="44" fontId="20" fillId="0" borderId="1" xfId="1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21" fillId="3" borderId="1" xfId="0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left" vertical="center" wrapText="1"/>
    </xf>
    <xf numFmtId="44" fontId="21" fillId="0" borderId="0" xfId="0" applyNumberFormat="1" applyFont="1" applyAlignment="1">
      <alignment horizontal="left" vertical="center"/>
    </xf>
    <xf numFmtId="0" fontId="15" fillId="0" borderId="1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44" fontId="6" fillId="0" borderId="0" xfId="0" applyNumberFormat="1" applyFont="1"/>
    <xf numFmtId="1" fontId="0" fillId="0" borderId="0" xfId="0" applyNumberFormat="1"/>
    <xf numFmtId="4" fontId="0" fillId="0" borderId="0" xfId="0" applyNumberFormat="1"/>
    <xf numFmtId="0" fontId="4" fillId="0" borderId="0" xfId="0" applyFont="1"/>
    <xf numFmtId="5" fontId="17" fillId="0" borderId="12" xfId="1" applyNumberFormat="1" applyFont="1" applyBorder="1" applyAlignment="1">
      <alignment horizontal="center" vertical="center" wrapText="1"/>
    </xf>
    <xf numFmtId="5" fontId="17" fillId="0" borderId="12" xfId="1" applyNumberFormat="1" applyFont="1" applyBorder="1" applyAlignment="1">
      <alignment horizontal="right" vertical="center" wrapText="1"/>
    </xf>
    <xf numFmtId="5" fontId="15" fillId="0" borderId="12" xfId="1" applyNumberFormat="1" applyFont="1" applyBorder="1" applyAlignment="1">
      <alignment horizontal="right" vertical="center" wrapText="1"/>
    </xf>
    <xf numFmtId="5" fontId="15" fillId="7" borderId="11" xfId="3" applyNumberFormat="1" applyFont="1" applyFill="1" applyBorder="1" applyAlignment="1">
      <alignment horizontal="right" vertical="center" wrapText="1"/>
    </xf>
    <xf numFmtId="164" fontId="17" fillId="0" borderId="1" xfId="3" applyNumberFormat="1" applyFont="1" applyBorder="1" applyAlignment="1">
      <alignment vertical="center" wrapText="1"/>
    </xf>
    <xf numFmtId="164" fontId="17" fillId="0" borderId="1" xfId="3" applyNumberFormat="1" applyFont="1" applyBorder="1" applyAlignment="1">
      <alignment horizontal="right" vertical="center" wrapText="1"/>
    </xf>
    <xf numFmtId="7" fontId="15" fillId="7" borderId="11" xfId="1" applyNumberFormat="1" applyFont="1" applyFill="1" applyBorder="1" applyAlignment="1">
      <alignment horizontal="right" vertical="center" wrapText="1"/>
    </xf>
    <xf numFmtId="5" fontId="17" fillId="0" borderId="12" xfId="3" applyNumberFormat="1" applyFont="1" applyFill="1" applyBorder="1" applyAlignment="1">
      <alignment vertical="center" wrapText="1"/>
    </xf>
    <xf numFmtId="5" fontId="17" fillId="0" borderId="12" xfId="3" applyNumberFormat="1" applyFont="1" applyBorder="1" applyAlignment="1">
      <alignment vertical="center" wrapText="1"/>
    </xf>
    <xf numFmtId="5" fontId="17" fillId="0" borderId="12" xfId="3" applyNumberFormat="1" applyFont="1" applyBorder="1" applyAlignment="1">
      <alignment horizontal="left" vertical="center" wrapText="1" indent="7"/>
    </xf>
    <xf numFmtId="3" fontId="15" fillId="7" borderId="11" xfId="3" applyNumberFormat="1" applyFont="1" applyFill="1" applyBorder="1" applyAlignment="1">
      <alignment horizontal="right" vertical="center" wrapText="1"/>
    </xf>
    <xf numFmtId="3" fontId="14" fillId="0" borderId="0" xfId="0" applyNumberFormat="1" applyFont="1"/>
    <xf numFmtId="0" fontId="25" fillId="9" borderId="6" xfId="0" applyFont="1" applyFill="1" applyBorder="1" applyAlignment="1">
      <alignment horizontal="justify" vertical="center"/>
    </xf>
    <xf numFmtId="0" fontId="25" fillId="9" borderId="19" xfId="0" applyFont="1" applyFill="1" applyBorder="1" applyAlignment="1">
      <alignment horizontal="justify" vertical="center" wrapText="1"/>
    </xf>
    <xf numFmtId="0" fontId="25" fillId="9" borderId="9" xfId="0" applyFont="1" applyFill="1" applyBorder="1" applyAlignment="1">
      <alignment horizontal="justify" vertical="center"/>
    </xf>
    <xf numFmtId="0" fontId="25" fillId="9" borderId="12" xfId="0" applyFont="1" applyFill="1" applyBorder="1" applyAlignment="1">
      <alignment horizontal="justify" vertical="center" wrapText="1"/>
    </xf>
    <xf numFmtId="0" fontId="25" fillId="9" borderId="12" xfId="0" applyFont="1" applyFill="1" applyBorder="1" applyAlignment="1">
      <alignment horizontal="justify" vertical="center"/>
    </xf>
    <xf numFmtId="0" fontId="25" fillId="9" borderId="15" xfId="0" applyFont="1" applyFill="1" applyBorder="1" applyAlignment="1">
      <alignment horizontal="justify" vertical="center" wrapText="1"/>
    </xf>
    <xf numFmtId="0" fontId="25" fillId="0" borderId="12" xfId="0" applyFont="1" applyBorder="1" applyAlignment="1">
      <alignment horizontal="justify" vertical="center" wrapText="1"/>
    </xf>
    <xf numFmtId="0" fontId="25" fillId="9" borderId="11" xfId="0" applyFont="1" applyFill="1" applyBorder="1" applyAlignment="1">
      <alignment horizontal="justify" vertical="center" wrapText="1"/>
    </xf>
    <xf numFmtId="0" fontId="25" fillId="9" borderId="18" xfId="0" applyFont="1" applyFill="1" applyBorder="1" applyAlignment="1">
      <alignment horizontal="justify" vertical="center" wrapText="1"/>
    </xf>
    <xf numFmtId="0" fontId="25" fillId="0" borderId="11" xfId="0" applyFont="1" applyBorder="1" applyAlignment="1">
      <alignment horizontal="justify" vertical="center" wrapText="1"/>
    </xf>
    <xf numFmtId="44" fontId="7" fillId="0" borderId="5" xfId="1" applyFont="1" applyFill="1" applyBorder="1"/>
    <xf numFmtId="0" fontId="26" fillId="0" borderId="0" xfId="0" applyFont="1"/>
    <xf numFmtId="0" fontId="27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27" fillId="0" borderId="25" xfId="0" applyFont="1" applyBorder="1"/>
    <xf numFmtId="0" fontId="27" fillId="0" borderId="24" xfId="0" applyFont="1" applyBorder="1"/>
    <xf numFmtId="0" fontId="27" fillId="0" borderId="26" xfId="0" applyFont="1" applyBorder="1"/>
    <xf numFmtId="0" fontId="27" fillId="0" borderId="4" xfId="0" applyFont="1" applyBorder="1"/>
    <xf numFmtId="165" fontId="28" fillId="0" borderId="27" xfId="0" applyNumberFormat="1" applyFont="1" applyBorder="1" applyAlignment="1" applyProtection="1">
      <alignment horizontal="right" vertical="center"/>
      <protection locked="0"/>
    </xf>
    <xf numFmtId="165" fontId="29" fillId="0" borderId="0" xfId="0" applyNumberFormat="1" applyFont="1" applyAlignment="1" applyProtection="1">
      <alignment horizontal="center" vertical="center" wrapText="1"/>
      <protection locked="0"/>
    </xf>
    <xf numFmtId="167" fontId="0" fillId="0" borderId="29" xfId="5" applyNumberFormat="1" applyFont="1" applyBorder="1" applyAlignment="1">
      <alignment horizontal="center" vertical="center"/>
    </xf>
    <xf numFmtId="0" fontId="26" fillId="0" borderId="4" xfId="0" applyFont="1" applyBorder="1"/>
    <xf numFmtId="167" fontId="0" fillId="0" borderId="1" xfId="5" applyNumberFormat="1" applyFont="1" applyBorder="1"/>
    <xf numFmtId="167" fontId="0" fillId="0" borderId="0" xfId="5" applyNumberFormat="1" applyFont="1" applyBorder="1"/>
    <xf numFmtId="167" fontId="0" fillId="0" borderId="1" xfId="5" applyNumberFormat="1" applyFont="1" applyFill="1" applyBorder="1" applyAlignment="1">
      <alignment horizontal="center" vertical="center"/>
    </xf>
    <xf numFmtId="167" fontId="0" fillId="11" borderId="0" xfId="5" applyNumberFormat="1" applyFont="1" applyFill="1" applyBorder="1" applyAlignment="1">
      <alignment horizontal="center" vertical="center"/>
    </xf>
    <xf numFmtId="167" fontId="0" fillId="0" borderId="1" xfId="5" applyNumberFormat="1" applyFont="1" applyBorder="1" applyAlignment="1">
      <alignment horizontal="center" vertical="center"/>
    </xf>
    <xf numFmtId="167" fontId="0" fillId="0" borderId="0" xfId="5" applyNumberFormat="1" applyFont="1" applyBorder="1" applyAlignment="1">
      <alignment horizontal="center" vertical="center"/>
    </xf>
    <xf numFmtId="167" fontId="26" fillId="0" borderId="0" xfId="0" applyNumberFormat="1" applyFont="1"/>
    <xf numFmtId="0" fontId="26" fillId="0" borderId="1" xfId="0" applyFont="1" applyBorder="1"/>
    <xf numFmtId="14" fontId="26" fillId="0" borderId="24" xfId="0" applyNumberFormat="1" applyFont="1" applyBorder="1"/>
    <xf numFmtId="0" fontId="26" fillId="0" borderId="24" xfId="0" applyFont="1" applyBorder="1"/>
    <xf numFmtId="2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8" fontId="26" fillId="0" borderId="28" xfId="0" applyNumberFormat="1" applyFont="1" applyBorder="1"/>
    <xf numFmtId="166" fontId="0" fillId="0" borderId="1" xfId="5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10" fillId="0" borderId="1" xfId="5" applyNumberFormat="1" applyFont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 vertical="center"/>
    </xf>
    <xf numFmtId="0" fontId="27" fillId="0" borderId="1" xfId="0" applyFont="1" applyBorder="1"/>
    <xf numFmtId="0" fontId="26" fillId="0" borderId="28" xfId="0" applyFont="1" applyBorder="1"/>
    <xf numFmtId="167" fontId="10" fillId="0" borderId="0" xfId="5" applyNumberFormat="1" applyFont="1" applyFill="1" applyBorder="1" applyAlignment="1">
      <alignment horizontal="center" vertical="center"/>
    </xf>
    <xf numFmtId="9" fontId="26" fillId="0" borderId="28" xfId="0" applyNumberFormat="1" applyFont="1" applyBorder="1"/>
    <xf numFmtId="167" fontId="0" fillId="0" borderId="0" xfId="0" applyNumberFormat="1"/>
    <xf numFmtId="43" fontId="27" fillId="0" borderId="0" xfId="2" applyFont="1"/>
    <xf numFmtId="0" fontId="27" fillId="0" borderId="0" xfId="0" applyFont="1"/>
    <xf numFmtId="0" fontId="26" fillId="0" borderId="0" xfId="0" applyFont="1" applyAlignment="1">
      <alignment wrapText="1"/>
    </xf>
    <xf numFmtId="14" fontId="0" fillId="0" borderId="0" xfId="0" applyNumberFormat="1"/>
    <xf numFmtId="43" fontId="26" fillId="0" borderId="0" xfId="2" applyFont="1"/>
    <xf numFmtId="43" fontId="27" fillId="0" borderId="0" xfId="0" applyNumberFormat="1" applyFont="1"/>
    <xf numFmtId="0" fontId="0" fillId="0" borderId="18" xfId="0" applyBorder="1"/>
    <xf numFmtId="0" fontId="0" fillId="0" borderId="7" xfId="0" applyBorder="1"/>
    <xf numFmtId="0" fontId="0" fillId="0" borderId="19" xfId="0" applyBorder="1"/>
    <xf numFmtId="44" fontId="26" fillId="0" borderId="0" xfId="1" applyFont="1"/>
    <xf numFmtId="44" fontId="26" fillId="0" borderId="0" xfId="0" applyNumberFormat="1" applyFont="1"/>
    <xf numFmtId="0" fontId="0" fillId="0" borderId="4" xfId="0" applyBorder="1"/>
    <xf numFmtId="0" fontId="10" fillId="0" borderId="0" xfId="0" applyFont="1"/>
    <xf numFmtId="0" fontId="10" fillId="0" borderId="30" xfId="0" applyFont="1" applyBorder="1" applyAlignment="1">
      <alignment horizontal="center"/>
    </xf>
    <xf numFmtId="0" fontId="10" fillId="0" borderId="31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0" fillId="0" borderId="33" xfId="0" applyBorder="1"/>
    <xf numFmtId="43" fontId="0" fillId="0" borderId="1" xfId="2" applyFont="1" applyBorder="1" applyAlignment="1">
      <alignment horizontal="center"/>
    </xf>
    <xf numFmtId="169" fontId="0" fillId="0" borderId="1" xfId="2" applyNumberFormat="1" applyFont="1" applyBorder="1" applyAlignment="1">
      <alignment horizontal="center"/>
    </xf>
    <xf numFmtId="43" fontId="0" fillId="0" borderId="1" xfId="2" applyFont="1" applyBorder="1"/>
    <xf numFmtId="0" fontId="0" fillId="13" borderId="1" xfId="0" applyFill="1" applyBorder="1" applyAlignment="1">
      <alignment horizontal="left" vertical="center" wrapText="1"/>
    </xf>
    <xf numFmtId="0" fontId="0" fillId="12" borderId="1" xfId="0" applyFill="1" applyBorder="1" applyAlignment="1">
      <alignment horizontal="left" vertical="center" wrapText="1"/>
    </xf>
    <xf numFmtId="43" fontId="0" fillId="0" borderId="0" xfId="0" applyNumberFormat="1"/>
    <xf numFmtId="43" fontId="0" fillId="0" borderId="0" xfId="2" applyFont="1" applyAlignment="1">
      <alignment horizontal="center"/>
    </xf>
    <xf numFmtId="1" fontId="17" fillId="0" borderId="12" xfId="3" applyNumberFormat="1" applyFont="1" applyBorder="1" applyAlignment="1">
      <alignment vertical="center" wrapText="1"/>
    </xf>
    <xf numFmtId="0" fontId="0" fillId="0" borderId="0" xfId="0" applyAlignment="1">
      <alignment horizontal="center"/>
    </xf>
    <xf numFmtId="10" fontId="0" fillId="0" borderId="1" xfId="1" applyNumberFormat="1" applyFont="1" applyBorder="1" applyAlignment="1">
      <alignment horizontal="left" indent="6"/>
    </xf>
    <xf numFmtId="0" fontId="10" fillId="0" borderId="1" xfId="0" applyFont="1" applyBorder="1" applyAlignment="1">
      <alignment horizontal="center"/>
    </xf>
    <xf numFmtId="44" fontId="0" fillId="0" borderId="0" xfId="1" applyFont="1"/>
    <xf numFmtId="44" fontId="3" fillId="0" borderId="0" xfId="0" applyNumberFormat="1" applyFont="1"/>
    <xf numFmtId="0" fontId="0" fillId="0" borderId="0" xfId="0" applyAlignment="1">
      <alignment horizontal="right"/>
    </xf>
    <xf numFmtId="0" fontId="15" fillId="0" borderId="12" xfId="0" applyFont="1" applyBorder="1" applyAlignment="1">
      <alignment horizontal="right" vertical="center" wrapText="1"/>
    </xf>
    <xf numFmtId="0" fontId="15" fillId="0" borderId="15" xfId="0" applyFont="1" applyBorder="1" applyAlignment="1">
      <alignment horizontal="right" vertical="center" wrapText="1"/>
    </xf>
    <xf numFmtId="0" fontId="14" fillId="0" borderId="0" xfId="0" applyFont="1" applyAlignment="1">
      <alignment horizontal="right"/>
    </xf>
    <xf numFmtId="1" fontId="17" fillId="0" borderId="12" xfId="3" applyNumberFormat="1" applyFont="1" applyBorder="1" applyAlignment="1">
      <alignment horizontal="right" vertical="center" wrapText="1"/>
    </xf>
    <xf numFmtId="44" fontId="0" fillId="11" borderId="0" xfId="0" applyNumberFormat="1" applyFill="1"/>
    <xf numFmtId="10" fontId="6" fillId="0" borderId="0" xfId="4" applyNumberFormat="1" applyFont="1"/>
    <xf numFmtId="0" fontId="3" fillId="0" borderId="1" xfId="0" applyFont="1" applyBorder="1" applyAlignment="1">
      <alignment wrapText="1"/>
    </xf>
    <xf numFmtId="10" fontId="0" fillId="0" borderId="0" xfId="4" applyNumberFormat="1" applyFont="1"/>
    <xf numFmtId="0" fontId="3" fillId="0" borderId="0" xfId="0" applyFont="1"/>
    <xf numFmtId="0" fontId="30" fillId="0" borderId="0" xfId="0" applyFont="1"/>
    <xf numFmtId="0" fontId="10" fillId="0" borderId="1" xfId="0" applyFont="1" applyBorder="1" applyAlignment="1">
      <alignment horizontal="right"/>
    </xf>
    <xf numFmtId="3" fontId="10" fillId="0" borderId="1" xfId="0" applyNumberFormat="1" applyFont="1" applyBorder="1"/>
    <xf numFmtId="0" fontId="2" fillId="14" borderId="1" xfId="0" applyFont="1" applyFill="1" applyBorder="1"/>
    <xf numFmtId="44" fontId="0" fillId="14" borderId="1" xfId="1" applyFont="1" applyFill="1" applyBorder="1"/>
    <xf numFmtId="5" fontId="15" fillId="7" borderId="13" xfId="3" applyNumberFormat="1" applyFont="1" applyFill="1" applyBorder="1" applyAlignment="1">
      <alignment horizontal="righ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right" vertical="center" wrapText="1"/>
    </xf>
    <xf numFmtId="7" fontId="15" fillId="7" borderId="1" xfId="1" applyNumberFormat="1" applyFont="1" applyFill="1" applyBorder="1" applyAlignment="1">
      <alignment horizontal="right" vertical="center" wrapText="1"/>
    </xf>
    <xf numFmtId="0" fontId="18" fillId="7" borderId="1" xfId="0" applyFont="1" applyFill="1" applyBorder="1" applyAlignment="1">
      <alignment vertical="center" wrapText="1"/>
    </xf>
    <xf numFmtId="3" fontId="15" fillId="7" borderId="1" xfId="3" applyNumberFormat="1" applyFont="1" applyFill="1" applyBorder="1" applyAlignment="1">
      <alignment horizontal="right" vertical="center" wrapText="1"/>
    </xf>
    <xf numFmtId="3" fontId="10" fillId="0" borderId="1" xfId="1" applyNumberFormat="1" applyFont="1" applyBorder="1"/>
    <xf numFmtId="0" fontId="31" fillId="0" borderId="0" xfId="0" applyFont="1" applyAlignment="1">
      <alignment horizontal="right"/>
    </xf>
    <xf numFmtId="0" fontId="32" fillId="0" borderId="1" xfId="0" applyFont="1" applyBorder="1" applyAlignment="1">
      <alignment horizontal="center"/>
    </xf>
    <xf numFmtId="44" fontId="0" fillId="0" borderId="3" xfId="1" applyFont="1" applyFill="1" applyBorder="1" applyAlignment="1">
      <alignment horizontal="center"/>
    </xf>
    <xf numFmtId="44" fontId="0" fillId="0" borderId="4" xfId="1" applyFont="1" applyFill="1" applyBorder="1" applyAlignment="1">
      <alignment horizontal="center"/>
    </xf>
    <xf numFmtId="10" fontId="0" fillId="0" borderId="3" xfId="1" applyNumberFormat="1" applyFont="1" applyBorder="1" applyAlignment="1">
      <alignment horizontal="left" indent="6"/>
    </xf>
    <xf numFmtId="10" fontId="0" fillId="0" borderId="4" xfId="1" applyNumberFormat="1" applyFont="1" applyBorder="1" applyAlignment="1">
      <alignment horizontal="left" indent="6"/>
    </xf>
    <xf numFmtId="44" fontId="0" fillId="0" borderId="3" xfId="1" applyFont="1" applyBorder="1" applyAlignment="1">
      <alignment horizontal="center"/>
    </xf>
    <xf numFmtId="44" fontId="0" fillId="0" borderId="4" xfId="1" applyFont="1" applyBorder="1" applyAlignment="1">
      <alignment horizontal="center"/>
    </xf>
    <xf numFmtId="0" fontId="25" fillId="9" borderId="14" xfId="0" applyFont="1" applyFill="1" applyBorder="1" applyAlignment="1">
      <alignment horizontal="justify" vertical="center" wrapText="1"/>
    </xf>
    <xf numFmtId="0" fontId="25" fillId="9" borderId="11" xfId="0" applyFont="1" applyFill="1" applyBorder="1" applyAlignment="1">
      <alignment horizontal="justify" vertical="center" wrapText="1"/>
    </xf>
    <xf numFmtId="0" fontId="25" fillId="9" borderId="14" xfId="0" applyFont="1" applyFill="1" applyBorder="1" applyAlignment="1">
      <alignment horizontal="justify" vertical="center"/>
    </xf>
    <xf numFmtId="0" fontId="25" fillId="9" borderId="11" xfId="0" applyFont="1" applyFill="1" applyBorder="1" applyAlignment="1">
      <alignment horizontal="justify" vertical="center"/>
    </xf>
    <xf numFmtId="0" fontId="16" fillId="5" borderId="1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5" borderId="7" xfId="0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right" vertical="center" wrapText="1"/>
    </xf>
    <xf numFmtId="0" fontId="18" fillId="0" borderId="7" xfId="0" applyFont="1" applyBorder="1" applyAlignment="1">
      <alignment horizontal="right" vertical="center" wrapText="1"/>
    </xf>
    <xf numFmtId="0" fontId="18" fillId="0" borderId="19" xfId="0" applyFont="1" applyBorder="1" applyAlignment="1">
      <alignment horizontal="right" vertical="center" wrapText="1"/>
    </xf>
    <xf numFmtId="0" fontId="18" fillId="0" borderId="9" xfId="0" applyFont="1" applyBorder="1" applyAlignment="1">
      <alignment horizontal="right" vertical="center" wrapText="1"/>
    </xf>
    <xf numFmtId="0" fontId="18" fillId="0" borderId="10" xfId="0" applyFont="1" applyBorder="1" applyAlignment="1">
      <alignment horizontal="right" vertical="center" wrapText="1"/>
    </xf>
    <xf numFmtId="0" fontId="18" fillId="0" borderId="12" xfId="0" applyFont="1" applyBorder="1" applyAlignment="1">
      <alignment horizontal="right" vertical="center" wrapText="1"/>
    </xf>
    <xf numFmtId="0" fontId="18" fillId="7" borderId="17" xfId="0" applyFont="1" applyFill="1" applyBorder="1" applyAlignment="1">
      <alignment horizontal="right" vertical="center" wrapText="1"/>
    </xf>
    <xf numFmtId="0" fontId="18" fillId="7" borderId="34" xfId="0" applyFont="1" applyFill="1" applyBorder="1" applyAlignment="1">
      <alignment horizontal="right" vertical="center" wrapText="1"/>
    </xf>
    <xf numFmtId="0" fontId="18" fillId="7" borderId="16" xfId="0" applyFont="1" applyFill="1" applyBorder="1" applyAlignment="1">
      <alignment horizontal="right" vertical="center" wrapText="1"/>
    </xf>
    <xf numFmtId="0" fontId="18" fillId="7" borderId="6" xfId="0" applyFont="1" applyFill="1" applyBorder="1" applyAlignment="1">
      <alignment horizontal="right" vertical="center" wrapText="1"/>
    </xf>
    <xf numFmtId="0" fontId="18" fillId="7" borderId="7" xfId="0" applyFont="1" applyFill="1" applyBorder="1" applyAlignment="1">
      <alignment horizontal="right" vertical="center" wrapText="1"/>
    </xf>
    <xf numFmtId="0" fontId="18" fillId="7" borderId="19" xfId="0" applyFont="1" applyFill="1" applyBorder="1" applyAlignment="1">
      <alignment horizontal="right" vertical="center" wrapText="1"/>
    </xf>
    <xf numFmtId="43" fontId="17" fillId="0" borderId="1" xfId="2" applyFont="1" applyBorder="1" applyAlignment="1">
      <alignment horizontal="right" vertical="center" wrapText="1"/>
    </xf>
    <xf numFmtId="164" fontId="17" fillId="0" borderId="1" xfId="3" applyNumberFormat="1" applyFont="1" applyBorder="1" applyAlignment="1">
      <alignment horizontal="right" vertical="center" wrapText="1"/>
    </xf>
    <xf numFmtId="0" fontId="1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16" fillId="8" borderId="6" xfId="0" applyFont="1" applyFill="1" applyBorder="1" applyAlignment="1">
      <alignment horizontal="right" vertical="center"/>
    </xf>
    <xf numFmtId="0" fontId="16" fillId="8" borderId="7" xfId="0" applyFont="1" applyFill="1" applyBorder="1" applyAlignment="1">
      <alignment horizontal="right" vertical="center"/>
    </xf>
    <xf numFmtId="0" fontId="16" fillId="8" borderId="19" xfId="0" applyFont="1" applyFill="1" applyBorder="1" applyAlignment="1">
      <alignment horizontal="right" vertical="center"/>
    </xf>
    <xf numFmtId="0" fontId="18" fillId="7" borderId="1" xfId="0" applyFont="1" applyFill="1" applyBorder="1" applyAlignment="1">
      <alignment horizontal="right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right" vertical="center" wrapText="1"/>
    </xf>
    <xf numFmtId="0" fontId="17" fillId="0" borderId="7" xfId="0" applyFont="1" applyBorder="1" applyAlignment="1">
      <alignment horizontal="right" vertical="center" wrapText="1"/>
    </xf>
    <xf numFmtId="0" fontId="17" fillId="0" borderId="19" xfId="0" applyFont="1" applyBorder="1" applyAlignment="1">
      <alignment horizontal="right" vertical="center" wrapText="1"/>
    </xf>
    <xf numFmtId="0" fontId="10" fillId="10" borderId="20" xfId="0" applyFont="1" applyFill="1" applyBorder="1" applyAlignment="1">
      <alignment horizontal="center" vertical="center"/>
    </xf>
    <xf numFmtId="0" fontId="10" fillId="10" borderId="21" xfId="0" applyFont="1" applyFill="1" applyBorder="1" applyAlignment="1">
      <alignment horizontal="center" vertical="center"/>
    </xf>
    <xf numFmtId="0" fontId="10" fillId="10" borderId="22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0" borderId="23" xfId="0" applyFont="1" applyFill="1" applyBorder="1" applyAlignment="1">
      <alignment horizontal="center" vertical="center"/>
    </xf>
    <xf numFmtId="0" fontId="10" fillId="10" borderId="2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7" fillId="0" borderId="34" xfId="0" applyFont="1" applyBorder="1" applyAlignment="1">
      <alignment horizontal="right" vertical="center" wrapText="1"/>
    </xf>
    <xf numFmtId="0" fontId="17" fillId="0" borderId="16" xfId="0" applyFont="1" applyBorder="1" applyAlignment="1">
      <alignment horizontal="right" vertical="center" wrapText="1"/>
    </xf>
    <xf numFmtId="0" fontId="18" fillId="7" borderId="9" xfId="0" applyFont="1" applyFill="1" applyBorder="1" applyAlignment="1">
      <alignment horizontal="right" vertical="center" wrapText="1"/>
    </xf>
    <xf numFmtId="0" fontId="18" fillId="7" borderId="10" xfId="0" applyFont="1" applyFill="1" applyBorder="1" applyAlignment="1">
      <alignment horizontal="right" vertical="center" wrapText="1"/>
    </xf>
    <xf numFmtId="0" fontId="18" fillId="7" borderId="12" xfId="0" applyFont="1" applyFill="1" applyBorder="1" applyAlignment="1">
      <alignment horizontal="right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3" fontId="0" fillId="0" borderId="1" xfId="0" applyNumberFormat="1" applyBorder="1"/>
    <xf numFmtId="6" fontId="17" fillId="0" borderId="1" xfId="0" applyNumberFormat="1" applyFont="1" applyBorder="1"/>
    <xf numFmtId="6" fontId="0" fillId="0" borderId="1" xfId="0" applyNumberFormat="1" applyBorder="1"/>
  </cellXfs>
  <cellStyles count="6">
    <cellStyle name="Millares" xfId="2" builtinId="3"/>
    <cellStyle name="Millares 6 2" xfId="5" xr:uid="{6D28FB68-E50D-42A5-9C68-E2A01AB89C4B}"/>
    <cellStyle name="Moneda" xfId="1" builtinId="4"/>
    <cellStyle name="Moneda [0]" xfId="3" builtinId="7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17</xdr:row>
      <xdr:rowOff>0</xdr:rowOff>
    </xdr:from>
    <xdr:to>
      <xdr:col>9</xdr:col>
      <xdr:colOff>110906</xdr:colOff>
      <xdr:row>41</xdr:row>
      <xdr:rowOff>11968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9B9B629-9E49-4150-BE0F-B92C8B700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536908"/>
          <a:ext cx="11104762" cy="45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D3666-D539-4901-AE96-83313548EEE8}">
  <dimension ref="A4:J15"/>
  <sheetViews>
    <sheetView tabSelected="1" zoomScale="76" workbookViewId="0">
      <selection activeCell="C8" sqref="C8"/>
    </sheetView>
  </sheetViews>
  <sheetFormatPr baseColWidth="10" defaultRowHeight="14.4" x14ac:dyDescent="0.3"/>
  <cols>
    <col min="1" max="1" width="30" customWidth="1"/>
    <col min="2" max="2" width="18.109375" hidden="1" customWidth="1"/>
    <col min="3" max="3" width="27.44140625" customWidth="1"/>
    <col min="4" max="4" width="16" customWidth="1"/>
    <col min="5" max="5" width="18.5546875" customWidth="1"/>
    <col min="6" max="6" width="29" customWidth="1"/>
    <col min="7" max="7" width="20.5546875" customWidth="1"/>
    <col min="10" max="10" width="23.6640625" customWidth="1"/>
    <col min="12" max="12" width="11.5546875" customWidth="1"/>
  </cols>
  <sheetData>
    <row r="4" spans="1:10" ht="82.8" x14ac:dyDescent="0.3">
      <c r="A4" s="3" t="s">
        <v>4</v>
      </c>
      <c r="B4" s="8" t="s">
        <v>5</v>
      </c>
      <c r="C4" s="3" t="s">
        <v>161</v>
      </c>
      <c r="D4" s="151" t="s">
        <v>13</v>
      </c>
      <c r="E4" s="3" t="s">
        <v>14</v>
      </c>
      <c r="F4" s="173" t="s">
        <v>226</v>
      </c>
      <c r="G4" s="173" t="s">
        <v>224</v>
      </c>
    </row>
    <row r="5" spans="1:10" ht="28.8" x14ac:dyDescent="0.3">
      <c r="A5" s="4" t="s">
        <v>7</v>
      </c>
      <c r="B5" s="1" t="s">
        <v>0</v>
      </c>
      <c r="C5" s="6">
        <v>15159000</v>
      </c>
      <c r="D5" s="150">
        <v>5.1999999999999998E-2</v>
      </c>
      <c r="E5" s="6">
        <f>C5+(C5*D5)</f>
        <v>15947268</v>
      </c>
      <c r="F5" s="237">
        <v>22557995</v>
      </c>
      <c r="G5" s="238">
        <f>670403967/29</f>
        <v>23117378.172413792</v>
      </c>
    </row>
    <row r="6" spans="1:10" ht="28.8" x14ac:dyDescent="0.3">
      <c r="A6" s="5" t="s">
        <v>1</v>
      </c>
      <c r="B6" s="1" t="s">
        <v>2</v>
      </c>
      <c r="C6" s="6">
        <v>34000000</v>
      </c>
      <c r="D6" s="150">
        <v>5.1999999999999998E-2</v>
      </c>
      <c r="E6" s="6">
        <f t="shared" ref="E6:E8" si="0">C6+(C6*D6)</f>
        <v>35768000</v>
      </c>
      <c r="F6" s="237">
        <v>22557995</v>
      </c>
      <c r="G6" s="239">
        <f>1244932000/29</f>
        <v>42928689.655172415</v>
      </c>
    </row>
    <row r="7" spans="1:10" ht="43.2" x14ac:dyDescent="0.3">
      <c r="A7" s="5" t="s">
        <v>3</v>
      </c>
      <c r="B7" s="1" t="s">
        <v>6</v>
      </c>
      <c r="C7" s="5"/>
      <c r="D7" s="150">
        <v>5.1999999999999998E-2</v>
      </c>
      <c r="E7" s="6">
        <f t="shared" si="0"/>
        <v>0</v>
      </c>
      <c r="F7" s="237"/>
      <c r="G7" s="238"/>
    </row>
    <row r="8" spans="1:10" ht="28.8" x14ac:dyDescent="0.3">
      <c r="A8" s="4" t="s">
        <v>8</v>
      </c>
      <c r="B8" s="21" t="s">
        <v>90</v>
      </c>
      <c r="C8" s="20">
        <v>22857000</v>
      </c>
      <c r="D8" s="150">
        <v>5.1999999999999998E-2</v>
      </c>
      <c r="E8" s="6">
        <f t="shared" si="0"/>
        <v>24045564</v>
      </c>
      <c r="F8" s="237">
        <v>22557995</v>
      </c>
      <c r="G8" s="238">
        <f>1866508350/69</f>
        <v>27050845.652173914</v>
      </c>
    </row>
    <row r="9" spans="1:10" x14ac:dyDescent="0.3">
      <c r="A9" s="4" t="s">
        <v>9</v>
      </c>
      <c r="B9" s="9" t="s">
        <v>10</v>
      </c>
      <c r="C9" s="178">
        <v>22711000</v>
      </c>
      <c r="D9" s="180">
        <v>5.1999999999999998E-2</v>
      </c>
      <c r="E9" s="182">
        <f>C9+(C9*D9)</f>
        <v>23891972</v>
      </c>
      <c r="F9" s="237">
        <v>22557995</v>
      </c>
      <c r="G9" s="238">
        <f>765765330/40</f>
        <v>19144133.25</v>
      </c>
    </row>
    <row r="10" spans="1:10" x14ac:dyDescent="0.3">
      <c r="A10" s="4" t="s">
        <v>12</v>
      </c>
      <c r="B10" s="9" t="s">
        <v>11</v>
      </c>
      <c r="C10" s="179"/>
      <c r="D10" s="181"/>
      <c r="E10" s="183"/>
      <c r="F10" s="237">
        <v>22557995</v>
      </c>
      <c r="G10" s="238">
        <f>765765330/40</f>
        <v>19144133.25</v>
      </c>
    </row>
    <row r="11" spans="1:10" x14ac:dyDescent="0.3">
      <c r="A11" s="2"/>
    </row>
    <row r="12" spans="1:10" x14ac:dyDescent="0.3">
      <c r="E12" s="10"/>
      <c r="J12" s="63"/>
    </row>
    <row r="15" spans="1:10" x14ac:dyDescent="0.3">
      <c r="A15" s="163" t="s">
        <v>221</v>
      </c>
    </row>
  </sheetData>
  <mergeCells count="3">
    <mergeCell ref="C9:C10"/>
    <mergeCell ref="D9:D10"/>
    <mergeCell ref="E9:E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A1A62-136A-49C5-8B7E-3E5AAC57A2C3}">
  <dimension ref="A2:H30"/>
  <sheetViews>
    <sheetView topLeftCell="A14" zoomScale="88" workbookViewId="0">
      <selection activeCell="F24" sqref="F24"/>
    </sheetView>
  </sheetViews>
  <sheetFormatPr baseColWidth="10" defaultRowHeight="14.4" x14ac:dyDescent="0.3"/>
  <cols>
    <col min="2" max="2" width="21.109375" customWidth="1"/>
    <col min="3" max="3" width="22.33203125" customWidth="1"/>
    <col min="4" max="4" width="27" customWidth="1"/>
    <col min="5" max="5" width="46.109375" style="15" customWidth="1"/>
    <col min="6" max="6" width="22.109375" customWidth="1"/>
    <col min="8" max="8" width="19.33203125" bestFit="1" customWidth="1"/>
  </cols>
  <sheetData>
    <row r="2" spans="1:6" ht="29.4" thickBot="1" x14ac:dyDescent="0.35">
      <c r="A2" s="22" t="s">
        <v>86</v>
      </c>
      <c r="B2" s="18" t="s">
        <v>15</v>
      </c>
      <c r="C2" s="18" t="s">
        <v>16</v>
      </c>
      <c r="D2" s="18" t="s">
        <v>17</v>
      </c>
      <c r="E2" s="19" t="s">
        <v>18</v>
      </c>
      <c r="F2" s="14" t="s">
        <v>87</v>
      </c>
    </row>
    <row r="3" spans="1:6" ht="38.4" thickBot="1" x14ac:dyDescent="0.35">
      <c r="A3" s="77">
        <v>1</v>
      </c>
      <c r="B3" s="85" t="s">
        <v>58</v>
      </c>
      <c r="C3" s="78" t="s">
        <v>61</v>
      </c>
      <c r="D3" s="78" t="s">
        <v>162</v>
      </c>
      <c r="E3" s="78" t="s">
        <v>91</v>
      </c>
      <c r="F3" s="23">
        <v>75724824</v>
      </c>
    </row>
    <row r="4" spans="1:6" ht="38.4" thickBot="1" x14ac:dyDescent="0.35">
      <c r="A4" s="79">
        <v>2</v>
      </c>
      <c r="B4" s="84" t="s">
        <v>58</v>
      </c>
      <c r="C4" s="80" t="s">
        <v>62</v>
      </c>
      <c r="D4" s="80" t="s">
        <v>69</v>
      </c>
      <c r="E4" s="80" t="s">
        <v>91</v>
      </c>
      <c r="F4" s="23">
        <v>75724824</v>
      </c>
    </row>
    <row r="5" spans="1:6" ht="51" thickBot="1" x14ac:dyDescent="0.35">
      <c r="A5" s="79">
        <v>3</v>
      </c>
      <c r="B5" s="84" t="s">
        <v>58</v>
      </c>
      <c r="C5" s="80" t="s">
        <v>163</v>
      </c>
      <c r="D5" s="80" t="s">
        <v>70</v>
      </c>
      <c r="E5" s="80" t="s">
        <v>91</v>
      </c>
      <c r="F5" s="23">
        <v>75724824</v>
      </c>
    </row>
    <row r="6" spans="1:6" ht="25.8" thickBot="1" x14ac:dyDescent="0.35">
      <c r="A6" s="79">
        <v>4</v>
      </c>
      <c r="B6" s="84" t="s">
        <v>30</v>
      </c>
      <c r="C6" s="81" t="s">
        <v>32</v>
      </c>
      <c r="D6" s="80" t="s">
        <v>71</v>
      </c>
      <c r="E6" s="80" t="s">
        <v>91</v>
      </c>
      <c r="F6" s="23">
        <v>75724824</v>
      </c>
    </row>
    <row r="7" spans="1:6" ht="25.8" thickBot="1" x14ac:dyDescent="0.35">
      <c r="A7" s="79">
        <v>5</v>
      </c>
      <c r="B7" s="84" t="s">
        <v>30</v>
      </c>
      <c r="C7" s="81" t="s">
        <v>164</v>
      </c>
      <c r="D7" s="80" t="s">
        <v>165</v>
      </c>
      <c r="E7" s="80" t="s">
        <v>91</v>
      </c>
      <c r="F7" s="23">
        <v>75724824</v>
      </c>
    </row>
    <row r="8" spans="1:6" ht="25.8" thickBot="1" x14ac:dyDescent="0.35">
      <c r="A8" s="79">
        <v>6</v>
      </c>
      <c r="B8" s="84" t="s">
        <v>30</v>
      </c>
      <c r="C8" s="81" t="s">
        <v>31</v>
      </c>
      <c r="D8" s="80" t="s">
        <v>166</v>
      </c>
      <c r="E8" s="80" t="s">
        <v>91</v>
      </c>
      <c r="F8" s="23">
        <v>75724824</v>
      </c>
    </row>
    <row r="9" spans="1:6" ht="38.4" thickBot="1" x14ac:dyDescent="0.35">
      <c r="A9" s="79">
        <v>7</v>
      </c>
      <c r="B9" s="84" t="s">
        <v>30</v>
      </c>
      <c r="C9" s="81" t="s">
        <v>32</v>
      </c>
      <c r="D9" s="80" t="s">
        <v>122</v>
      </c>
      <c r="E9" s="80" t="s">
        <v>91</v>
      </c>
      <c r="F9" s="23">
        <v>75724824</v>
      </c>
    </row>
    <row r="10" spans="1:6" ht="76.2" thickBot="1" x14ac:dyDescent="0.35">
      <c r="A10" s="79">
        <v>8</v>
      </c>
      <c r="B10" s="84" t="s">
        <v>30</v>
      </c>
      <c r="C10" s="81" t="s">
        <v>32</v>
      </c>
      <c r="D10" s="80" t="s">
        <v>167</v>
      </c>
      <c r="E10" s="80" t="s">
        <v>91</v>
      </c>
      <c r="F10" s="23">
        <v>75724824</v>
      </c>
    </row>
    <row r="11" spans="1:6" ht="38.4" thickBot="1" x14ac:dyDescent="0.35">
      <c r="A11" s="79">
        <v>9</v>
      </c>
      <c r="B11" s="84" t="s">
        <v>33</v>
      </c>
      <c r="C11" s="80" t="s">
        <v>34</v>
      </c>
      <c r="D11" s="80" t="s">
        <v>72</v>
      </c>
      <c r="E11" s="80" t="s">
        <v>91</v>
      </c>
      <c r="F11" s="23">
        <v>75724824</v>
      </c>
    </row>
    <row r="12" spans="1:6" ht="38.4" thickBot="1" x14ac:dyDescent="0.35">
      <c r="A12" s="79">
        <v>10</v>
      </c>
      <c r="B12" s="84" t="s">
        <v>33</v>
      </c>
      <c r="C12" s="80" t="s">
        <v>34</v>
      </c>
      <c r="D12" s="80" t="s">
        <v>168</v>
      </c>
      <c r="E12" s="80" t="s">
        <v>91</v>
      </c>
      <c r="F12" s="23">
        <v>75724824</v>
      </c>
    </row>
    <row r="13" spans="1:6" ht="63.6" thickBot="1" x14ac:dyDescent="0.35">
      <c r="A13" s="79">
        <v>11</v>
      </c>
      <c r="B13" s="84" t="s">
        <v>33</v>
      </c>
      <c r="C13" s="81" t="s">
        <v>34</v>
      </c>
      <c r="D13" s="80" t="s">
        <v>169</v>
      </c>
      <c r="E13" s="80" t="s">
        <v>91</v>
      </c>
      <c r="F13" s="23">
        <v>75724824</v>
      </c>
    </row>
    <row r="14" spans="1:6" ht="51" thickBot="1" x14ac:dyDescent="0.35">
      <c r="A14" s="79">
        <v>12</v>
      </c>
      <c r="B14" s="84" t="s">
        <v>33</v>
      </c>
      <c r="C14" s="81" t="s">
        <v>170</v>
      </c>
      <c r="D14" s="80" t="s">
        <v>171</v>
      </c>
      <c r="E14" s="80" t="s">
        <v>91</v>
      </c>
      <c r="F14" s="23">
        <v>75724824</v>
      </c>
    </row>
    <row r="15" spans="1:6" ht="25.8" thickBot="1" x14ac:dyDescent="0.35">
      <c r="A15" s="79">
        <v>13</v>
      </c>
      <c r="B15" s="84" t="s">
        <v>33</v>
      </c>
      <c r="C15" s="81" t="s">
        <v>63</v>
      </c>
      <c r="D15" s="80" t="s">
        <v>172</v>
      </c>
      <c r="E15" s="80" t="s">
        <v>91</v>
      </c>
      <c r="F15" s="23">
        <v>75724824</v>
      </c>
    </row>
    <row r="16" spans="1:6" ht="51" thickBot="1" x14ac:dyDescent="0.35">
      <c r="A16" s="79">
        <v>14</v>
      </c>
      <c r="B16" s="84" t="s">
        <v>33</v>
      </c>
      <c r="C16" s="81" t="s">
        <v>173</v>
      </c>
      <c r="D16" s="80" t="s">
        <v>174</v>
      </c>
      <c r="E16" s="80" t="s">
        <v>91</v>
      </c>
      <c r="F16" s="23">
        <v>75724824</v>
      </c>
    </row>
    <row r="17" spans="1:8" ht="51" thickBot="1" x14ac:dyDescent="0.35">
      <c r="A17" s="79">
        <v>15</v>
      </c>
      <c r="B17" s="84" t="s">
        <v>59</v>
      </c>
      <c r="C17" s="81" t="s">
        <v>64</v>
      </c>
      <c r="D17" s="80" t="s">
        <v>73</v>
      </c>
      <c r="E17" s="80" t="s">
        <v>91</v>
      </c>
      <c r="F17" s="23">
        <v>75724824</v>
      </c>
    </row>
    <row r="18" spans="1:8" ht="38.4" thickBot="1" x14ac:dyDescent="0.35">
      <c r="A18" s="79">
        <v>16</v>
      </c>
      <c r="B18" s="84" t="s">
        <v>59</v>
      </c>
      <c r="C18" s="80" t="s">
        <v>65</v>
      </c>
      <c r="D18" s="80" t="s">
        <v>74</v>
      </c>
      <c r="E18" s="80" t="s">
        <v>91</v>
      </c>
      <c r="F18" s="23">
        <v>75724824</v>
      </c>
    </row>
    <row r="19" spans="1:8" ht="51" thickBot="1" x14ac:dyDescent="0.35">
      <c r="A19" s="186">
        <v>17</v>
      </c>
      <c r="B19" s="184" t="s">
        <v>59</v>
      </c>
      <c r="C19" s="184" t="s">
        <v>65</v>
      </c>
      <c r="D19" s="82" t="s">
        <v>175</v>
      </c>
      <c r="E19" s="184" t="s">
        <v>91</v>
      </c>
      <c r="F19" s="23">
        <v>75724824</v>
      </c>
    </row>
    <row r="20" spans="1:8" ht="38.4" thickBot="1" x14ac:dyDescent="0.35">
      <c r="A20" s="187"/>
      <c r="B20" s="185"/>
      <c r="C20" s="185"/>
      <c r="D20" s="80" t="s">
        <v>176</v>
      </c>
      <c r="E20" s="185"/>
      <c r="F20" s="23">
        <v>75724824</v>
      </c>
    </row>
    <row r="21" spans="1:8" ht="25.8" thickBot="1" x14ac:dyDescent="0.35">
      <c r="A21" s="79">
        <v>18</v>
      </c>
      <c r="B21" s="84" t="s">
        <v>60</v>
      </c>
      <c r="C21" s="80" t="s">
        <v>66</v>
      </c>
      <c r="D21" s="80" t="s">
        <v>75</v>
      </c>
      <c r="E21" s="80" t="s">
        <v>91</v>
      </c>
      <c r="F21" s="23">
        <v>75724824</v>
      </c>
    </row>
    <row r="22" spans="1:8" ht="51" thickBot="1" x14ac:dyDescent="0.35">
      <c r="A22" s="79">
        <v>19</v>
      </c>
      <c r="B22" s="84" t="s">
        <v>60</v>
      </c>
      <c r="C22" s="80" t="s">
        <v>67</v>
      </c>
      <c r="D22" s="80" t="s">
        <v>76</v>
      </c>
      <c r="E22" s="80" t="s">
        <v>91</v>
      </c>
      <c r="F22" s="23">
        <v>75724824</v>
      </c>
      <c r="H22" s="7"/>
    </row>
    <row r="23" spans="1:8" ht="38.4" thickBot="1" x14ac:dyDescent="0.35">
      <c r="A23" s="79">
        <v>20</v>
      </c>
      <c r="B23" s="84" t="s">
        <v>60</v>
      </c>
      <c r="C23" s="80" t="s">
        <v>68</v>
      </c>
      <c r="D23" s="80" t="s">
        <v>77</v>
      </c>
      <c r="E23" s="80" t="s">
        <v>91</v>
      </c>
      <c r="F23" s="23">
        <v>75724824</v>
      </c>
    </row>
    <row r="24" spans="1:8" ht="38.4" thickBot="1" x14ac:dyDescent="0.35">
      <c r="A24" s="79">
        <v>21</v>
      </c>
      <c r="B24" s="84" t="s">
        <v>35</v>
      </c>
      <c r="C24" s="80" t="s">
        <v>36</v>
      </c>
      <c r="D24" s="80" t="s">
        <v>37</v>
      </c>
      <c r="E24" s="80" t="s">
        <v>91</v>
      </c>
      <c r="F24" s="23">
        <v>75724824</v>
      </c>
    </row>
    <row r="25" spans="1:8" ht="15" thickBot="1" x14ac:dyDescent="0.35">
      <c r="A25" s="79">
        <v>22</v>
      </c>
      <c r="B25" s="86" t="s">
        <v>26</v>
      </c>
      <c r="C25" s="83" t="s">
        <v>26</v>
      </c>
      <c r="D25" s="83" t="s">
        <v>27</v>
      </c>
      <c r="E25" s="83" t="s">
        <v>22</v>
      </c>
      <c r="F25" s="87">
        <v>47914752</v>
      </c>
    </row>
    <row r="26" spans="1:8" ht="25.8" thickBot="1" x14ac:dyDescent="0.35">
      <c r="A26" s="79">
        <v>23</v>
      </c>
      <c r="B26" s="86" t="s">
        <v>25</v>
      </c>
      <c r="C26" s="83" t="s">
        <v>26</v>
      </c>
      <c r="D26" s="83" t="s">
        <v>88</v>
      </c>
      <c r="E26" s="83" t="s">
        <v>22</v>
      </c>
      <c r="F26" s="87">
        <v>47914752</v>
      </c>
    </row>
    <row r="27" spans="1:8" ht="25.8" thickBot="1" x14ac:dyDescent="0.35">
      <c r="A27" s="79">
        <v>24</v>
      </c>
      <c r="B27" s="86" t="s">
        <v>25</v>
      </c>
      <c r="C27" s="83" t="s">
        <v>26</v>
      </c>
      <c r="D27" s="83" t="s">
        <v>89</v>
      </c>
      <c r="E27" s="83" t="s">
        <v>22</v>
      </c>
      <c r="F27" s="87">
        <v>47914752</v>
      </c>
    </row>
    <row r="28" spans="1:8" ht="25.8" thickBot="1" x14ac:dyDescent="0.35">
      <c r="A28" s="79">
        <v>25</v>
      </c>
      <c r="B28" s="86" t="s">
        <v>25</v>
      </c>
      <c r="C28" s="83" t="s">
        <v>26</v>
      </c>
      <c r="D28" s="83" t="s">
        <v>28</v>
      </c>
      <c r="E28" s="83" t="s">
        <v>22</v>
      </c>
      <c r="F28" s="87">
        <v>47914752</v>
      </c>
    </row>
    <row r="29" spans="1:8" ht="15" thickBot="1" x14ac:dyDescent="0.35">
      <c r="A29" s="79">
        <v>27</v>
      </c>
      <c r="B29" s="86" t="s">
        <v>25</v>
      </c>
      <c r="C29" s="83" t="s">
        <v>26</v>
      </c>
      <c r="D29" s="83" t="s">
        <v>29</v>
      </c>
      <c r="E29" s="83" t="s">
        <v>22</v>
      </c>
      <c r="F29" s="87">
        <v>47914752</v>
      </c>
    </row>
    <row r="30" spans="1:8" x14ac:dyDescent="0.3">
      <c r="F30" s="16">
        <f>SUM(F3:F29)</f>
        <v>1905519888</v>
      </c>
    </row>
  </sheetData>
  <mergeCells count="4">
    <mergeCell ref="B19:B20"/>
    <mergeCell ref="C19:C20"/>
    <mergeCell ref="E19:E20"/>
    <mergeCell ref="A19:A20"/>
  </mergeCells>
  <phoneticPr fontId="19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AAFE6-3C3B-49ED-AEA7-EB11F05139AC}">
  <dimension ref="A3:F39"/>
  <sheetViews>
    <sheetView topLeftCell="A16" workbookViewId="0">
      <selection activeCell="F4" sqref="F4"/>
    </sheetView>
  </sheetViews>
  <sheetFormatPr baseColWidth="10" defaultRowHeight="14.4" x14ac:dyDescent="0.3"/>
  <cols>
    <col min="1" max="2" width="11.44140625" style="53"/>
    <col min="3" max="3" width="19.109375" style="53" customWidth="1"/>
    <col min="4" max="4" width="21.33203125" style="54" customWidth="1"/>
    <col min="5" max="5" width="21" style="53" customWidth="1"/>
    <col min="6" max="6" width="20" style="53" customWidth="1"/>
  </cols>
  <sheetData>
    <row r="3" spans="1:6" ht="41.4" x14ac:dyDescent="0.3">
      <c r="A3" s="55" t="s">
        <v>86</v>
      </c>
      <c r="B3" s="55" t="s">
        <v>15</v>
      </c>
      <c r="C3" s="55" t="s">
        <v>16</v>
      </c>
      <c r="D3" s="56" t="s">
        <v>17</v>
      </c>
      <c r="E3" s="55" t="s">
        <v>18</v>
      </c>
      <c r="F3" s="55" t="s">
        <v>87</v>
      </c>
    </row>
    <row r="4" spans="1:6" ht="27.6" x14ac:dyDescent="0.3">
      <c r="A4" s="49">
        <v>1</v>
      </c>
      <c r="B4" s="50" t="s">
        <v>19</v>
      </c>
      <c r="C4" s="50" t="s">
        <v>20</v>
      </c>
      <c r="D4" s="51" t="s">
        <v>21</v>
      </c>
      <c r="E4" s="50" t="s">
        <v>22</v>
      </c>
      <c r="F4" s="52">
        <v>47914752</v>
      </c>
    </row>
    <row r="5" spans="1:6" ht="41.4" x14ac:dyDescent="0.3">
      <c r="A5" s="49">
        <v>2</v>
      </c>
      <c r="B5" s="50" t="s">
        <v>19</v>
      </c>
      <c r="C5" s="50" t="s">
        <v>20</v>
      </c>
      <c r="D5" s="51" t="s">
        <v>23</v>
      </c>
      <c r="E5" s="50" t="s">
        <v>22</v>
      </c>
      <c r="F5" s="52">
        <v>47914752</v>
      </c>
    </row>
    <row r="6" spans="1:6" ht="41.4" x14ac:dyDescent="0.3">
      <c r="A6" s="49">
        <v>3</v>
      </c>
      <c r="B6" s="50" t="s">
        <v>19</v>
      </c>
      <c r="C6" s="50" t="s">
        <v>20</v>
      </c>
      <c r="D6" s="51" t="s">
        <v>24</v>
      </c>
      <c r="E6" s="50" t="s">
        <v>22</v>
      </c>
      <c r="F6" s="52">
        <v>47914752</v>
      </c>
    </row>
    <row r="7" spans="1:6" x14ac:dyDescent="0.3">
      <c r="A7" s="49">
        <v>4</v>
      </c>
      <c r="B7" s="50" t="s">
        <v>19</v>
      </c>
      <c r="C7" s="50" t="s">
        <v>56</v>
      </c>
      <c r="D7" s="51" t="s">
        <v>124</v>
      </c>
      <c r="E7" s="50" t="s">
        <v>125</v>
      </c>
      <c r="F7" s="52">
        <v>47914752</v>
      </c>
    </row>
    <row r="8" spans="1:6" x14ac:dyDescent="0.3">
      <c r="A8" s="49">
        <v>5</v>
      </c>
      <c r="B8" s="50" t="s">
        <v>19</v>
      </c>
      <c r="C8" s="50" t="s">
        <v>56</v>
      </c>
      <c r="D8" s="51" t="s">
        <v>57</v>
      </c>
      <c r="E8" s="50" t="s">
        <v>125</v>
      </c>
      <c r="F8" s="52">
        <v>47914752</v>
      </c>
    </row>
    <row r="9" spans="1:6" ht="27.6" x14ac:dyDescent="0.3">
      <c r="A9" s="49">
        <v>6</v>
      </c>
      <c r="B9" s="50" t="s">
        <v>19</v>
      </c>
      <c r="C9" s="50" t="s">
        <v>56</v>
      </c>
      <c r="D9" s="51" t="s">
        <v>126</v>
      </c>
      <c r="E9" s="50" t="s">
        <v>125</v>
      </c>
      <c r="F9" s="52">
        <v>47914752</v>
      </c>
    </row>
    <row r="10" spans="1:6" x14ac:dyDescent="0.3">
      <c r="A10" s="49">
        <v>7</v>
      </c>
      <c r="B10" s="50" t="s">
        <v>19</v>
      </c>
      <c r="C10" s="50" t="s">
        <v>44</v>
      </c>
      <c r="D10" s="51" t="s">
        <v>45</v>
      </c>
      <c r="E10" s="50" t="s">
        <v>125</v>
      </c>
      <c r="F10" s="52">
        <v>47914752</v>
      </c>
    </row>
    <row r="11" spans="1:6" x14ac:dyDescent="0.3">
      <c r="A11" s="49">
        <v>8</v>
      </c>
      <c r="B11" s="50" t="s">
        <v>19</v>
      </c>
      <c r="C11" s="50" t="s">
        <v>44</v>
      </c>
      <c r="D11" s="51" t="s">
        <v>127</v>
      </c>
      <c r="E11" s="50" t="s">
        <v>125</v>
      </c>
      <c r="F11" s="52">
        <v>47914752</v>
      </c>
    </row>
    <row r="12" spans="1:6" x14ac:dyDescent="0.3">
      <c r="A12" s="49">
        <v>9</v>
      </c>
      <c r="B12" s="50" t="s">
        <v>19</v>
      </c>
      <c r="C12" s="50" t="s">
        <v>44</v>
      </c>
      <c r="D12" s="51" t="s">
        <v>128</v>
      </c>
      <c r="E12" s="50" t="s">
        <v>125</v>
      </c>
      <c r="F12" s="52">
        <v>47914752</v>
      </c>
    </row>
    <row r="13" spans="1:6" ht="27.6" x14ac:dyDescent="0.3">
      <c r="A13" s="49">
        <v>10</v>
      </c>
      <c r="B13" s="50" t="s">
        <v>19</v>
      </c>
      <c r="C13" s="50" t="s">
        <v>44</v>
      </c>
      <c r="D13" s="51" t="s">
        <v>129</v>
      </c>
      <c r="E13" s="50" t="s">
        <v>125</v>
      </c>
      <c r="F13" s="52">
        <v>47914752</v>
      </c>
    </row>
    <row r="14" spans="1:6" x14ac:dyDescent="0.3">
      <c r="A14" s="49">
        <v>11</v>
      </c>
      <c r="B14" s="50" t="s">
        <v>19</v>
      </c>
      <c r="C14" s="50" t="s">
        <v>46</v>
      </c>
      <c r="D14" s="51" t="s">
        <v>130</v>
      </c>
      <c r="E14" s="50" t="s">
        <v>125</v>
      </c>
      <c r="F14" s="52">
        <v>47914752</v>
      </c>
    </row>
    <row r="15" spans="1:6" ht="27.6" x14ac:dyDescent="0.3">
      <c r="A15" s="49">
        <v>12</v>
      </c>
      <c r="B15" s="50" t="s">
        <v>19</v>
      </c>
      <c r="C15" s="50" t="s">
        <v>46</v>
      </c>
      <c r="D15" s="51" t="s">
        <v>47</v>
      </c>
      <c r="E15" s="50" t="s">
        <v>125</v>
      </c>
      <c r="F15" s="52">
        <v>47914752</v>
      </c>
    </row>
    <row r="16" spans="1:6" ht="27.6" x14ac:dyDescent="0.3">
      <c r="A16" s="49">
        <v>13</v>
      </c>
      <c r="B16" s="50" t="s">
        <v>19</v>
      </c>
      <c r="C16" s="50" t="s">
        <v>46</v>
      </c>
      <c r="D16" s="51" t="s">
        <v>131</v>
      </c>
      <c r="E16" s="50" t="s">
        <v>125</v>
      </c>
      <c r="F16" s="52">
        <v>47914752</v>
      </c>
    </row>
    <row r="17" spans="1:6" ht="27.6" x14ac:dyDescent="0.3">
      <c r="A17" s="49">
        <v>14</v>
      </c>
      <c r="B17" s="50" t="s">
        <v>19</v>
      </c>
      <c r="C17" s="50" t="s">
        <v>48</v>
      </c>
      <c r="D17" s="51" t="s">
        <v>132</v>
      </c>
      <c r="E17" s="50" t="s">
        <v>125</v>
      </c>
      <c r="F17" s="52">
        <v>47914752</v>
      </c>
    </row>
    <row r="18" spans="1:6" x14ac:dyDescent="0.3">
      <c r="A18" s="49">
        <v>15</v>
      </c>
      <c r="B18" s="50" t="s">
        <v>19</v>
      </c>
      <c r="C18" s="50" t="s">
        <v>48</v>
      </c>
      <c r="D18" s="51" t="s">
        <v>133</v>
      </c>
      <c r="E18" s="50" t="s">
        <v>125</v>
      </c>
      <c r="F18" s="52">
        <v>47914752</v>
      </c>
    </row>
    <row r="19" spans="1:6" x14ac:dyDescent="0.3">
      <c r="A19" s="49">
        <v>16</v>
      </c>
      <c r="B19" s="50" t="s">
        <v>19</v>
      </c>
      <c r="C19" s="50" t="s">
        <v>48</v>
      </c>
      <c r="D19" s="51" t="s">
        <v>134</v>
      </c>
      <c r="E19" s="50" t="s">
        <v>125</v>
      </c>
      <c r="F19" s="52">
        <v>47914752</v>
      </c>
    </row>
    <row r="20" spans="1:6" ht="27.6" x14ac:dyDescent="0.3">
      <c r="A20" s="49">
        <v>17</v>
      </c>
      <c r="B20" s="50" t="s">
        <v>19</v>
      </c>
      <c r="C20" s="50" t="s">
        <v>48</v>
      </c>
      <c r="D20" s="51" t="s">
        <v>135</v>
      </c>
      <c r="E20" s="50" t="s">
        <v>125</v>
      </c>
      <c r="F20" s="52">
        <v>47914752</v>
      </c>
    </row>
    <row r="21" spans="1:6" x14ac:dyDescent="0.3">
      <c r="A21" s="49">
        <v>18</v>
      </c>
      <c r="B21" s="50" t="s">
        <v>19</v>
      </c>
      <c r="C21" s="50" t="s">
        <v>49</v>
      </c>
      <c r="D21" s="51" t="s">
        <v>136</v>
      </c>
      <c r="E21" s="50" t="s">
        <v>125</v>
      </c>
      <c r="F21" s="52">
        <v>47914752</v>
      </c>
    </row>
    <row r="22" spans="1:6" x14ac:dyDescent="0.3">
      <c r="A22" s="49">
        <v>19</v>
      </c>
      <c r="B22" s="50" t="s">
        <v>19</v>
      </c>
      <c r="C22" s="50" t="s">
        <v>49</v>
      </c>
      <c r="D22" s="51" t="s">
        <v>137</v>
      </c>
      <c r="E22" s="50" t="s">
        <v>125</v>
      </c>
      <c r="F22" s="52">
        <v>47914752</v>
      </c>
    </row>
    <row r="23" spans="1:6" x14ac:dyDescent="0.3">
      <c r="A23" s="49">
        <v>20</v>
      </c>
      <c r="B23" s="50" t="s">
        <v>19</v>
      </c>
      <c r="C23" s="50" t="s">
        <v>49</v>
      </c>
      <c r="D23" s="51" t="s">
        <v>138</v>
      </c>
      <c r="E23" s="50" t="s">
        <v>125</v>
      </c>
      <c r="F23" s="52">
        <v>47914752</v>
      </c>
    </row>
    <row r="24" spans="1:6" x14ac:dyDescent="0.3">
      <c r="A24" s="49">
        <v>21</v>
      </c>
      <c r="B24" s="50" t="s">
        <v>19</v>
      </c>
      <c r="C24" s="50" t="s">
        <v>50</v>
      </c>
      <c r="D24" s="51" t="s">
        <v>139</v>
      </c>
      <c r="E24" s="50" t="s">
        <v>125</v>
      </c>
      <c r="F24" s="52">
        <v>47914752</v>
      </c>
    </row>
    <row r="25" spans="1:6" x14ac:dyDescent="0.3">
      <c r="A25" s="49">
        <v>22</v>
      </c>
      <c r="B25" s="50" t="s">
        <v>19</v>
      </c>
      <c r="C25" s="50" t="s">
        <v>50</v>
      </c>
      <c r="D25" s="51" t="s">
        <v>140</v>
      </c>
      <c r="E25" s="50" t="s">
        <v>125</v>
      </c>
      <c r="F25" s="52">
        <v>47914752</v>
      </c>
    </row>
    <row r="26" spans="1:6" x14ac:dyDescent="0.3">
      <c r="A26" s="49">
        <v>23</v>
      </c>
      <c r="B26" s="50" t="s">
        <v>19</v>
      </c>
      <c r="C26" s="50" t="s">
        <v>50</v>
      </c>
      <c r="D26" s="51" t="s">
        <v>141</v>
      </c>
      <c r="E26" s="50" t="s">
        <v>125</v>
      </c>
      <c r="F26" s="52">
        <v>47914752</v>
      </c>
    </row>
    <row r="27" spans="1:6" ht="27.6" x14ac:dyDescent="0.3">
      <c r="A27" s="49">
        <v>24</v>
      </c>
      <c r="B27" s="50" t="s">
        <v>19</v>
      </c>
      <c r="C27" s="50" t="s">
        <v>51</v>
      </c>
      <c r="D27" s="51" t="s">
        <v>142</v>
      </c>
      <c r="E27" s="50" t="s">
        <v>125</v>
      </c>
      <c r="F27" s="52">
        <v>47914752</v>
      </c>
    </row>
    <row r="28" spans="1:6" x14ac:dyDescent="0.3">
      <c r="A28" s="49">
        <v>25</v>
      </c>
      <c r="B28" s="50" t="s">
        <v>19</v>
      </c>
      <c r="C28" s="50" t="s">
        <v>51</v>
      </c>
      <c r="D28" s="51" t="s">
        <v>143</v>
      </c>
      <c r="E28" s="50" t="s">
        <v>125</v>
      </c>
      <c r="F28" s="52">
        <v>47914752</v>
      </c>
    </row>
    <row r="29" spans="1:6" ht="27.6" x14ac:dyDescent="0.3">
      <c r="A29" s="49">
        <v>26</v>
      </c>
      <c r="B29" s="50" t="s">
        <v>19</v>
      </c>
      <c r="C29" s="50" t="s">
        <v>51</v>
      </c>
      <c r="D29" s="51" t="s">
        <v>144</v>
      </c>
      <c r="E29" s="50" t="s">
        <v>125</v>
      </c>
      <c r="F29" s="52">
        <v>47914752</v>
      </c>
    </row>
    <row r="30" spans="1:6" ht="27.6" x14ac:dyDescent="0.3">
      <c r="A30" s="49">
        <v>27</v>
      </c>
      <c r="B30" s="50" t="s">
        <v>19</v>
      </c>
      <c r="C30" s="50" t="s">
        <v>52</v>
      </c>
      <c r="D30" s="51" t="s">
        <v>145</v>
      </c>
      <c r="E30" s="50" t="s">
        <v>125</v>
      </c>
      <c r="F30" s="52">
        <v>47914752</v>
      </c>
    </row>
    <row r="31" spans="1:6" ht="27.6" x14ac:dyDescent="0.3">
      <c r="A31" s="49">
        <v>28</v>
      </c>
      <c r="B31" s="50" t="s">
        <v>19</v>
      </c>
      <c r="C31" s="50" t="s">
        <v>52</v>
      </c>
      <c r="D31" s="51" t="s">
        <v>146</v>
      </c>
      <c r="E31" s="50" t="s">
        <v>125</v>
      </c>
      <c r="F31" s="52">
        <v>47914752</v>
      </c>
    </row>
    <row r="32" spans="1:6" x14ac:dyDescent="0.3">
      <c r="A32" s="49">
        <v>29</v>
      </c>
      <c r="B32" s="50" t="s">
        <v>19</v>
      </c>
      <c r="C32" s="50" t="s">
        <v>52</v>
      </c>
      <c r="D32" s="51" t="s">
        <v>147</v>
      </c>
      <c r="E32" s="50" t="s">
        <v>125</v>
      </c>
      <c r="F32" s="52">
        <v>47914752</v>
      </c>
    </row>
    <row r="33" spans="1:6" x14ac:dyDescent="0.3">
      <c r="A33" s="49">
        <v>30</v>
      </c>
      <c r="B33" s="50" t="s">
        <v>19</v>
      </c>
      <c r="C33" s="50" t="s">
        <v>52</v>
      </c>
      <c r="D33" s="51" t="s">
        <v>55</v>
      </c>
      <c r="E33" s="50" t="s">
        <v>125</v>
      </c>
      <c r="F33" s="52">
        <v>47914752</v>
      </c>
    </row>
    <row r="34" spans="1:6" x14ac:dyDescent="0.3">
      <c r="A34" s="49">
        <v>31</v>
      </c>
      <c r="B34" s="50" t="s">
        <v>19</v>
      </c>
      <c r="C34" s="50" t="s">
        <v>53</v>
      </c>
      <c r="D34" s="51" t="s">
        <v>148</v>
      </c>
      <c r="E34" s="50" t="s">
        <v>125</v>
      </c>
      <c r="F34" s="52">
        <v>47914752</v>
      </c>
    </row>
    <row r="35" spans="1:6" x14ac:dyDescent="0.3">
      <c r="A35" s="49">
        <v>32</v>
      </c>
      <c r="B35" s="50" t="s">
        <v>19</v>
      </c>
      <c r="C35" s="50" t="s">
        <v>53</v>
      </c>
      <c r="D35" s="51" t="s">
        <v>149</v>
      </c>
      <c r="E35" s="50" t="s">
        <v>125</v>
      </c>
      <c r="F35" s="52">
        <v>47914752</v>
      </c>
    </row>
    <row r="36" spans="1:6" x14ac:dyDescent="0.3">
      <c r="A36" s="49">
        <v>33</v>
      </c>
      <c r="B36" s="50" t="s">
        <v>19</v>
      </c>
      <c r="C36" s="50" t="s">
        <v>53</v>
      </c>
      <c r="D36" s="51" t="s">
        <v>150</v>
      </c>
      <c r="E36" s="50" t="s">
        <v>125</v>
      </c>
      <c r="F36" s="52">
        <v>47914752</v>
      </c>
    </row>
    <row r="37" spans="1:6" x14ac:dyDescent="0.3">
      <c r="A37" s="49">
        <v>34</v>
      </c>
      <c r="B37" s="50" t="s">
        <v>19</v>
      </c>
      <c r="C37" s="50" t="s">
        <v>54</v>
      </c>
      <c r="D37" s="51" t="s">
        <v>151</v>
      </c>
      <c r="E37" s="50" t="s">
        <v>125</v>
      </c>
      <c r="F37" s="52">
        <v>47914752</v>
      </c>
    </row>
    <row r="38" spans="1:6" x14ac:dyDescent="0.3">
      <c r="A38" s="49">
        <v>35</v>
      </c>
      <c r="B38" s="50" t="s">
        <v>19</v>
      </c>
      <c r="C38" s="50" t="s">
        <v>54</v>
      </c>
      <c r="D38" s="51" t="s">
        <v>152</v>
      </c>
      <c r="E38" s="50" t="s">
        <v>125</v>
      </c>
      <c r="F38" s="52">
        <v>47914752</v>
      </c>
    </row>
    <row r="39" spans="1:6" x14ac:dyDescent="0.3">
      <c r="F39" s="57">
        <f>SUM(F4:F38)</f>
        <v>1677016320</v>
      </c>
    </row>
  </sheetData>
  <autoFilter ref="B3:E3" xr:uid="{9038084B-E6D4-4E51-94D2-FDA54D21ACEE}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9D0C3-4522-484A-A4B0-E99485D5173F}">
  <dimension ref="A2:F17"/>
  <sheetViews>
    <sheetView workbookViewId="0">
      <selection activeCell="D14" sqref="D14"/>
    </sheetView>
  </sheetViews>
  <sheetFormatPr baseColWidth="10" defaultRowHeight="14.4" x14ac:dyDescent="0.3"/>
  <cols>
    <col min="2" max="2" width="26.6640625" customWidth="1"/>
    <col min="3" max="3" width="11.88671875" bestFit="1" customWidth="1"/>
    <col min="4" max="4" width="42.5546875" customWidth="1"/>
    <col min="5" max="5" width="27.109375" customWidth="1"/>
    <col min="6" max="6" width="18.5546875" customWidth="1"/>
  </cols>
  <sheetData>
    <row r="2" spans="1:6" x14ac:dyDescent="0.3">
      <c r="A2" s="24" t="s">
        <v>86</v>
      </c>
      <c r="B2" s="28" t="s">
        <v>15</v>
      </c>
      <c r="C2" s="28" t="s">
        <v>16</v>
      </c>
      <c r="D2" s="28" t="s">
        <v>17</v>
      </c>
      <c r="E2" s="13" t="s">
        <v>18</v>
      </c>
      <c r="F2" s="13" t="s">
        <v>87</v>
      </c>
    </row>
    <row r="3" spans="1:6" x14ac:dyDescent="0.3">
      <c r="A3" s="25">
        <v>1</v>
      </c>
      <c r="B3" s="27" t="s">
        <v>38</v>
      </c>
      <c r="C3" s="27" t="s">
        <v>39</v>
      </c>
      <c r="D3" s="27" t="s">
        <v>40</v>
      </c>
      <c r="E3" s="12" t="s">
        <v>91</v>
      </c>
      <c r="F3" s="6">
        <v>75724824</v>
      </c>
    </row>
    <row r="4" spans="1:6" x14ac:dyDescent="0.3">
      <c r="A4" s="25">
        <v>2</v>
      </c>
      <c r="B4" s="27" t="s">
        <v>38</v>
      </c>
      <c r="C4" s="27" t="s">
        <v>39</v>
      </c>
      <c r="D4" s="27" t="s">
        <v>41</v>
      </c>
      <c r="E4" s="12" t="s">
        <v>91</v>
      </c>
      <c r="F4" s="6">
        <f>+F3</f>
        <v>75724824</v>
      </c>
    </row>
    <row r="5" spans="1:6" ht="27.6" x14ac:dyDescent="0.3">
      <c r="A5" s="25">
        <v>3</v>
      </c>
      <c r="B5" s="27" t="s">
        <v>38</v>
      </c>
      <c r="C5" s="27" t="s">
        <v>39</v>
      </c>
      <c r="D5" s="27" t="s">
        <v>42</v>
      </c>
      <c r="E5" s="12" t="s">
        <v>91</v>
      </c>
      <c r="F5" s="6">
        <f t="shared" ref="F5:F11" si="0">+F4</f>
        <v>75724824</v>
      </c>
    </row>
    <row r="6" spans="1:6" x14ac:dyDescent="0.3">
      <c r="A6" s="25">
        <v>4</v>
      </c>
      <c r="B6" s="27" t="s">
        <v>38</v>
      </c>
      <c r="C6" s="26" t="s">
        <v>78</v>
      </c>
      <c r="D6" s="11" t="s">
        <v>81</v>
      </c>
      <c r="E6" s="12" t="s">
        <v>91</v>
      </c>
      <c r="F6" s="6">
        <f t="shared" si="0"/>
        <v>75724824</v>
      </c>
    </row>
    <row r="7" spans="1:6" ht="26.4" x14ac:dyDescent="0.3">
      <c r="A7" s="25">
        <v>5</v>
      </c>
      <c r="B7" s="27" t="s">
        <v>38</v>
      </c>
      <c r="C7" s="26" t="s">
        <v>78</v>
      </c>
      <c r="D7" s="11" t="s">
        <v>82</v>
      </c>
      <c r="E7" s="12" t="s">
        <v>91</v>
      </c>
      <c r="F7" s="6">
        <f t="shared" si="0"/>
        <v>75724824</v>
      </c>
    </row>
    <row r="8" spans="1:6" x14ac:dyDescent="0.3">
      <c r="A8" s="25">
        <v>6</v>
      </c>
      <c r="B8" s="27" t="s">
        <v>38</v>
      </c>
      <c r="C8" s="26" t="s">
        <v>79</v>
      </c>
      <c r="D8" s="11" t="s">
        <v>83</v>
      </c>
      <c r="E8" s="12" t="s">
        <v>91</v>
      </c>
      <c r="F8" s="6">
        <f t="shared" si="0"/>
        <v>75724824</v>
      </c>
    </row>
    <row r="9" spans="1:6" ht="52.8" x14ac:dyDescent="0.3">
      <c r="A9" s="25">
        <v>7</v>
      </c>
      <c r="B9" s="27" t="s">
        <v>38</v>
      </c>
      <c r="C9" s="26" t="s">
        <v>79</v>
      </c>
      <c r="D9" s="11" t="s">
        <v>84</v>
      </c>
      <c r="E9" s="12" t="s">
        <v>91</v>
      </c>
      <c r="F9" s="6">
        <f t="shared" si="0"/>
        <v>75724824</v>
      </c>
    </row>
    <row r="10" spans="1:6" x14ac:dyDescent="0.3">
      <c r="A10" s="25">
        <v>8</v>
      </c>
      <c r="B10" s="27" t="s">
        <v>38</v>
      </c>
      <c r="C10" s="26" t="s">
        <v>80</v>
      </c>
      <c r="D10" s="11" t="s">
        <v>85</v>
      </c>
      <c r="E10" s="12" t="s">
        <v>91</v>
      </c>
      <c r="F10" s="6">
        <f t="shared" si="0"/>
        <v>75724824</v>
      </c>
    </row>
    <row r="11" spans="1:6" x14ac:dyDescent="0.3">
      <c r="A11" s="25">
        <v>9</v>
      </c>
      <c r="B11" s="29" t="s">
        <v>38</v>
      </c>
      <c r="C11" s="27" t="s">
        <v>39</v>
      </c>
      <c r="D11" s="27" t="s">
        <v>43</v>
      </c>
      <c r="E11" s="12" t="s">
        <v>91</v>
      </c>
      <c r="F11" s="6">
        <f t="shared" si="0"/>
        <v>75724824</v>
      </c>
    </row>
    <row r="12" spans="1:6" x14ac:dyDescent="0.3">
      <c r="F12" s="17">
        <f>SUM(F3:F11)</f>
        <v>681523416</v>
      </c>
    </row>
    <row r="17" spans="6:6" x14ac:dyDescent="0.3">
      <c r="F17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12E09-587E-4321-A83B-A753EB27A74A}">
  <dimension ref="A3:L42"/>
  <sheetViews>
    <sheetView topLeftCell="A32" zoomScale="80" zoomScaleNormal="80" workbookViewId="0">
      <selection activeCell="A42" sqref="A42:E42"/>
    </sheetView>
  </sheetViews>
  <sheetFormatPr baseColWidth="10" defaultRowHeight="14.4" x14ac:dyDescent="0.3"/>
  <cols>
    <col min="1" max="1" width="13.6640625" customWidth="1"/>
    <col min="2" max="2" width="24.33203125" customWidth="1"/>
    <col min="3" max="3" width="21.6640625" customWidth="1"/>
    <col min="4" max="4" width="23.5546875" style="154" customWidth="1"/>
    <col min="5" max="5" width="27.88671875" customWidth="1"/>
    <col min="7" max="7" width="25.44140625" customWidth="1"/>
    <col min="8" max="8" width="28" customWidth="1"/>
    <col min="9" max="9" width="17.88671875" bestFit="1" customWidth="1"/>
    <col min="10" max="10" width="16.5546875" bestFit="1" customWidth="1"/>
    <col min="11" max="11" width="14.109375" bestFit="1" customWidth="1"/>
    <col min="12" max="12" width="15.109375" bestFit="1" customWidth="1"/>
  </cols>
  <sheetData>
    <row r="3" spans="1:5" ht="15" thickBot="1" x14ac:dyDescent="0.35"/>
    <row r="4" spans="1:5" ht="15" thickBot="1" x14ac:dyDescent="0.35">
      <c r="A4" s="189" t="s">
        <v>92</v>
      </c>
      <c r="B4" s="190"/>
      <c r="C4" s="190"/>
      <c r="D4" s="190"/>
      <c r="E4" s="191"/>
    </row>
    <row r="5" spans="1:5" ht="15" thickBot="1" x14ac:dyDescent="0.35">
      <c r="A5" s="192" t="s">
        <v>93</v>
      </c>
      <c r="B5" s="193"/>
      <c r="C5" s="193"/>
      <c r="D5" s="193"/>
      <c r="E5" s="194"/>
    </row>
    <row r="6" spans="1:5" ht="15" thickBot="1" x14ac:dyDescent="0.35">
      <c r="A6" s="30" t="s">
        <v>94</v>
      </c>
      <c r="B6" s="31" t="s">
        <v>95</v>
      </c>
      <c r="C6" s="31" t="s">
        <v>96</v>
      </c>
      <c r="D6" s="155" t="s">
        <v>97</v>
      </c>
      <c r="E6" s="31" t="s">
        <v>87</v>
      </c>
    </row>
    <row r="7" spans="1:5" ht="60" customHeight="1" thickBot="1" x14ac:dyDescent="0.35">
      <c r="A7" s="32">
        <v>1</v>
      </c>
      <c r="B7" s="33" t="s">
        <v>98</v>
      </c>
      <c r="C7" s="34">
        <v>3</v>
      </c>
      <c r="D7" s="66">
        <v>8000000</v>
      </c>
      <c r="E7" s="66">
        <f>A7*C7*D7</f>
        <v>24000000</v>
      </c>
    </row>
    <row r="8" spans="1:5" ht="31.95" customHeight="1" thickBot="1" x14ac:dyDescent="0.35">
      <c r="A8" s="32">
        <v>1</v>
      </c>
      <c r="B8" s="33" t="s">
        <v>99</v>
      </c>
      <c r="C8" s="34">
        <v>3</v>
      </c>
      <c r="D8" s="66">
        <v>4000000</v>
      </c>
      <c r="E8" s="66">
        <f t="shared" ref="E8:E9" si="0">A8*C8*D8</f>
        <v>12000000</v>
      </c>
    </row>
    <row r="9" spans="1:5" ht="31.95" customHeight="1" thickBot="1" x14ac:dyDescent="0.35">
      <c r="A9" s="32">
        <v>1</v>
      </c>
      <c r="B9" s="33" t="s">
        <v>100</v>
      </c>
      <c r="C9" s="34">
        <v>3</v>
      </c>
      <c r="D9" s="66">
        <v>3000000</v>
      </c>
      <c r="E9" s="66">
        <f t="shared" si="0"/>
        <v>9000000</v>
      </c>
    </row>
    <row r="10" spans="1:5" ht="15" thickBot="1" x14ac:dyDescent="0.35">
      <c r="A10" s="195" t="s">
        <v>101</v>
      </c>
      <c r="B10" s="196"/>
      <c r="C10" s="196"/>
      <c r="D10" s="197"/>
      <c r="E10" s="67">
        <f>SUM(E7:E9)</f>
        <v>45000000</v>
      </c>
    </row>
    <row r="11" spans="1:5" ht="15" thickBot="1" x14ac:dyDescent="0.35">
      <c r="A11" s="192" t="s">
        <v>102</v>
      </c>
      <c r="B11" s="193"/>
      <c r="C11" s="193"/>
      <c r="D11" s="193"/>
      <c r="E11" s="194"/>
    </row>
    <row r="12" spans="1:5" ht="15" thickBot="1" x14ac:dyDescent="0.35">
      <c r="A12" s="35">
        <v>9</v>
      </c>
      <c r="B12" s="33" t="s">
        <v>103</v>
      </c>
      <c r="C12" s="34">
        <v>3</v>
      </c>
      <c r="D12" s="66">
        <v>6200000</v>
      </c>
      <c r="E12" s="66">
        <f>A12*C12*D12</f>
        <v>167400000</v>
      </c>
    </row>
    <row r="13" spans="1:5" ht="42" thickBot="1" x14ac:dyDescent="0.35">
      <c r="A13" s="36">
        <v>9</v>
      </c>
      <c r="B13" s="37" t="s">
        <v>104</v>
      </c>
      <c r="C13" s="34">
        <v>3</v>
      </c>
      <c r="D13" s="66">
        <v>6200000</v>
      </c>
      <c r="E13" s="66">
        <f t="shared" ref="E13:E17" si="1">A13*C13*D13</f>
        <v>167400000</v>
      </c>
    </row>
    <row r="14" spans="1:5" ht="111.75" customHeight="1" thickBot="1" x14ac:dyDescent="0.35">
      <c r="A14" s="36">
        <v>9</v>
      </c>
      <c r="B14" s="38" t="s">
        <v>105</v>
      </c>
      <c r="C14" s="34">
        <v>3</v>
      </c>
      <c r="D14" s="66">
        <v>6200000</v>
      </c>
      <c r="E14" s="66">
        <f t="shared" si="1"/>
        <v>167400000</v>
      </c>
    </row>
    <row r="15" spans="1:5" ht="28.2" thickBot="1" x14ac:dyDescent="0.35">
      <c r="A15" s="39">
        <v>9</v>
      </c>
      <c r="B15" s="40" t="s">
        <v>123</v>
      </c>
      <c r="C15" s="34">
        <v>3</v>
      </c>
      <c r="D15" s="66">
        <v>2500000</v>
      </c>
      <c r="E15" s="66">
        <f t="shared" si="1"/>
        <v>67500000</v>
      </c>
    </row>
    <row r="16" spans="1:5" ht="15" thickBot="1" x14ac:dyDescent="0.35">
      <c r="A16" s="41">
        <v>1</v>
      </c>
      <c r="B16" s="42" t="s">
        <v>121</v>
      </c>
      <c r="C16" s="34">
        <v>3</v>
      </c>
      <c r="D16" s="66">
        <v>3500000</v>
      </c>
      <c r="E16" s="66">
        <f t="shared" si="1"/>
        <v>10500000</v>
      </c>
    </row>
    <row r="17" spans="1:12" ht="55.8" thickBot="1" x14ac:dyDescent="0.35">
      <c r="A17" s="43">
        <v>9</v>
      </c>
      <c r="B17" s="42" t="s">
        <v>106</v>
      </c>
      <c r="C17" s="34">
        <v>3</v>
      </c>
      <c r="D17" s="66">
        <v>2900000</v>
      </c>
      <c r="E17" s="66">
        <f t="shared" si="1"/>
        <v>78300000</v>
      </c>
      <c r="K17" s="10"/>
      <c r="L17" s="47"/>
    </row>
    <row r="18" spans="1:12" ht="15" thickBot="1" x14ac:dyDescent="0.35">
      <c r="A18" s="198" t="s">
        <v>101</v>
      </c>
      <c r="B18" s="199"/>
      <c r="C18" s="199"/>
      <c r="D18" s="200"/>
      <c r="E18" s="67">
        <f>SUM(E12:E17)</f>
        <v>658500000</v>
      </c>
    </row>
    <row r="19" spans="1:12" x14ac:dyDescent="0.3">
      <c r="A19" s="201" t="s">
        <v>107</v>
      </c>
      <c r="B19" s="202"/>
      <c r="C19" s="202"/>
      <c r="D19" s="203"/>
      <c r="E19" s="169">
        <f>E18+E10</f>
        <v>703500000</v>
      </c>
    </row>
    <row r="20" spans="1:12" x14ac:dyDescent="0.3">
      <c r="A20" s="188" t="s">
        <v>108</v>
      </c>
      <c r="B20" s="188"/>
      <c r="C20" s="188"/>
      <c r="D20" s="188"/>
      <c r="E20" s="188"/>
    </row>
    <row r="21" spans="1:12" ht="27.6" x14ac:dyDescent="0.3">
      <c r="A21" s="170" t="s">
        <v>109</v>
      </c>
      <c r="B21" s="170" t="s">
        <v>95</v>
      </c>
      <c r="C21" s="170" t="s">
        <v>110</v>
      </c>
      <c r="D21" s="171" t="s">
        <v>111</v>
      </c>
      <c r="E21" s="170" t="s">
        <v>87</v>
      </c>
    </row>
    <row r="22" spans="1:12" x14ac:dyDescent="0.3">
      <c r="A22" s="59">
        <v>1</v>
      </c>
      <c r="B22" s="48" t="s">
        <v>153</v>
      </c>
      <c r="C22" s="59">
        <v>30</v>
      </c>
      <c r="D22" s="70">
        <f>'COSTEO INICIAL'!E5</f>
        <v>15947268</v>
      </c>
      <c r="E22" s="70">
        <f>A22*C22*D22</f>
        <v>478418040</v>
      </c>
    </row>
    <row r="23" spans="1:12" x14ac:dyDescent="0.3">
      <c r="A23" s="59">
        <v>1</v>
      </c>
      <c r="B23" s="48" t="s">
        <v>154</v>
      </c>
      <c r="C23" s="59">
        <v>30</v>
      </c>
      <c r="D23" s="70">
        <f>'COSTEO INICIAL'!E6</f>
        <v>35768000</v>
      </c>
      <c r="E23" s="70">
        <f>A23*C23*D23</f>
        <v>1073040000</v>
      </c>
    </row>
    <row r="24" spans="1:12" x14ac:dyDescent="0.3">
      <c r="A24" s="59">
        <v>1</v>
      </c>
      <c r="B24" s="48" t="s">
        <v>155</v>
      </c>
      <c r="C24" s="59">
        <v>30</v>
      </c>
      <c r="D24" s="70"/>
      <c r="E24" s="70">
        <f>A24*C24*D24</f>
        <v>0</v>
      </c>
    </row>
    <row r="25" spans="1:12" x14ac:dyDescent="0.3">
      <c r="A25" s="59">
        <v>1</v>
      </c>
      <c r="B25" s="48" t="s">
        <v>156</v>
      </c>
      <c r="C25" s="59">
        <v>69</v>
      </c>
      <c r="D25" s="70">
        <f>'COSTEO INICIAL'!E8</f>
        <v>24045564</v>
      </c>
      <c r="E25" s="70">
        <f>A25*C25*D25</f>
        <v>1659143916</v>
      </c>
    </row>
    <row r="26" spans="1:12" x14ac:dyDescent="0.3">
      <c r="A26" s="59">
        <v>1</v>
      </c>
      <c r="B26" s="48" t="s">
        <v>157</v>
      </c>
      <c r="C26" s="209">
        <v>39</v>
      </c>
      <c r="D26" s="207">
        <v>23891972</v>
      </c>
      <c r="E26" s="208">
        <f>A26*C26*D26</f>
        <v>931786908</v>
      </c>
      <c r="G26" s="62"/>
    </row>
    <row r="27" spans="1:12" x14ac:dyDescent="0.3">
      <c r="A27" s="59">
        <v>1</v>
      </c>
      <c r="B27" s="48" t="s">
        <v>158</v>
      </c>
      <c r="C27" s="209"/>
      <c r="D27" s="207"/>
      <c r="E27" s="208"/>
    </row>
    <row r="28" spans="1:12" x14ac:dyDescent="0.3">
      <c r="A28" s="214" t="s">
        <v>112</v>
      </c>
      <c r="B28" s="214"/>
      <c r="C28" s="214"/>
      <c r="D28" s="214"/>
      <c r="E28" s="172">
        <f>E27+E26+E25+E24+E23+E22</f>
        <v>4142388864</v>
      </c>
    </row>
    <row r="29" spans="1:12" ht="15" thickBot="1" x14ac:dyDescent="0.35">
      <c r="A29" s="215" t="s">
        <v>120</v>
      </c>
      <c r="B29" s="216"/>
      <c r="C29" s="216"/>
      <c r="D29" s="216"/>
      <c r="E29" s="217"/>
    </row>
    <row r="30" spans="1:12" ht="15" thickBot="1" x14ac:dyDescent="0.35">
      <c r="A30" s="30" t="s">
        <v>113</v>
      </c>
      <c r="B30" s="31" t="s">
        <v>114</v>
      </c>
      <c r="C30" s="31" t="s">
        <v>115</v>
      </c>
      <c r="D30" s="155" t="s">
        <v>116</v>
      </c>
      <c r="E30" s="31" t="s">
        <v>87</v>
      </c>
    </row>
    <row r="31" spans="1:12" ht="97.2" thickBot="1" x14ac:dyDescent="0.35">
      <c r="A31" s="32">
        <v>1</v>
      </c>
      <c r="B31" s="33" t="s">
        <v>160</v>
      </c>
      <c r="C31" s="72">
        <v>175948275</v>
      </c>
      <c r="D31" s="158">
        <v>1</v>
      </c>
      <c r="E31" s="73">
        <f>C31*D31</f>
        <v>175948275</v>
      </c>
    </row>
    <row r="32" spans="1:12" ht="153.75" customHeight="1" thickBot="1" x14ac:dyDescent="0.35">
      <c r="A32" s="32">
        <v>2</v>
      </c>
      <c r="B32" s="33" t="s">
        <v>217</v>
      </c>
      <c r="C32" s="74">
        <v>72725</v>
      </c>
      <c r="D32" s="158">
        <f>40*40</f>
        <v>1600</v>
      </c>
      <c r="E32" s="73">
        <f>C32*D32</f>
        <v>116360000</v>
      </c>
      <c r="G32" s="64"/>
      <c r="H32" s="160"/>
    </row>
    <row r="33" spans="1:10" ht="84.75" customHeight="1" thickBot="1" x14ac:dyDescent="0.35">
      <c r="A33" s="32">
        <v>3</v>
      </c>
      <c r="B33" s="33" t="s">
        <v>218</v>
      </c>
      <c r="C33" s="73">
        <v>321833461</v>
      </c>
      <c r="D33" s="158">
        <v>1</v>
      </c>
      <c r="E33" s="73">
        <f>C33*D33</f>
        <v>321833461</v>
      </c>
      <c r="G33" s="162"/>
      <c r="H33" s="153"/>
      <c r="I33" s="61"/>
      <c r="J33" s="159"/>
    </row>
    <row r="34" spans="1:10" ht="15" thickBot="1" x14ac:dyDescent="0.35">
      <c r="A34" s="204" t="s">
        <v>117</v>
      </c>
      <c r="B34" s="205"/>
      <c r="C34" s="205"/>
      <c r="D34" s="206"/>
      <c r="E34" s="75">
        <f>E31+E32+E33</f>
        <v>614141736</v>
      </c>
      <c r="G34" s="10"/>
    </row>
    <row r="35" spans="1:10" ht="15" thickBot="1" x14ac:dyDescent="0.35">
      <c r="A35" s="204" t="s">
        <v>118</v>
      </c>
      <c r="B35" s="205"/>
      <c r="C35" s="205"/>
      <c r="D35" s="206"/>
      <c r="E35" s="75">
        <f>E34+E28</f>
        <v>4756530600</v>
      </c>
      <c r="G35" s="146"/>
    </row>
    <row r="36" spans="1:10" ht="15" thickBot="1" x14ac:dyDescent="0.35">
      <c r="A36" s="218"/>
      <c r="B36" s="219"/>
      <c r="C36" s="219"/>
      <c r="D36" s="219"/>
      <c r="E36" s="220"/>
    </row>
    <row r="37" spans="1:10" ht="15" thickBot="1" x14ac:dyDescent="0.35">
      <c r="A37" s="204" t="s">
        <v>119</v>
      </c>
      <c r="B37" s="205"/>
      <c r="C37" s="205"/>
      <c r="D37" s="206"/>
      <c r="E37" s="75">
        <f>E35+E19</f>
        <v>5460030600</v>
      </c>
      <c r="G37" s="7"/>
      <c r="H37" s="7"/>
    </row>
    <row r="38" spans="1:10" x14ac:dyDescent="0.3">
      <c r="A38" s="44"/>
      <c r="B38" s="44"/>
      <c r="C38" s="44"/>
      <c r="D38" s="157"/>
      <c r="E38" s="76"/>
    </row>
    <row r="39" spans="1:10" ht="15" thickBot="1" x14ac:dyDescent="0.35">
      <c r="A39" s="44"/>
      <c r="B39" s="44"/>
      <c r="C39" s="44"/>
      <c r="D39" s="157"/>
      <c r="E39" s="44"/>
    </row>
    <row r="40" spans="1:10" ht="15" thickBot="1" x14ac:dyDescent="0.35">
      <c r="A40" s="211"/>
      <c r="B40" s="212"/>
      <c r="C40" s="212"/>
      <c r="D40" s="213"/>
      <c r="E40" s="45"/>
    </row>
    <row r="41" spans="1:10" x14ac:dyDescent="0.3">
      <c r="H41" s="7"/>
    </row>
    <row r="42" spans="1:10" ht="63.75" customHeight="1" x14ac:dyDescent="0.3">
      <c r="A42" s="236" t="s">
        <v>222</v>
      </c>
      <c r="B42" s="210"/>
      <c r="C42" s="210"/>
      <c r="D42" s="210"/>
      <c r="E42" s="210"/>
    </row>
  </sheetData>
  <mergeCells count="18">
    <mergeCell ref="A37:D37"/>
    <mergeCell ref="D26:D27"/>
    <mergeCell ref="E26:E27"/>
    <mergeCell ref="C26:C27"/>
    <mergeCell ref="A42:E42"/>
    <mergeCell ref="A40:D40"/>
    <mergeCell ref="A28:D28"/>
    <mergeCell ref="A29:E29"/>
    <mergeCell ref="A34:D34"/>
    <mergeCell ref="A35:D35"/>
    <mergeCell ref="A36:E36"/>
    <mergeCell ref="A20:E20"/>
    <mergeCell ref="A4:E4"/>
    <mergeCell ref="A5:E5"/>
    <mergeCell ref="A10:D10"/>
    <mergeCell ref="A11:E11"/>
    <mergeCell ref="A18:D18"/>
    <mergeCell ref="A19:D19"/>
  </mergeCells>
  <pageMargins left="0.7" right="0.7" top="0.75" bottom="0.75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A3913-CCE3-4CF1-9586-D38750700252}">
  <dimension ref="B1:O40"/>
  <sheetViews>
    <sheetView topLeftCell="A19" workbookViewId="0">
      <selection activeCell="I28" sqref="I28"/>
    </sheetView>
  </sheetViews>
  <sheetFormatPr baseColWidth="10" defaultColWidth="11.44140625" defaultRowHeight="14.4" x14ac:dyDescent="0.3"/>
  <cols>
    <col min="2" max="2" width="30.44140625" customWidth="1"/>
    <col min="3" max="3" width="17.33203125" customWidth="1"/>
    <col min="4" max="4" width="23.33203125" customWidth="1"/>
    <col min="5" max="5" width="17.6640625" customWidth="1"/>
    <col min="7" max="7" width="19.109375" bestFit="1" customWidth="1"/>
    <col min="8" max="8" width="24" customWidth="1"/>
    <col min="9" max="9" width="18.44140625" bestFit="1" customWidth="1"/>
    <col min="10" max="10" width="12.88671875" customWidth="1"/>
    <col min="11" max="11" width="22.109375" customWidth="1"/>
    <col min="12" max="12" width="16.6640625" customWidth="1"/>
    <col min="13" max="13" width="12.109375" customWidth="1"/>
    <col min="14" max="14" width="20.33203125" customWidth="1"/>
    <col min="15" max="15" width="14.5546875" customWidth="1"/>
    <col min="16" max="16" width="14.88671875" bestFit="1" customWidth="1"/>
  </cols>
  <sheetData>
    <row r="1" spans="2:14" ht="15" thickBot="1" x14ac:dyDescent="0.35"/>
    <row r="2" spans="2:14" x14ac:dyDescent="0.3">
      <c r="B2" s="221" t="s">
        <v>177</v>
      </c>
      <c r="C2" s="222" t="s">
        <v>178</v>
      </c>
      <c r="D2" s="223" t="s">
        <v>178</v>
      </c>
      <c r="E2" s="88"/>
      <c r="F2" s="88"/>
      <c r="G2" s="224" t="s">
        <v>179</v>
      </c>
      <c r="H2" s="224"/>
      <c r="I2" s="89"/>
      <c r="J2" s="90"/>
      <c r="K2" s="225" t="s">
        <v>180</v>
      </c>
      <c r="L2" s="226"/>
      <c r="M2" s="91"/>
      <c r="N2" s="88"/>
    </row>
    <row r="3" spans="2:14" ht="15" thickBot="1" x14ac:dyDescent="0.35">
      <c r="B3" s="92" t="s">
        <v>181</v>
      </c>
      <c r="C3" s="93" t="s">
        <v>182</v>
      </c>
      <c r="D3" s="94" t="s">
        <v>183</v>
      </c>
      <c r="E3" s="88"/>
      <c r="F3" s="88"/>
      <c r="G3" s="95" t="s">
        <v>184</v>
      </c>
      <c r="H3" s="96">
        <v>7950000</v>
      </c>
      <c r="I3" s="88"/>
      <c r="J3" s="88"/>
      <c r="K3" s="95" t="s">
        <v>184</v>
      </c>
      <c r="L3" s="66">
        <v>3500000</v>
      </c>
      <c r="M3" s="97"/>
      <c r="N3" s="88"/>
    </row>
    <row r="4" spans="2:14" x14ac:dyDescent="0.3">
      <c r="B4" s="98" t="s">
        <v>185</v>
      </c>
      <c r="C4" s="98">
        <v>1791760</v>
      </c>
      <c r="D4" s="98">
        <v>162510</v>
      </c>
      <c r="E4" s="88"/>
      <c r="F4" s="88"/>
      <c r="G4" s="99" t="s">
        <v>186</v>
      </c>
      <c r="H4" s="100">
        <f>ROUND(IF(H3&lt;=C4,D4,IF(H3&lt;=C5,D5,IF(H3&lt;=C6,D6,IF(H3&lt;=C7,D7,IF(H3&lt;=C8,D8,IF(H3&lt;=C9,D9,IF(H3&lt;=C10,D10,IF(H3&lt;=C11,D11,IF(H3&lt;=C12,D12,IF(H3&lt;=C13,D13,IF(H3&gt;=B14,D14))))))))))),0.5)</f>
        <v>406416</v>
      </c>
      <c r="I4" s="88"/>
      <c r="J4" s="88"/>
      <c r="K4" s="99" t="s">
        <v>186</v>
      </c>
      <c r="L4" s="100">
        <f>ROUND(IF(L3&lt;=C4,D4,IF(L3&lt;=C5,D5,IF(L3&lt;=C6,D6,IF(L3&lt;=C7,D7,IF(L3&lt;=C8,D8,IF(L3&lt;=C9,D9,IF(L3&lt;=C10,D10,IF(L3&lt;=C11,D11,IF(L3&lt;=C12,D12,IF(L3&lt;=C13,D13,IF(L3&gt;=B14,D14))))))))))),0.5)</f>
        <v>269483</v>
      </c>
      <c r="M4" s="101"/>
      <c r="N4" s="88"/>
    </row>
    <row r="5" spans="2:14" x14ac:dyDescent="0.3">
      <c r="B5" s="98">
        <v>1791761</v>
      </c>
      <c r="C5" s="98">
        <v>2815579</v>
      </c>
      <c r="D5" s="98">
        <v>222099</v>
      </c>
      <c r="E5" s="88"/>
      <c r="F5" s="88"/>
      <c r="G5" s="99" t="s">
        <v>187</v>
      </c>
      <c r="H5" s="102">
        <f>ROUND(IF($H$3&lt;=C17,$H$4*D17,IF($H$3&lt;=C18,$H$4*D18,IF($H$3&lt;=C19,$H$4*D19,IF($H$3&lt;=C20,$H$4*D20,IF($H$3&gt;C20,H4*D20))))),0.5)</f>
        <v>365774</v>
      </c>
      <c r="I5" s="88"/>
      <c r="J5" s="88"/>
      <c r="K5" s="99" t="s">
        <v>187</v>
      </c>
      <c r="L5" s="102">
        <f>ROUND(IF($L$3&lt;=C17,$L$4*E17,IF($L$3&lt;=C18,$L$4*E18,IF($L$3&lt;=C19,$L$4*E19,IF($L$3&lt;=C20,$L$4*E20,IF($L$3&gt;C20,$L$4*E20))))),0.5)</f>
        <v>269483</v>
      </c>
      <c r="M5" s="103"/>
      <c r="N5" s="88"/>
    </row>
    <row r="6" spans="2:14" x14ac:dyDescent="0.3">
      <c r="B6" s="98">
        <f t="shared" ref="B6:B14" si="0">+C5+1</f>
        <v>2815580</v>
      </c>
      <c r="C6" s="98">
        <v>3759796</v>
      </c>
      <c r="D6" s="98">
        <v>269483</v>
      </c>
      <c r="E6" s="88"/>
      <c r="F6" s="88"/>
      <c r="G6" s="99" t="s">
        <v>188</v>
      </c>
      <c r="H6" s="104">
        <f>ROUND(IF($H$3&lt;=C23,$H$5*D23,IF($H$3&lt;=C24,$H$5*D24,IF($H$3&lt;=C25,$H$5*D25,IF($H$3&lt;=C26,$H$5*D26,IF($H$3&gt;C26,$H$5*D26))))),0.5)</f>
        <v>146310</v>
      </c>
      <c r="I6" s="88"/>
      <c r="J6" s="88"/>
      <c r="K6" s="99" t="s">
        <v>188</v>
      </c>
      <c r="L6" s="104">
        <f>ROUND(IF(L3&lt;=C23,L5*E23,IF(L3&lt;=C24,L5*E24,IF(L3&lt;=C25,L5*E25,IF(L3&lt;=C26,L5*E26,IF(L3&gt;C26,L5*E26))))),0.5)</f>
        <v>134742</v>
      </c>
      <c r="M6" s="105"/>
      <c r="N6" s="106"/>
    </row>
    <row r="7" spans="2:14" x14ac:dyDescent="0.3">
      <c r="B7" s="98">
        <f t="shared" si="0"/>
        <v>3759797</v>
      </c>
      <c r="C7" s="98">
        <v>4768793</v>
      </c>
      <c r="D7" s="98">
        <v>313570</v>
      </c>
      <c r="E7" s="88"/>
      <c r="F7" s="88"/>
      <c r="G7" s="88"/>
      <c r="H7" s="88"/>
      <c r="I7" s="106"/>
      <c r="J7" s="88"/>
      <c r="K7" s="88"/>
      <c r="L7" s="88"/>
      <c r="M7" s="88"/>
      <c r="N7" s="88"/>
    </row>
    <row r="8" spans="2:14" x14ac:dyDescent="0.3">
      <c r="B8" s="98">
        <f t="shared" si="0"/>
        <v>4768794</v>
      </c>
      <c r="C8" s="98">
        <v>5759304</v>
      </c>
      <c r="D8" s="98">
        <v>360077</v>
      </c>
      <c r="E8" s="88"/>
      <c r="F8" s="88"/>
      <c r="G8" s="107" t="s">
        <v>189</v>
      </c>
      <c r="H8" s="108">
        <v>45827</v>
      </c>
      <c r="I8" s="107" t="s">
        <v>190</v>
      </c>
      <c r="J8" s="108">
        <v>45827</v>
      </c>
      <c r="K8" s="109" t="s">
        <v>191</v>
      </c>
      <c r="L8" s="110">
        <f>+(J8-H8)+0.5</f>
        <v>0.5</v>
      </c>
      <c r="M8" s="111"/>
      <c r="N8" s="88"/>
    </row>
    <row r="9" spans="2:14" x14ac:dyDescent="0.3">
      <c r="B9" s="98">
        <f t="shared" si="0"/>
        <v>5759305</v>
      </c>
      <c r="C9" s="98">
        <v>8685901</v>
      </c>
      <c r="D9" s="98">
        <v>406416</v>
      </c>
      <c r="E9" s="88"/>
      <c r="F9" s="88"/>
      <c r="G9" s="88"/>
      <c r="H9" s="88"/>
      <c r="I9" s="99" t="s">
        <v>192</v>
      </c>
      <c r="J9" s="112">
        <f>J8-H8</f>
        <v>0</v>
      </c>
      <c r="K9" s="88"/>
      <c r="L9" s="88"/>
      <c r="M9" s="88"/>
      <c r="N9" s="88"/>
    </row>
    <row r="10" spans="2:14" x14ac:dyDescent="0.3">
      <c r="B10" s="98">
        <f t="shared" si="0"/>
        <v>8685902</v>
      </c>
      <c r="C10" s="98">
        <v>12139897</v>
      </c>
      <c r="D10" s="98">
        <v>493654</v>
      </c>
      <c r="E10" s="88"/>
      <c r="F10" s="88"/>
      <c r="G10" s="88"/>
      <c r="H10" s="88"/>
      <c r="I10" s="99" t="s">
        <v>193</v>
      </c>
      <c r="J10" s="112">
        <v>1</v>
      </c>
      <c r="K10" s="88"/>
      <c r="L10" s="88"/>
      <c r="M10" s="88"/>
      <c r="N10" s="88"/>
    </row>
    <row r="11" spans="2:14" x14ac:dyDescent="0.3">
      <c r="B11" s="98">
        <f t="shared" si="0"/>
        <v>12139898</v>
      </c>
      <c r="C11" s="98">
        <v>14414441</v>
      </c>
      <c r="D11" s="98">
        <v>665941</v>
      </c>
      <c r="E11" s="88"/>
      <c r="F11" s="88"/>
      <c r="G11" s="88"/>
      <c r="H11" s="88"/>
      <c r="I11" s="88"/>
      <c r="J11" s="88"/>
      <c r="K11" s="88"/>
      <c r="L11" s="88"/>
      <c r="M11" s="88"/>
      <c r="N11" s="88"/>
    </row>
    <row r="12" spans="2:14" x14ac:dyDescent="0.3">
      <c r="B12" s="98">
        <f t="shared" si="0"/>
        <v>14414442</v>
      </c>
      <c r="C12" s="98">
        <v>17744713</v>
      </c>
      <c r="D12" s="98">
        <v>865711</v>
      </c>
      <c r="E12" s="88"/>
      <c r="F12" s="88"/>
      <c r="G12" s="107" t="s">
        <v>194</v>
      </c>
      <c r="H12" s="113">
        <f>J9</f>
        <v>0</v>
      </c>
      <c r="I12" s="104">
        <f>H12*H5</f>
        <v>0</v>
      </c>
      <c r="J12" s="88"/>
      <c r="K12" s="107" t="s">
        <v>194</v>
      </c>
      <c r="L12" s="114">
        <f>J9</f>
        <v>0</v>
      </c>
      <c r="M12" s="114"/>
      <c r="N12" s="115">
        <f>+L12*L5</f>
        <v>0</v>
      </c>
    </row>
    <row r="13" spans="2:14" x14ac:dyDescent="0.3">
      <c r="B13" s="98">
        <f t="shared" si="0"/>
        <v>17744714</v>
      </c>
      <c r="C13" s="98">
        <v>21456759</v>
      </c>
      <c r="D13" s="98">
        <v>1047162</v>
      </c>
      <c r="E13" s="88"/>
      <c r="F13" s="88"/>
      <c r="G13" s="99" t="s">
        <v>195</v>
      </c>
      <c r="H13" s="104">
        <f>+J10</f>
        <v>1</v>
      </c>
      <c r="I13" s="104">
        <f>+H13*H6</f>
        <v>146310</v>
      </c>
      <c r="J13" s="88"/>
      <c r="K13" s="99" t="s">
        <v>195</v>
      </c>
      <c r="L13" s="114">
        <f>+J10</f>
        <v>1</v>
      </c>
      <c r="M13" s="114"/>
      <c r="N13" s="115">
        <f>+L13*L6</f>
        <v>134742</v>
      </c>
    </row>
    <row r="14" spans="2:14" x14ac:dyDescent="0.3">
      <c r="B14" s="98">
        <f t="shared" si="0"/>
        <v>21456760</v>
      </c>
      <c r="C14" s="98" t="s">
        <v>196</v>
      </c>
      <c r="D14" s="98">
        <v>1233192</v>
      </c>
      <c r="E14" s="88"/>
      <c r="F14" s="88"/>
      <c r="G14" s="88"/>
      <c r="H14" s="95" t="s">
        <v>197</v>
      </c>
      <c r="I14" s="116">
        <f>SUM(I12:I13)</f>
        <v>146310</v>
      </c>
      <c r="J14" s="88"/>
      <c r="K14" s="88"/>
      <c r="L14" s="95" t="s">
        <v>198</v>
      </c>
      <c r="M14" s="95"/>
      <c r="N14" s="117">
        <f>SUM(N12:N13)</f>
        <v>134742</v>
      </c>
    </row>
    <row r="15" spans="2:14" x14ac:dyDescent="0.3">
      <c r="B15" s="88" t="s">
        <v>199</v>
      </c>
      <c r="C15" s="88"/>
      <c r="D15" s="88"/>
      <c r="E15" s="88"/>
      <c r="F15" s="88"/>
      <c r="G15" s="88"/>
      <c r="H15" s="88"/>
      <c r="I15" s="106"/>
      <c r="J15" s="88" t="s">
        <v>200</v>
      </c>
      <c r="K15" s="88"/>
      <c r="L15" s="88"/>
      <c r="M15" s="88"/>
      <c r="N15" s="88"/>
    </row>
    <row r="16" spans="2:14" x14ac:dyDescent="0.3">
      <c r="B16" s="118" t="s">
        <v>201</v>
      </c>
      <c r="C16" s="93" t="s">
        <v>182</v>
      </c>
      <c r="D16" s="93" t="s">
        <v>179</v>
      </c>
      <c r="E16" s="93" t="s">
        <v>180</v>
      </c>
      <c r="F16" s="88"/>
      <c r="G16" s="88"/>
      <c r="H16" s="88"/>
      <c r="I16" s="106"/>
      <c r="J16" s="88"/>
      <c r="K16" s="88"/>
      <c r="L16" s="88"/>
      <c r="M16" s="88"/>
      <c r="N16" s="88"/>
    </row>
    <row r="17" spans="2:14" x14ac:dyDescent="0.3">
      <c r="B17" s="98" t="s">
        <v>185</v>
      </c>
      <c r="C17" s="98">
        <v>3660661</v>
      </c>
      <c r="D17" s="119">
        <v>1</v>
      </c>
      <c r="E17" s="119">
        <v>1</v>
      </c>
      <c r="F17" s="88"/>
      <c r="G17" s="88"/>
      <c r="H17" s="88"/>
      <c r="I17" s="106"/>
      <c r="J17" s="106"/>
      <c r="K17" s="120"/>
      <c r="L17" s="88"/>
      <c r="M17" s="88"/>
      <c r="N17" s="88"/>
    </row>
    <row r="18" spans="2:14" x14ac:dyDescent="0.3">
      <c r="B18" s="98">
        <v>3660662</v>
      </c>
      <c r="C18" s="98">
        <v>7321125</v>
      </c>
      <c r="D18" s="119">
        <v>0.95</v>
      </c>
      <c r="E18" s="119">
        <v>0.95</v>
      </c>
      <c r="F18" s="88"/>
      <c r="G18" s="88"/>
      <c r="H18" s="88"/>
      <c r="I18" s="106"/>
      <c r="J18" s="106"/>
      <c r="L18" s="88"/>
      <c r="M18" s="88"/>
      <c r="N18" s="88"/>
    </row>
    <row r="19" spans="2:14" x14ac:dyDescent="0.3">
      <c r="B19" s="98">
        <v>7321126</v>
      </c>
      <c r="C19" s="98">
        <v>9161941</v>
      </c>
      <c r="D19" s="119">
        <v>0.9</v>
      </c>
      <c r="E19" s="121">
        <v>0.9</v>
      </c>
      <c r="F19" s="88"/>
      <c r="G19" s="88"/>
      <c r="H19" s="88"/>
      <c r="I19" s="88"/>
      <c r="J19" s="88"/>
      <c r="K19" s="122"/>
      <c r="L19" s="88"/>
      <c r="M19" s="88"/>
      <c r="N19" s="106"/>
    </row>
    <row r="20" spans="2:14" ht="15" thickBot="1" x14ac:dyDescent="0.35">
      <c r="B20" s="98">
        <v>9161942</v>
      </c>
      <c r="C20" s="98">
        <v>20000000</v>
      </c>
      <c r="D20" s="119">
        <v>0.8</v>
      </c>
      <c r="E20" s="119">
        <v>0.8</v>
      </c>
      <c r="F20" s="88"/>
      <c r="G20" s="88"/>
      <c r="H20" s="88"/>
      <c r="I20" s="123"/>
      <c r="J20" s="124"/>
      <c r="K20" s="149"/>
      <c r="L20" s="149"/>
    </row>
    <row r="21" spans="2:14" ht="15" thickBot="1" x14ac:dyDescent="0.35">
      <c r="B21" s="125" t="s">
        <v>202</v>
      </c>
      <c r="C21" s="88"/>
      <c r="D21" s="88"/>
      <c r="E21" s="88"/>
      <c r="F21" s="88"/>
      <c r="G21" s="126"/>
      <c r="H21" s="126"/>
      <c r="I21" s="127"/>
      <c r="J21" s="120"/>
      <c r="K21" s="129"/>
      <c r="L21" s="130"/>
      <c r="M21" s="129"/>
      <c r="N21" s="131"/>
    </row>
    <row r="22" spans="2:14" x14ac:dyDescent="0.3">
      <c r="B22" s="118" t="s">
        <v>201</v>
      </c>
      <c r="C22" s="93" t="s">
        <v>182</v>
      </c>
      <c r="D22" s="93" t="s">
        <v>179</v>
      </c>
      <c r="E22" s="93" t="s">
        <v>180</v>
      </c>
      <c r="F22" s="88"/>
      <c r="G22" s="126"/>
      <c r="H22" s="126"/>
      <c r="I22" s="10"/>
      <c r="J22" s="120"/>
      <c r="K22" s="134"/>
      <c r="L22" s="134"/>
      <c r="M22" s="134"/>
      <c r="N22" s="134"/>
    </row>
    <row r="23" spans="2:14" x14ac:dyDescent="0.3">
      <c r="B23" s="98" t="s">
        <v>185</v>
      </c>
      <c r="C23" s="98">
        <v>3660661</v>
      </c>
      <c r="D23" s="119">
        <v>0.5</v>
      </c>
      <c r="E23" s="119">
        <v>0.5</v>
      </c>
      <c r="F23" s="88"/>
      <c r="I23" s="128"/>
      <c r="J23" s="120"/>
      <c r="K23" s="5"/>
      <c r="L23" s="5"/>
      <c r="M23" s="5"/>
      <c r="N23" s="5"/>
    </row>
    <row r="24" spans="2:14" x14ac:dyDescent="0.3">
      <c r="B24" s="98">
        <v>3660662</v>
      </c>
      <c r="C24" s="98">
        <v>7321125</v>
      </c>
      <c r="D24" s="119">
        <v>0.45</v>
      </c>
      <c r="E24" s="119">
        <v>0.45</v>
      </c>
      <c r="F24" s="88"/>
      <c r="G24" s="88"/>
      <c r="H24" s="88"/>
      <c r="I24" s="88"/>
      <c r="J24" s="120"/>
      <c r="K24" s="5"/>
      <c r="L24" s="5"/>
      <c r="M24" s="5"/>
      <c r="N24" s="5"/>
    </row>
    <row r="25" spans="2:14" x14ac:dyDescent="0.3">
      <c r="B25" s="98">
        <v>7321126</v>
      </c>
      <c r="C25" s="98">
        <v>9161941</v>
      </c>
      <c r="D25" s="119">
        <v>0.4</v>
      </c>
      <c r="E25" s="121">
        <v>0.4</v>
      </c>
      <c r="F25" s="88"/>
      <c r="G25" s="88"/>
      <c r="H25" s="88"/>
      <c r="I25" s="88"/>
      <c r="K25" s="5"/>
      <c r="L25" s="5"/>
      <c r="M25" s="5"/>
      <c r="N25" s="5"/>
    </row>
    <row r="26" spans="2:14" x14ac:dyDescent="0.3">
      <c r="B26" s="98">
        <v>9161942</v>
      </c>
      <c r="C26" s="98">
        <v>20000000</v>
      </c>
      <c r="D26" s="119">
        <v>0.35</v>
      </c>
      <c r="E26" s="119">
        <v>0.35</v>
      </c>
      <c r="F26" s="88"/>
      <c r="G26" s="132"/>
      <c r="H26" s="88"/>
      <c r="I26" s="133"/>
      <c r="J26" s="88"/>
      <c r="L26" s="5"/>
      <c r="M26" s="5"/>
      <c r="N26" s="5"/>
    </row>
    <row r="27" spans="2:14" x14ac:dyDescent="0.3">
      <c r="J27" s="135"/>
    </row>
    <row r="28" spans="2:14" ht="15" thickBot="1" x14ac:dyDescent="0.35"/>
    <row r="29" spans="2:14" ht="15" thickBot="1" x14ac:dyDescent="0.35">
      <c r="D29" s="136" t="s">
        <v>203</v>
      </c>
      <c r="E29" s="137" t="s">
        <v>204</v>
      </c>
      <c r="F29" s="137" t="s">
        <v>205</v>
      </c>
      <c r="G29" s="137" t="s">
        <v>206</v>
      </c>
      <c r="H29" s="138" t="s">
        <v>207</v>
      </c>
      <c r="I29" s="139" t="s">
        <v>208</v>
      </c>
    </row>
    <row r="30" spans="2:14" x14ac:dyDescent="0.3">
      <c r="D30" s="144" t="s">
        <v>209</v>
      </c>
      <c r="E30" s="142">
        <v>6200000</v>
      </c>
      <c r="F30" s="142">
        <f>'PRESUPUESTO INICIAL'!A12</f>
        <v>9</v>
      </c>
      <c r="G30" s="141">
        <v>173743</v>
      </c>
      <c r="H30" s="140">
        <v>25</v>
      </c>
      <c r="I30" s="143">
        <f>+H30*G30*F30</f>
        <v>39092175</v>
      </c>
    </row>
    <row r="31" spans="2:14" ht="57.6" x14ac:dyDescent="0.3">
      <c r="D31" s="144" t="s">
        <v>210</v>
      </c>
      <c r="E31" s="142">
        <v>6200000</v>
      </c>
      <c r="F31" s="142">
        <f>'PRESUPUESTO INICIAL'!A13</f>
        <v>9</v>
      </c>
      <c r="G31" s="141">
        <v>173743</v>
      </c>
      <c r="H31" s="140">
        <v>25</v>
      </c>
      <c r="I31" s="143">
        <f t="shared" ref="I31:I35" si="1">+H31*G31*F31</f>
        <v>39092175</v>
      </c>
    </row>
    <row r="32" spans="2:14" ht="43.2" x14ac:dyDescent="0.3">
      <c r="D32" s="144" t="s">
        <v>211</v>
      </c>
      <c r="E32" s="142">
        <v>6200000</v>
      </c>
      <c r="F32" s="142">
        <f>'PRESUPUESTO INICIAL'!A14</f>
        <v>9</v>
      </c>
      <c r="G32" s="141">
        <v>173743</v>
      </c>
      <c r="H32" s="140">
        <v>25</v>
      </c>
      <c r="I32" s="143">
        <f t="shared" si="1"/>
        <v>39092175</v>
      </c>
    </row>
    <row r="33" spans="4:15" ht="28.8" x14ac:dyDescent="0.3">
      <c r="D33" s="145" t="s">
        <v>212</v>
      </c>
      <c r="E33" s="141">
        <v>2500000</v>
      </c>
      <c r="F33" s="142">
        <f>'PRESUPUESTO INICIAL'!A15</f>
        <v>9</v>
      </c>
      <c r="G33" s="141">
        <v>111050</v>
      </c>
      <c r="H33" s="140">
        <v>25</v>
      </c>
      <c r="I33" s="143">
        <f t="shared" si="1"/>
        <v>24986250</v>
      </c>
    </row>
    <row r="34" spans="4:15" x14ac:dyDescent="0.3">
      <c r="D34" s="144" t="s">
        <v>213</v>
      </c>
      <c r="E34" s="141">
        <v>2900000</v>
      </c>
      <c r="F34" s="142">
        <f>'PRESUPUESTO INICIAL'!A16</f>
        <v>1</v>
      </c>
      <c r="G34" s="141">
        <v>134742</v>
      </c>
      <c r="H34" s="140">
        <v>25</v>
      </c>
      <c r="I34" s="143">
        <f t="shared" si="1"/>
        <v>3368550</v>
      </c>
    </row>
    <row r="35" spans="4:15" x14ac:dyDescent="0.3">
      <c r="D35" s="144" t="s">
        <v>214</v>
      </c>
      <c r="E35" s="141">
        <v>3500000</v>
      </c>
      <c r="F35" s="142">
        <f>'PRESUPUESTO INICIAL'!A17</f>
        <v>9</v>
      </c>
      <c r="G35" s="141">
        <v>134742</v>
      </c>
      <c r="H35" s="140">
        <v>25</v>
      </c>
      <c r="I35" s="143">
        <f t="shared" si="1"/>
        <v>30316950</v>
      </c>
    </row>
    <row r="36" spans="4:15" x14ac:dyDescent="0.3">
      <c r="I36" s="152">
        <f>SUM(I30:I35)</f>
        <v>175948275</v>
      </c>
      <c r="K36" s="15"/>
      <c r="L36" s="147"/>
      <c r="M36" s="147"/>
      <c r="N36" s="147"/>
    </row>
    <row r="37" spans="4:15" x14ac:dyDescent="0.3">
      <c r="K37" s="15"/>
      <c r="L37" s="147"/>
      <c r="M37" s="147"/>
      <c r="N37" s="147"/>
    </row>
    <row r="38" spans="4:15" x14ac:dyDescent="0.3">
      <c r="K38" s="15"/>
      <c r="L38" s="10"/>
      <c r="M38" s="10"/>
      <c r="N38" s="10"/>
      <c r="O38" s="10"/>
    </row>
    <row r="39" spans="4:15" x14ac:dyDescent="0.3">
      <c r="K39" s="15"/>
      <c r="L39" s="10"/>
      <c r="M39" s="10"/>
      <c r="N39" s="10"/>
      <c r="O39" s="10"/>
    </row>
    <row r="40" spans="4:15" x14ac:dyDescent="0.3">
      <c r="K40" s="15"/>
      <c r="L40" s="10"/>
      <c r="M40" s="10"/>
    </row>
  </sheetData>
  <mergeCells count="3">
    <mergeCell ref="B2:D2"/>
    <mergeCell ref="G2:H2"/>
    <mergeCell ref="K2:L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E1FC4-A5E7-4774-8C9A-1A7F564C32BF}">
  <dimension ref="A6:D8"/>
  <sheetViews>
    <sheetView workbookViewId="0">
      <selection activeCell="E12" sqref="E12"/>
    </sheetView>
  </sheetViews>
  <sheetFormatPr baseColWidth="10" defaultRowHeight="14.4" x14ac:dyDescent="0.3"/>
  <cols>
    <col min="1" max="1" width="35.109375" customWidth="1"/>
    <col min="2" max="2" width="16.33203125" customWidth="1"/>
    <col min="4" max="4" width="17" customWidth="1"/>
  </cols>
  <sheetData>
    <row r="6" spans="1:4" x14ac:dyDescent="0.3">
      <c r="B6" s="227" t="s">
        <v>220</v>
      </c>
      <c r="C6" s="227"/>
      <c r="D6" s="227"/>
    </row>
    <row r="7" spans="1:4" ht="28.8" x14ac:dyDescent="0.3">
      <c r="A7" s="5" t="s">
        <v>5</v>
      </c>
      <c r="B7" s="1" t="s">
        <v>216</v>
      </c>
      <c r="C7" s="5" t="s">
        <v>94</v>
      </c>
      <c r="D7" s="5" t="s">
        <v>198</v>
      </c>
    </row>
    <row r="8" spans="1:4" ht="43.2" x14ac:dyDescent="0.3">
      <c r="A8" s="161" t="s">
        <v>215</v>
      </c>
      <c r="B8" s="5">
        <v>2909</v>
      </c>
      <c r="C8" s="5">
        <v>25</v>
      </c>
      <c r="D8" s="143">
        <f>B8*C8</f>
        <v>72725</v>
      </c>
    </row>
  </sheetData>
  <mergeCells count="1">
    <mergeCell ref="B6:D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C8BAB-AEC3-40EB-AC72-6438B5B287B4}">
  <dimension ref="A2:K44"/>
  <sheetViews>
    <sheetView zoomScale="80" zoomScaleNormal="80" workbookViewId="0">
      <selection activeCell="G58" sqref="G58"/>
    </sheetView>
  </sheetViews>
  <sheetFormatPr baseColWidth="10" defaultRowHeight="14.4" x14ac:dyDescent="0.3"/>
  <cols>
    <col min="1" max="1" width="13.6640625" customWidth="1"/>
    <col min="2" max="2" width="21.6640625" customWidth="1"/>
    <col min="3" max="3" width="49.44140625" style="154" customWidth="1"/>
    <col min="4" max="4" width="27.88671875" customWidth="1"/>
    <col min="6" max="6" width="25.44140625" customWidth="1"/>
    <col min="7" max="7" width="28" customWidth="1"/>
    <col min="8" max="8" width="17.88671875" bestFit="1" customWidth="1"/>
    <col min="9" max="9" width="16.5546875" bestFit="1" customWidth="1"/>
    <col min="10" max="10" width="14.109375" bestFit="1" customWidth="1"/>
    <col min="11" max="11" width="15.109375" bestFit="1" customWidth="1"/>
  </cols>
  <sheetData>
    <row r="2" spans="1:4" ht="18" x14ac:dyDescent="0.35">
      <c r="C2" s="176"/>
    </row>
    <row r="3" spans="1:4" ht="23.4" x14ac:dyDescent="0.45">
      <c r="C3" s="177" t="s">
        <v>235</v>
      </c>
      <c r="D3" s="177" t="s">
        <v>234</v>
      </c>
    </row>
    <row r="4" spans="1:4" ht="15" hidden="1" thickBot="1" x14ac:dyDescent="0.35">
      <c r="A4" s="189" t="s">
        <v>92</v>
      </c>
      <c r="B4" s="190"/>
      <c r="C4" s="233"/>
      <c r="D4" s="234"/>
    </row>
    <row r="5" spans="1:4" ht="15" hidden="1" thickBot="1" x14ac:dyDescent="0.35">
      <c r="A5" s="192" t="s">
        <v>93</v>
      </c>
      <c r="B5" s="193"/>
      <c r="C5" s="193"/>
      <c r="D5" s="194"/>
    </row>
    <row r="6" spans="1:4" ht="15" hidden="1" thickBot="1" x14ac:dyDescent="0.35">
      <c r="A6" s="30" t="s">
        <v>94</v>
      </c>
      <c r="B6" s="31" t="s">
        <v>96</v>
      </c>
      <c r="C6" s="155" t="s">
        <v>97</v>
      </c>
      <c r="D6" s="31" t="s">
        <v>87</v>
      </c>
    </row>
    <row r="7" spans="1:4" ht="60" hidden="1" customHeight="1" thickBot="1" x14ac:dyDescent="0.35">
      <c r="A7" s="32">
        <v>1</v>
      </c>
      <c r="B7" s="34">
        <v>3</v>
      </c>
      <c r="C7" s="66">
        <v>8000000</v>
      </c>
      <c r="D7" s="66">
        <f>A7*B7*C7</f>
        <v>24000000</v>
      </c>
    </row>
    <row r="8" spans="1:4" ht="31.95" hidden="1" customHeight="1" thickBot="1" x14ac:dyDescent="0.35">
      <c r="A8" s="32">
        <v>1</v>
      </c>
      <c r="B8" s="34">
        <v>3</v>
      </c>
      <c r="C8" s="66">
        <v>4000000</v>
      </c>
      <c r="D8" s="66">
        <f>A8*B8*C8</f>
        <v>12000000</v>
      </c>
    </row>
    <row r="9" spans="1:4" ht="31.95" hidden="1" customHeight="1" thickBot="1" x14ac:dyDescent="0.35">
      <c r="A9" s="32">
        <v>1</v>
      </c>
      <c r="B9" s="34">
        <v>3</v>
      </c>
      <c r="C9" s="66">
        <v>3000000</v>
      </c>
      <c r="D9" s="66">
        <f>A9*B9*C9</f>
        <v>9000000</v>
      </c>
    </row>
    <row r="10" spans="1:4" ht="15" hidden="1" thickBot="1" x14ac:dyDescent="0.35">
      <c r="A10" s="195" t="s">
        <v>101</v>
      </c>
      <c r="B10" s="196"/>
      <c r="C10" s="197"/>
      <c r="D10" s="67">
        <f>SUM(D7:D9)</f>
        <v>45000000</v>
      </c>
    </row>
    <row r="11" spans="1:4" ht="15" hidden="1" thickBot="1" x14ac:dyDescent="0.35">
      <c r="A11" s="192" t="s">
        <v>102</v>
      </c>
      <c r="B11" s="193"/>
      <c r="C11" s="193"/>
      <c r="D11" s="194"/>
    </row>
    <row r="12" spans="1:4" ht="15" hidden="1" thickBot="1" x14ac:dyDescent="0.35">
      <c r="A12" s="35">
        <v>9</v>
      </c>
      <c r="B12" s="34">
        <v>3</v>
      </c>
      <c r="C12" s="66">
        <v>6200000</v>
      </c>
      <c r="D12" s="66">
        <f t="shared" ref="D12:D17" si="0">A12*B12*C12</f>
        <v>167400000</v>
      </c>
    </row>
    <row r="13" spans="1:4" ht="15" hidden="1" thickBot="1" x14ac:dyDescent="0.35">
      <c r="A13" s="36">
        <v>9</v>
      </c>
      <c r="B13" s="34">
        <v>3</v>
      </c>
      <c r="C13" s="66">
        <v>6200000</v>
      </c>
      <c r="D13" s="66">
        <f t="shared" si="0"/>
        <v>167400000</v>
      </c>
    </row>
    <row r="14" spans="1:4" ht="15" hidden="1" thickBot="1" x14ac:dyDescent="0.35">
      <c r="A14" s="36">
        <v>9</v>
      </c>
      <c r="B14" s="34">
        <v>3</v>
      </c>
      <c r="C14" s="66">
        <v>6200000</v>
      </c>
      <c r="D14" s="66">
        <f t="shared" si="0"/>
        <v>167400000</v>
      </c>
    </row>
    <row r="15" spans="1:4" ht="15" hidden="1" thickBot="1" x14ac:dyDescent="0.35">
      <c r="A15" s="39">
        <v>9</v>
      </c>
      <c r="B15" s="34">
        <v>3</v>
      </c>
      <c r="C15" s="66">
        <v>2500000</v>
      </c>
      <c r="D15" s="66">
        <f t="shared" si="0"/>
        <v>67500000</v>
      </c>
    </row>
    <row r="16" spans="1:4" ht="15" hidden="1" thickBot="1" x14ac:dyDescent="0.35">
      <c r="A16" s="41">
        <v>1</v>
      </c>
      <c r="B16" s="34">
        <v>3</v>
      </c>
      <c r="C16" s="66">
        <v>3500000</v>
      </c>
      <c r="D16" s="66">
        <f t="shared" si="0"/>
        <v>10500000</v>
      </c>
    </row>
    <row r="17" spans="1:11" ht="15" hidden="1" thickBot="1" x14ac:dyDescent="0.35">
      <c r="A17" s="43">
        <v>9</v>
      </c>
      <c r="B17" s="34">
        <v>3</v>
      </c>
      <c r="C17" s="66">
        <v>2900000</v>
      </c>
      <c r="D17" s="66">
        <f t="shared" si="0"/>
        <v>78300000</v>
      </c>
      <c r="J17" s="10"/>
      <c r="K17" s="47"/>
    </row>
    <row r="18" spans="1:11" ht="15" hidden="1" thickBot="1" x14ac:dyDescent="0.35">
      <c r="A18" s="198" t="s">
        <v>101</v>
      </c>
      <c r="B18" s="199"/>
      <c r="C18" s="200"/>
      <c r="D18" s="67">
        <f>SUM(D12:D17)</f>
        <v>658500000</v>
      </c>
    </row>
    <row r="19" spans="1:11" ht="15" hidden="1" thickBot="1" x14ac:dyDescent="0.35">
      <c r="A19" s="204" t="s">
        <v>107</v>
      </c>
      <c r="B19" s="205"/>
      <c r="C19" s="206"/>
      <c r="D19" s="68">
        <f>D18+D10</f>
        <v>703500000</v>
      </c>
    </row>
    <row r="20" spans="1:11" ht="15" hidden="1" thickBot="1" x14ac:dyDescent="0.35">
      <c r="A20" s="192" t="s">
        <v>108</v>
      </c>
      <c r="B20" s="193"/>
      <c r="C20" s="193"/>
      <c r="D20" s="194"/>
    </row>
    <row r="21" spans="1:11" ht="28.2" hidden="1" thickBot="1" x14ac:dyDescent="0.35">
      <c r="A21" s="60" t="s">
        <v>109</v>
      </c>
      <c r="B21" s="58" t="s">
        <v>110</v>
      </c>
      <c r="C21" s="156" t="s">
        <v>111</v>
      </c>
      <c r="D21" s="58" t="s">
        <v>87</v>
      </c>
    </row>
    <row r="22" spans="1:11" ht="15" hidden="1" thickBot="1" x14ac:dyDescent="0.35">
      <c r="A22" s="59">
        <v>1</v>
      </c>
      <c r="B22" s="59">
        <v>30</v>
      </c>
      <c r="C22" s="70">
        <f>'COSTEO INICIAL'!E5</f>
        <v>15947268</v>
      </c>
      <c r="D22" s="70">
        <f>A22*B22*C22</f>
        <v>478418040</v>
      </c>
    </row>
    <row r="23" spans="1:11" ht="15" hidden="1" thickBot="1" x14ac:dyDescent="0.35">
      <c r="A23" s="59">
        <v>1</v>
      </c>
      <c r="B23" s="59">
        <v>30</v>
      </c>
      <c r="C23" s="70">
        <f>'COSTEO INICIAL'!E6</f>
        <v>35768000</v>
      </c>
      <c r="D23" s="70">
        <f>A23*B23*C23</f>
        <v>1073040000</v>
      </c>
    </row>
    <row r="24" spans="1:11" ht="15" hidden="1" thickBot="1" x14ac:dyDescent="0.35">
      <c r="A24" s="59">
        <v>1</v>
      </c>
      <c r="B24" s="59">
        <v>30</v>
      </c>
      <c r="C24" s="70"/>
      <c r="D24" s="70">
        <f>A24*B24*C24</f>
        <v>0</v>
      </c>
    </row>
    <row r="25" spans="1:11" ht="15" hidden="1" thickBot="1" x14ac:dyDescent="0.35">
      <c r="A25" s="59">
        <v>1</v>
      </c>
      <c r="B25" s="59">
        <v>69</v>
      </c>
      <c r="C25" s="70">
        <f>'COSTEO INICIAL'!E8</f>
        <v>24045564</v>
      </c>
      <c r="D25" s="70">
        <f>A25*B25*C25</f>
        <v>1659143916</v>
      </c>
    </row>
    <row r="26" spans="1:11" ht="15" hidden="1" thickBot="1" x14ac:dyDescent="0.35">
      <c r="A26" s="59">
        <v>1</v>
      </c>
      <c r="B26" s="209">
        <v>39</v>
      </c>
      <c r="C26" s="207">
        <v>23891972</v>
      </c>
      <c r="D26" s="208">
        <f>A26*B26*C26</f>
        <v>931786908</v>
      </c>
      <c r="F26" s="62"/>
    </row>
    <row r="27" spans="1:11" ht="15" hidden="1" thickBot="1" x14ac:dyDescent="0.35">
      <c r="A27" s="59">
        <v>1</v>
      </c>
      <c r="B27" s="209"/>
      <c r="C27" s="207"/>
      <c r="D27" s="208"/>
    </row>
    <row r="28" spans="1:11" ht="15" hidden="1" thickBot="1" x14ac:dyDescent="0.35">
      <c r="A28" s="230" t="s">
        <v>112</v>
      </c>
      <c r="B28" s="231"/>
      <c r="C28" s="232"/>
      <c r="D28" s="71">
        <f>D27+D26+D25+D24+D23+D22</f>
        <v>4142388864</v>
      </c>
    </row>
    <row r="29" spans="1:11" ht="15" hidden="1" thickBot="1" x14ac:dyDescent="0.35">
      <c r="A29" s="192" t="s">
        <v>120</v>
      </c>
      <c r="B29" s="193"/>
      <c r="C29" s="193"/>
      <c r="D29" s="194"/>
    </row>
    <row r="30" spans="1:11" ht="15" hidden="1" thickBot="1" x14ac:dyDescent="0.35">
      <c r="A30" s="30" t="s">
        <v>113</v>
      </c>
      <c r="B30" s="31" t="s">
        <v>115</v>
      </c>
      <c r="C30" s="155" t="s">
        <v>116</v>
      </c>
      <c r="D30" s="31" t="s">
        <v>87</v>
      </c>
    </row>
    <row r="31" spans="1:11" ht="15" hidden="1" thickBot="1" x14ac:dyDescent="0.35">
      <c r="A31" s="32">
        <v>1</v>
      </c>
      <c r="B31" s="72">
        <v>175948275</v>
      </c>
      <c r="C31" s="158">
        <v>1</v>
      </c>
      <c r="D31" s="73">
        <f>B31*C31</f>
        <v>175948275</v>
      </c>
    </row>
    <row r="32" spans="1:11" ht="153.75" hidden="1" customHeight="1" thickBot="1" x14ac:dyDescent="0.35">
      <c r="A32" s="32">
        <v>2</v>
      </c>
      <c r="B32" s="74">
        <v>72725</v>
      </c>
      <c r="C32" s="158">
        <f>40*40</f>
        <v>1600</v>
      </c>
      <c r="D32" s="73">
        <f>B32*C32</f>
        <v>116360000</v>
      </c>
      <c r="F32" s="64"/>
      <c r="G32" s="160"/>
    </row>
    <row r="33" spans="1:9" ht="84.75" hidden="1" customHeight="1" thickBot="1" x14ac:dyDescent="0.35">
      <c r="A33" s="32">
        <v>3</v>
      </c>
      <c r="B33" s="73">
        <v>321833461</v>
      </c>
      <c r="C33" s="158">
        <v>1</v>
      </c>
      <c r="D33" s="73">
        <f>B33*C33</f>
        <v>321833461</v>
      </c>
      <c r="F33" s="162"/>
      <c r="G33" s="153"/>
      <c r="H33" s="61"/>
      <c r="I33" s="159"/>
    </row>
    <row r="34" spans="1:9" ht="15" hidden="1" thickBot="1" x14ac:dyDescent="0.35">
      <c r="A34" s="204" t="s">
        <v>117</v>
      </c>
      <c r="B34" s="205"/>
      <c r="C34" s="206"/>
      <c r="D34" s="75">
        <f>D31+D32+D33</f>
        <v>614141736</v>
      </c>
      <c r="F34" s="10"/>
    </row>
    <row r="35" spans="1:9" ht="15" hidden="1" thickBot="1" x14ac:dyDescent="0.35">
      <c r="A35" s="204" t="s">
        <v>118</v>
      </c>
      <c r="B35" s="205"/>
      <c r="C35" s="206"/>
      <c r="D35" s="75">
        <f>D34+D28</f>
        <v>4756530600</v>
      </c>
      <c r="F35" s="146"/>
    </row>
    <row r="36" spans="1:9" ht="15" hidden="1" thickBot="1" x14ac:dyDescent="0.35">
      <c r="A36" s="218"/>
      <c r="B36" s="228"/>
      <c r="C36" s="228"/>
      <c r="D36" s="229"/>
    </row>
    <row r="37" spans="1:9" ht="15.75" customHeight="1" x14ac:dyDescent="0.3">
      <c r="B37" s="173"/>
      <c r="C37" s="173" t="s">
        <v>223</v>
      </c>
      <c r="D37" s="174">
        <f>D35+D19</f>
        <v>5460030600</v>
      </c>
      <c r="F37" s="7"/>
      <c r="G37" s="7"/>
    </row>
    <row r="38" spans="1:9" ht="27.6" x14ac:dyDescent="0.3">
      <c r="A38" s="44"/>
      <c r="B38" s="173"/>
      <c r="C38" s="173" t="s">
        <v>224</v>
      </c>
      <c r="D38" s="174">
        <v>5349399977</v>
      </c>
    </row>
    <row r="39" spans="1:9" x14ac:dyDescent="0.3">
      <c r="B39" s="173"/>
      <c r="C39" s="173" t="s">
        <v>226</v>
      </c>
      <c r="D39" s="174">
        <v>5323686851</v>
      </c>
    </row>
    <row r="40" spans="1:9" x14ac:dyDescent="0.3">
      <c r="B40" s="5"/>
      <c r="C40" s="165" t="s">
        <v>227</v>
      </c>
      <c r="D40" s="175">
        <f>+AVERAGE(D37:D39)</f>
        <v>5377705809.333333</v>
      </c>
    </row>
    <row r="41" spans="1:9" x14ac:dyDescent="0.3">
      <c r="B41" s="5"/>
      <c r="C41" s="165" t="s">
        <v>228</v>
      </c>
      <c r="D41" s="175">
        <f>+_xlfn.STDEV.S(D37:D39)</f>
        <v>72445286.809466317</v>
      </c>
    </row>
    <row r="42" spans="1:9" x14ac:dyDescent="0.3">
      <c r="B42" s="5"/>
      <c r="C42" s="165" t="s">
        <v>229</v>
      </c>
      <c r="D42" s="166">
        <f>+D40+D41</f>
        <v>5450151096.1427994</v>
      </c>
    </row>
    <row r="43" spans="1:9" x14ac:dyDescent="0.3">
      <c r="B43" s="5"/>
      <c r="C43" s="165" t="s">
        <v>230</v>
      </c>
      <c r="D43" s="166">
        <f>+D40-D41</f>
        <v>5305260522.5238667</v>
      </c>
    </row>
    <row r="44" spans="1:9" x14ac:dyDescent="0.3">
      <c r="A44" s="44"/>
      <c r="B44" s="173">
        <v>3</v>
      </c>
      <c r="C44" s="173" t="s">
        <v>225</v>
      </c>
      <c r="D44" s="174">
        <v>40844806333</v>
      </c>
      <c r="F44" s="164" t="s">
        <v>231</v>
      </c>
    </row>
  </sheetData>
  <mergeCells count="15">
    <mergeCell ref="A19:C19"/>
    <mergeCell ref="A4:D4"/>
    <mergeCell ref="A5:D5"/>
    <mergeCell ref="A10:C10"/>
    <mergeCell ref="A11:D11"/>
    <mergeCell ref="A18:C18"/>
    <mergeCell ref="A34:C34"/>
    <mergeCell ref="A35:C35"/>
    <mergeCell ref="A36:D36"/>
    <mergeCell ref="A20:D20"/>
    <mergeCell ref="B26:B27"/>
    <mergeCell ref="C26:C27"/>
    <mergeCell ref="D26:D27"/>
    <mergeCell ref="A28:C28"/>
    <mergeCell ref="A29:D29"/>
  </mergeCells>
  <pageMargins left="0.7" right="0.7" top="0.75" bottom="0.75" header="0.3" footer="0.3"/>
  <pageSetup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2F354-7350-4231-B4E5-C358152479CD}">
  <dimension ref="A3:L49"/>
  <sheetViews>
    <sheetView topLeftCell="A27" workbookViewId="0">
      <selection activeCell="B55" sqref="B55"/>
    </sheetView>
  </sheetViews>
  <sheetFormatPr baseColWidth="10" defaultRowHeight="14.4" x14ac:dyDescent="0.3"/>
  <cols>
    <col min="1" max="1" width="13.6640625" customWidth="1"/>
    <col min="2" max="2" width="24.33203125" customWidth="1"/>
    <col min="3" max="3" width="21.6640625" customWidth="1"/>
    <col min="4" max="4" width="23.5546875" customWidth="1"/>
    <col min="5" max="5" width="27.88671875" customWidth="1"/>
    <col min="7" max="7" width="25.44140625" customWidth="1"/>
    <col min="8" max="8" width="17.44140625" bestFit="1" customWidth="1"/>
    <col min="11" max="11" width="14.109375" bestFit="1" customWidth="1"/>
    <col min="12" max="12" width="15.109375" bestFit="1" customWidth="1"/>
  </cols>
  <sheetData>
    <row r="3" spans="1:5" ht="15" thickBot="1" x14ac:dyDescent="0.35"/>
    <row r="4" spans="1:5" ht="15" thickBot="1" x14ac:dyDescent="0.35">
      <c r="A4" s="189" t="s">
        <v>92</v>
      </c>
      <c r="B4" s="190"/>
      <c r="C4" s="190"/>
      <c r="D4" s="190"/>
      <c r="E4" s="191"/>
    </row>
    <row r="5" spans="1:5" ht="15" thickBot="1" x14ac:dyDescent="0.35">
      <c r="A5" s="192" t="s">
        <v>93</v>
      </c>
      <c r="B5" s="193"/>
      <c r="C5" s="193"/>
      <c r="D5" s="193"/>
      <c r="E5" s="194"/>
    </row>
    <row r="6" spans="1:5" ht="15" thickBot="1" x14ac:dyDescent="0.35">
      <c r="A6" s="30" t="s">
        <v>94</v>
      </c>
      <c r="B6" s="31" t="s">
        <v>95</v>
      </c>
      <c r="C6" s="31" t="s">
        <v>96</v>
      </c>
      <c r="D6" s="31" t="s">
        <v>97</v>
      </c>
      <c r="E6" s="31" t="s">
        <v>87</v>
      </c>
    </row>
    <row r="7" spans="1:5" ht="60" customHeight="1" thickBot="1" x14ac:dyDescent="0.35">
      <c r="A7" s="32">
        <v>1</v>
      </c>
      <c r="B7" s="33" t="s">
        <v>98</v>
      </c>
      <c r="C7" s="34">
        <v>3</v>
      </c>
      <c r="D7" s="65">
        <v>7950000</v>
      </c>
      <c r="E7" s="66">
        <f>A7*C7*D7</f>
        <v>23850000</v>
      </c>
    </row>
    <row r="8" spans="1:5" ht="31.95" customHeight="1" thickBot="1" x14ac:dyDescent="0.35">
      <c r="A8" s="32">
        <v>1</v>
      </c>
      <c r="B8" s="33" t="s">
        <v>99</v>
      </c>
      <c r="C8" s="34">
        <v>3</v>
      </c>
      <c r="D8" s="65">
        <v>3950000</v>
      </c>
      <c r="E8" s="66">
        <f t="shared" ref="E8:E9" si="0">A8*C8*D8</f>
        <v>11850000</v>
      </c>
    </row>
    <row r="9" spans="1:5" ht="31.95" customHeight="1" thickBot="1" x14ac:dyDescent="0.35">
      <c r="A9" s="32">
        <v>1</v>
      </c>
      <c r="B9" s="33" t="s">
        <v>100</v>
      </c>
      <c r="C9" s="34">
        <v>3</v>
      </c>
      <c r="D9" s="65">
        <v>2950000</v>
      </c>
      <c r="E9" s="66">
        <f t="shared" si="0"/>
        <v>8850000</v>
      </c>
    </row>
    <row r="10" spans="1:5" ht="15" thickBot="1" x14ac:dyDescent="0.35">
      <c r="A10" s="195" t="s">
        <v>101</v>
      </c>
      <c r="B10" s="196"/>
      <c r="C10" s="196"/>
      <c r="D10" s="197"/>
      <c r="E10" s="67">
        <f>SUM(E7:E9)</f>
        <v>44550000</v>
      </c>
    </row>
    <row r="11" spans="1:5" ht="15" thickBot="1" x14ac:dyDescent="0.35">
      <c r="A11" s="192" t="s">
        <v>102</v>
      </c>
      <c r="B11" s="193"/>
      <c r="C11" s="193"/>
      <c r="D11" s="193"/>
      <c r="E11" s="194"/>
    </row>
    <row r="12" spans="1:5" ht="15" thickBot="1" x14ac:dyDescent="0.35">
      <c r="A12" s="35">
        <v>9</v>
      </c>
      <c r="B12" s="33" t="s">
        <v>103</v>
      </c>
      <c r="C12" s="34">
        <v>3</v>
      </c>
      <c r="D12" s="66">
        <v>6150000</v>
      </c>
      <c r="E12" s="66">
        <f>A12*C12*D12</f>
        <v>166050000</v>
      </c>
    </row>
    <row r="13" spans="1:5" ht="42" thickBot="1" x14ac:dyDescent="0.35">
      <c r="A13" s="36">
        <v>9</v>
      </c>
      <c r="B13" s="37" t="s">
        <v>104</v>
      </c>
      <c r="C13" s="34">
        <v>3</v>
      </c>
      <c r="D13" s="66">
        <v>6150000</v>
      </c>
      <c r="E13" s="66">
        <f t="shared" ref="E13:E17" si="1">A13*C13*D13</f>
        <v>166050000</v>
      </c>
    </row>
    <row r="14" spans="1:5" ht="83.4" thickBot="1" x14ac:dyDescent="0.35">
      <c r="A14" s="36">
        <v>9</v>
      </c>
      <c r="B14" s="38" t="s">
        <v>105</v>
      </c>
      <c r="C14" s="34">
        <v>3</v>
      </c>
      <c r="D14" s="66">
        <v>6150000</v>
      </c>
      <c r="E14" s="66">
        <f t="shared" si="1"/>
        <v>166050000</v>
      </c>
    </row>
    <row r="15" spans="1:5" ht="28.2" thickBot="1" x14ac:dyDescent="0.35">
      <c r="A15" s="39">
        <v>9</v>
      </c>
      <c r="B15" s="40" t="s">
        <v>123</v>
      </c>
      <c r="C15" s="34">
        <v>3</v>
      </c>
      <c r="D15" s="66">
        <v>2450000</v>
      </c>
      <c r="E15" s="66">
        <f t="shared" si="1"/>
        <v>66150000</v>
      </c>
    </row>
    <row r="16" spans="1:5" ht="15" thickBot="1" x14ac:dyDescent="0.35">
      <c r="A16" s="41">
        <v>1</v>
      </c>
      <c r="B16" s="42" t="s">
        <v>121</v>
      </c>
      <c r="C16" s="34">
        <v>3</v>
      </c>
      <c r="D16" s="66">
        <v>3450000</v>
      </c>
      <c r="E16" s="66">
        <f t="shared" si="1"/>
        <v>10350000</v>
      </c>
    </row>
    <row r="17" spans="1:12" ht="55.8" thickBot="1" x14ac:dyDescent="0.35">
      <c r="A17" s="43">
        <v>9</v>
      </c>
      <c r="B17" s="42" t="s">
        <v>106</v>
      </c>
      <c r="C17" s="34">
        <v>3</v>
      </c>
      <c r="D17" s="66">
        <v>2850000</v>
      </c>
      <c r="E17" s="66">
        <f t="shared" si="1"/>
        <v>76950000</v>
      </c>
      <c r="K17" s="10"/>
      <c r="L17" s="47"/>
    </row>
    <row r="18" spans="1:12" ht="15" thickBot="1" x14ac:dyDescent="0.35">
      <c r="A18" s="198" t="s">
        <v>101</v>
      </c>
      <c r="B18" s="199"/>
      <c r="C18" s="199"/>
      <c r="D18" s="200"/>
      <c r="E18" s="67">
        <f>SUM(E12:E17)</f>
        <v>651600000</v>
      </c>
    </row>
    <row r="19" spans="1:12" ht="15" thickBot="1" x14ac:dyDescent="0.35">
      <c r="A19" s="204" t="s">
        <v>107</v>
      </c>
      <c r="B19" s="205"/>
      <c r="C19" s="205"/>
      <c r="D19" s="206"/>
      <c r="E19" s="68">
        <f>E18+E10</f>
        <v>696150000</v>
      </c>
    </row>
    <row r="20" spans="1:12" ht="15" thickBot="1" x14ac:dyDescent="0.35">
      <c r="A20" s="192" t="s">
        <v>108</v>
      </c>
      <c r="B20" s="193"/>
      <c r="C20" s="193"/>
      <c r="D20" s="193"/>
      <c r="E20" s="194"/>
    </row>
    <row r="21" spans="1:12" ht="27.6" x14ac:dyDescent="0.3">
      <c r="A21" s="60" t="s">
        <v>109</v>
      </c>
      <c r="B21" s="58" t="s">
        <v>95</v>
      </c>
      <c r="C21" s="58" t="s">
        <v>110</v>
      </c>
      <c r="D21" s="58" t="s">
        <v>111</v>
      </c>
      <c r="E21" s="58" t="s">
        <v>87</v>
      </c>
    </row>
    <row r="22" spans="1:12" x14ac:dyDescent="0.3">
      <c r="A22" s="59">
        <v>1</v>
      </c>
      <c r="B22" s="48" t="s">
        <v>153</v>
      </c>
      <c r="C22" s="59">
        <v>30</v>
      </c>
      <c r="D22" s="69">
        <v>15939688.5</v>
      </c>
      <c r="E22" s="70">
        <f>A22*C22*D22</f>
        <v>478190655</v>
      </c>
    </row>
    <row r="23" spans="1:12" x14ac:dyDescent="0.3">
      <c r="A23" s="59">
        <v>1</v>
      </c>
      <c r="B23" s="48" t="s">
        <v>154</v>
      </c>
      <c r="C23" s="59">
        <v>30</v>
      </c>
      <c r="D23" s="69">
        <v>35751000</v>
      </c>
      <c r="E23" s="70">
        <f>A23*C23*D23</f>
        <v>1072530000</v>
      </c>
    </row>
    <row r="24" spans="1:12" x14ac:dyDescent="0.3">
      <c r="A24" s="59">
        <v>1</v>
      </c>
      <c r="B24" s="48" t="s">
        <v>155</v>
      </c>
      <c r="C24" s="59">
        <v>30</v>
      </c>
      <c r="D24" s="69"/>
      <c r="E24" s="70">
        <f>A24*C24*D24</f>
        <v>0</v>
      </c>
    </row>
    <row r="25" spans="1:12" x14ac:dyDescent="0.3">
      <c r="A25" s="59">
        <v>1</v>
      </c>
      <c r="B25" s="48" t="s">
        <v>156</v>
      </c>
      <c r="C25" s="59">
        <v>70</v>
      </c>
      <c r="D25" s="69">
        <v>24034135.5</v>
      </c>
      <c r="E25" s="70">
        <f>A25*C25*D25</f>
        <v>1682389485</v>
      </c>
    </row>
    <row r="26" spans="1:12" x14ac:dyDescent="0.3">
      <c r="A26" s="59">
        <v>1</v>
      </c>
      <c r="B26" s="48" t="s">
        <v>157</v>
      </c>
      <c r="C26" s="209">
        <f>51-11</f>
        <v>40</v>
      </c>
      <c r="D26" s="208">
        <v>23880616.5</v>
      </c>
      <c r="E26" s="208">
        <f>A26*C26*D26</f>
        <v>955224660</v>
      </c>
      <c r="G26" s="62"/>
    </row>
    <row r="27" spans="1:12" x14ac:dyDescent="0.3">
      <c r="A27" s="59">
        <v>1</v>
      </c>
      <c r="B27" s="48" t="s">
        <v>158</v>
      </c>
      <c r="C27" s="209"/>
      <c r="D27" s="208"/>
      <c r="E27" s="208"/>
    </row>
    <row r="28" spans="1:12" ht="15" thickBot="1" x14ac:dyDescent="0.35">
      <c r="A28" s="230" t="s">
        <v>112</v>
      </c>
      <c r="B28" s="231"/>
      <c r="C28" s="231"/>
      <c r="D28" s="232"/>
      <c r="E28" s="71">
        <f>E27+E26+E25+E24+E23+E22</f>
        <v>4188334800</v>
      </c>
    </row>
    <row r="29" spans="1:12" ht="15" thickBot="1" x14ac:dyDescent="0.35">
      <c r="A29" s="192" t="s">
        <v>120</v>
      </c>
      <c r="B29" s="193"/>
      <c r="C29" s="193"/>
      <c r="D29" s="193"/>
      <c r="E29" s="194"/>
    </row>
    <row r="30" spans="1:12" ht="15" thickBot="1" x14ac:dyDescent="0.35">
      <c r="A30" s="30" t="s">
        <v>113</v>
      </c>
      <c r="B30" s="31" t="s">
        <v>114</v>
      </c>
      <c r="C30" s="31" t="s">
        <v>115</v>
      </c>
      <c r="D30" s="31" t="s">
        <v>116</v>
      </c>
      <c r="E30" s="31" t="s">
        <v>87</v>
      </c>
    </row>
    <row r="31" spans="1:12" ht="97.2" thickBot="1" x14ac:dyDescent="0.35">
      <c r="A31" s="32">
        <v>1</v>
      </c>
      <c r="B31" s="33" t="s">
        <v>160</v>
      </c>
      <c r="C31" s="72">
        <v>154990000</v>
      </c>
      <c r="D31" s="148">
        <v>1</v>
      </c>
      <c r="E31" s="73">
        <f>C31*D31</f>
        <v>154990000</v>
      </c>
    </row>
    <row r="32" spans="1:12" ht="83.25" customHeight="1" thickBot="1" x14ac:dyDescent="0.35">
      <c r="A32" s="32">
        <v>2</v>
      </c>
      <c r="B32" s="33" t="s">
        <v>159</v>
      </c>
      <c r="C32" s="74">
        <v>50000</v>
      </c>
      <c r="D32" s="148">
        <f>40*40</f>
        <v>1600</v>
      </c>
      <c r="E32" s="73">
        <f>C32*D32</f>
        <v>80000000</v>
      </c>
      <c r="G32" s="64"/>
      <c r="H32" s="46"/>
    </row>
    <row r="33" spans="1:9" ht="32.4" customHeight="1" thickBot="1" x14ac:dyDescent="0.35">
      <c r="A33" s="32">
        <v>3</v>
      </c>
      <c r="B33" s="33" t="s">
        <v>219</v>
      </c>
      <c r="C33" s="73">
        <v>305650000</v>
      </c>
      <c r="D33" s="148">
        <v>1</v>
      </c>
      <c r="E33" s="73">
        <f>C33*D33</f>
        <v>305650000</v>
      </c>
      <c r="F33" s="162"/>
      <c r="G33" s="7"/>
      <c r="H33" s="61"/>
      <c r="I33" s="46"/>
    </row>
    <row r="34" spans="1:9" ht="15" thickBot="1" x14ac:dyDescent="0.35">
      <c r="A34" s="204" t="s">
        <v>117</v>
      </c>
      <c r="B34" s="205"/>
      <c r="C34" s="205"/>
      <c r="D34" s="206"/>
      <c r="E34" s="75">
        <f>E31+E32+E33</f>
        <v>540640000</v>
      </c>
    </row>
    <row r="35" spans="1:9" ht="15" thickBot="1" x14ac:dyDescent="0.35">
      <c r="A35" s="204" t="s">
        <v>118</v>
      </c>
      <c r="B35" s="205"/>
      <c r="C35" s="205"/>
      <c r="D35" s="206"/>
      <c r="E35" s="75">
        <f>E34+E28</f>
        <v>4728974800</v>
      </c>
    </row>
    <row r="36" spans="1:9" ht="15" thickBot="1" x14ac:dyDescent="0.35">
      <c r="A36" s="218"/>
      <c r="B36" s="219"/>
      <c r="C36" s="219"/>
      <c r="D36" s="219"/>
      <c r="E36" s="220"/>
    </row>
    <row r="37" spans="1:9" ht="15" thickBot="1" x14ac:dyDescent="0.35">
      <c r="A37" s="204" t="s">
        <v>119</v>
      </c>
      <c r="B37" s="205"/>
      <c r="C37" s="205"/>
      <c r="D37" s="206"/>
      <c r="E37" s="75">
        <f>E35+E19</f>
        <v>5425124800</v>
      </c>
      <c r="G37" s="7"/>
    </row>
    <row r="38" spans="1:9" x14ac:dyDescent="0.3">
      <c r="A38" s="44"/>
      <c r="B38" s="44"/>
      <c r="C38" s="44"/>
      <c r="D38" s="44"/>
      <c r="E38" s="76"/>
    </row>
    <row r="39" spans="1:9" ht="15" thickBot="1" x14ac:dyDescent="0.35">
      <c r="A39" s="44"/>
      <c r="B39" s="44"/>
      <c r="C39" s="44"/>
      <c r="D39" s="44"/>
      <c r="E39" s="44"/>
    </row>
    <row r="40" spans="1:9" ht="15" thickBot="1" x14ac:dyDescent="0.35">
      <c r="A40" s="211"/>
      <c r="B40" s="212"/>
      <c r="C40" s="212"/>
      <c r="D40" s="213"/>
      <c r="E40" s="45"/>
    </row>
    <row r="41" spans="1:9" x14ac:dyDescent="0.3">
      <c r="H41" s="7"/>
    </row>
    <row r="42" spans="1:9" ht="63.75" customHeight="1" x14ac:dyDescent="0.3">
      <c r="A42" s="235" t="s">
        <v>232</v>
      </c>
      <c r="B42" s="210"/>
      <c r="C42" s="210"/>
      <c r="D42" s="210"/>
      <c r="E42" s="210"/>
    </row>
    <row r="45" spans="1:9" x14ac:dyDescent="0.3">
      <c r="B45" s="5" t="str">
        <f>+'COMPARATIVO VS PROPUESTAS'!C40</f>
        <v>PROMEDIO</v>
      </c>
      <c r="C45" s="6">
        <f>+'COMPARATIVO VS PROPUESTAS'!D40</f>
        <v>5377705809.333333</v>
      </c>
    </row>
    <row r="46" spans="1:9" x14ac:dyDescent="0.3">
      <c r="B46" s="5" t="str">
        <f>+'COMPARATIVO VS PROPUESTAS'!C41</f>
        <v>DESVIACIÓN ESTANDAR</v>
      </c>
      <c r="C46" s="6">
        <f>+'COMPARATIVO VS PROPUESTAS'!D41</f>
        <v>72445286.809466317</v>
      </c>
    </row>
    <row r="47" spans="1:9" x14ac:dyDescent="0.3">
      <c r="B47" s="5" t="str">
        <f>+'COMPARATIVO VS PROPUESTAS'!C42</f>
        <v>LIMITE SUPERIOR</v>
      </c>
      <c r="C47" s="6">
        <f>+'COMPARATIVO VS PROPUESTAS'!D42</f>
        <v>5450151096.1427994</v>
      </c>
    </row>
    <row r="48" spans="1:9" x14ac:dyDescent="0.3">
      <c r="B48" s="5" t="str">
        <f>+'COMPARATIVO VS PROPUESTAS'!C43</f>
        <v>LIMITE INFERIOR</v>
      </c>
      <c r="C48" s="6">
        <f>+'COMPARATIVO VS PROPUESTAS'!D43</f>
        <v>5305260522.5238667</v>
      </c>
    </row>
    <row r="49" spans="2:3" x14ac:dyDescent="0.3">
      <c r="B49" s="167" t="s">
        <v>233</v>
      </c>
      <c r="C49" s="168">
        <f>+E37</f>
        <v>5425124800</v>
      </c>
    </row>
  </sheetData>
  <mergeCells count="18">
    <mergeCell ref="A42:E42"/>
    <mergeCell ref="A28:D28"/>
    <mergeCell ref="A29:E29"/>
    <mergeCell ref="A35:D35"/>
    <mergeCell ref="A36:E36"/>
    <mergeCell ref="A37:D37"/>
    <mergeCell ref="A40:D40"/>
    <mergeCell ref="A34:D34"/>
    <mergeCell ref="A4:E4"/>
    <mergeCell ref="A5:E5"/>
    <mergeCell ref="A10:D10"/>
    <mergeCell ref="A11:E11"/>
    <mergeCell ref="A18:D18"/>
    <mergeCell ref="A19:D19"/>
    <mergeCell ref="A20:E20"/>
    <mergeCell ref="C26:C27"/>
    <mergeCell ref="D26:D27"/>
    <mergeCell ref="E26:E2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</vt:i4>
      </vt:variant>
    </vt:vector>
  </HeadingPairs>
  <TitlesOfParts>
    <vt:vector size="10" baseType="lpstr">
      <vt:lpstr>COSTEO INICIAL</vt:lpstr>
      <vt:lpstr>CARIBE</vt:lpstr>
      <vt:lpstr>CAUCA</vt:lpstr>
      <vt:lpstr>VALLE CAUCA</vt:lpstr>
      <vt:lpstr>PRESUPUESTO INICIAL</vt:lpstr>
      <vt:lpstr>VIATICOS</vt:lpstr>
      <vt:lpstr>CARTILLAS</vt:lpstr>
      <vt:lpstr>COMPARATIVO VS PROPUESTAS</vt:lpstr>
      <vt:lpstr>PRESUPUESTO FINAL</vt:lpstr>
      <vt:lpstr>CARIBE!_Hlk204597360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Blanco</dc:creator>
  <cp:lastModifiedBy>Camilo Acosta</cp:lastModifiedBy>
  <dcterms:created xsi:type="dcterms:W3CDTF">2022-11-08T16:28:00Z</dcterms:created>
  <dcterms:modified xsi:type="dcterms:W3CDTF">2025-10-01T00:14:49Z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8459DF0C1C0847699F9AF69828960DF7</vt:lpwstr>
  </property>
  <property fmtid="{D5CDD505-2E9C-101B-9397-08002B2CF9AE}" pid="3" name="KSOProductBuildVer">
    <vt:lpwstr>2058-11.2.0.11440</vt:lpwstr>
  </property>
</Properties>
</file>