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1377a9d937af476/PELAEZ HOLDING/CONTRATISTA JURIDICO/GOBERNACIÓN/2025/PROCESOS/ALCANTARILLADO LA TEBAIDA 1}/PARA PUBLICAR/"/>
    </mc:Choice>
  </mc:AlternateContent>
  <xr:revisionPtr revIDLastSave="0" documentId="13_ncr:1_{6D518D98-ABBD-42A7-893A-5852B6AEC220}" xr6:coauthVersionLast="47" xr6:coauthVersionMax="47" xr10:uidLastSave="{00000000-0000-0000-0000-000000000000}"/>
  <bookViews>
    <workbookView xWindow="0" yWindow="0" windowWidth="28800" windowHeight="18000" tabRatio="751" activeTab="3" xr2:uid="{30A67905-422A-4D2A-8148-529B0449F593}"/>
  </bookViews>
  <sheets>
    <sheet name="PRESUPUESTO" sheetId="2" r:id="rId1"/>
    <sheet name="AIU" sheetId="3" r:id="rId2"/>
    <sheet name="CANTIDADES" sheetId="1" r:id="rId3"/>
    <sheet name="APUs" sheetId="4" r:id="rId4"/>
    <sheet name="BIENES RELEVANTES" sheetId="5" r:id="rId5"/>
  </sheets>
  <externalReferences>
    <externalReference r:id="rId6"/>
  </externalReferences>
  <definedNames>
    <definedName name="_xlnm.Print_Area" localSheetId="0">PRESUPUESTO!$B$3:$H$51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3" l="1"/>
  <c r="I17" i="3"/>
  <c r="H50" i="2"/>
  <c r="K32" i="2" l="1"/>
  <c r="H25" i="2"/>
  <c r="C38" i="5" l="1"/>
  <c r="D28" i="5"/>
  <c r="D29" i="5" s="1"/>
  <c r="D30" i="5" s="1"/>
  <c r="D31" i="5" s="1"/>
  <c r="D32" i="5" s="1"/>
  <c r="D33" i="5" s="1"/>
  <c r="D27" i="5"/>
  <c r="F18" i="5" l="1"/>
  <c r="F19" i="5"/>
  <c r="F20" i="5"/>
  <c r="F21" i="5"/>
  <c r="F17" i="5"/>
  <c r="F14" i="5"/>
  <c r="F15" i="5"/>
  <c r="F13" i="5"/>
  <c r="F6" i="5"/>
  <c r="F7" i="5"/>
  <c r="F8" i="5"/>
  <c r="F9" i="5"/>
  <c r="F10" i="5"/>
  <c r="F11" i="5"/>
  <c r="F5" i="5"/>
  <c r="G69" i="4"/>
  <c r="E68" i="4"/>
  <c r="F137" i="4"/>
  <c r="D135" i="4"/>
  <c r="G135" i="4" s="1"/>
  <c r="G138" i="4" s="1"/>
  <c r="F134" i="4"/>
  <c r="F133" i="4"/>
  <c r="F132" i="4"/>
  <c r="F145" i="4"/>
  <c r="F146" i="4"/>
  <c r="F138" i="4" l="1"/>
  <c r="G15" i="5"/>
  <c r="F16" i="5"/>
  <c r="F12" i="5"/>
  <c r="F4" i="5"/>
  <c r="F22" i="5"/>
  <c r="G10" i="5" s="1"/>
  <c r="D70" i="4"/>
  <c r="E70" i="4" s="1"/>
  <c r="E71" i="4" s="1"/>
  <c r="G71" i="4"/>
  <c r="D136" i="4"/>
  <c r="E136" i="4" s="1"/>
  <c r="E138" i="4" s="1"/>
  <c r="G17" i="5" l="1"/>
  <c r="G7" i="5"/>
  <c r="G21" i="5"/>
  <c r="G16" i="5"/>
  <c r="B139" i="4"/>
  <c r="G4" i="5"/>
  <c r="G11" i="5"/>
  <c r="G9" i="5"/>
  <c r="G20" i="5"/>
  <c r="G13" i="5"/>
  <c r="G19" i="5"/>
  <c r="G8" i="5"/>
  <c r="G18" i="5"/>
  <c r="G14" i="5"/>
  <c r="G12" i="5"/>
  <c r="G6" i="5"/>
  <c r="G5" i="5"/>
  <c r="B72" i="4"/>
  <c r="D151" i="4" l="1"/>
  <c r="G151" i="4" s="1"/>
  <c r="F150" i="4"/>
  <c r="F149" i="4"/>
  <c r="F148" i="4"/>
  <c r="F147" i="4"/>
  <c r="E47" i="4"/>
  <c r="E46" i="4"/>
  <c r="G45" i="4"/>
  <c r="G48" i="4" s="1"/>
  <c r="E44" i="4"/>
  <c r="F43" i="4"/>
  <c r="F48" i="4" s="1"/>
  <c r="G34" i="4"/>
  <c r="F33" i="4"/>
  <c r="F35" i="4" s="1"/>
  <c r="D32" i="4"/>
  <c r="G32" i="4" s="1"/>
  <c r="E31" i="4"/>
  <c r="E35" i="4" s="1"/>
  <c r="F23" i="4"/>
  <c r="D21" i="4"/>
  <c r="G21" i="4" s="1"/>
  <c r="G23" i="4" s="1"/>
  <c r="F20" i="4"/>
  <c r="O6" i="1"/>
  <c r="E48" i="4" l="1"/>
  <c r="B49" i="4" s="1"/>
  <c r="G35" i="4"/>
  <c r="B36" i="4" s="1"/>
  <c r="F153" i="4"/>
  <c r="G153" i="4"/>
  <c r="D152" i="4"/>
  <c r="E152" i="4" s="1"/>
  <c r="E153" i="4" s="1"/>
  <c r="D22" i="4"/>
  <c r="E22" i="4" s="1"/>
  <c r="E23" i="4" s="1"/>
  <c r="B24" i="4" s="1"/>
  <c r="B154" i="4" l="1"/>
  <c r="P6" i="1" l="1"/>
  <c r="G19" i="2"/>
  <c r="G13" i="2"/>
  <c r="H13" i="2" s="1"/>
  <c r="D29" i="1"/>
  <c r="E8" i="1" l="1"/>
  <c r="Q7" i="1"/>
  <c r="Q6" i="1"/>
  <c r="D28" i="1"/>
  <c r="D24" i="1"/>
  <c r="O7" i="1"/>
  <c r="L6" i="1"/>
  <c r="I6" i="1"/>
  <c r="H17" i="1"/>
  <c r="I16" i="1"/>
  <c r="G7" i="1" s="1"/>
  <c r="R7" i="1" s="1"/>
  <c r="H16" i="1"/>
  <c r="I15" i="1"/>
  <c r="D27" i="1"/>
  <c r="O27" i="1" l="1"/>
  <c r="O26" i="1"/>
  <c r="J15" i="1"/>
  <c r="G6" i="1"/>
  <c r="M6" i="1" s="1"/>
  <c r="N6" i="1" s="1"/>
  <c r="Q8" i="1"/>
  <c r="O21" i="1" s="1"/>
  <c r="F18" i="2" s="1"/>
  <c r="J6" i="1"/>
  <c r="J16" i="1"/>
  <c r="J7" i="1"/>
  <c r="G49" i="2"/>
  <c r="G48" i="2"/>
  <c r="C59" i="3"/>
  <c r="C56" i="3"/>
  <c r="H46" i="3"/>
  <c r="H52" i="3" s="1"/>
  <c r="C44" i="3"/>
  <c r="C42" i="3"/>
  <c r="C41" i="3"/>
  <c r="C40" i="3"/>
  <c r="C39" i="3"/>
  <c r="H35" i="3"/>
  <c r="H51" i="3" s="1"/>
  <c r="H28" i="3"/>
  <c r="H27" i="3"/>
  <c r="H26" i="3"/>
  <c r="H25" i="3"/>
  <c r="H21" i="3"/>
  <c r="H20" i="3"/>
  <c r="H19" i="3"/>
  <c r="H18" i="3"/>
  <c r="B3" i="3"/>
  <c r="B2" i="3"/>
  <c r="B1" i="3"/>
  <c r="F14" i="2"/>
  <c r="H14" i="2" s="1"/>
  <c r="H40" i="2"/>
  <c r="H37" i="2"/>
  <c r="H36" i="2"/>
  <c r="H35" i="2"/>
  <c r="H34" i="2"/>
  <c r="H30" i="2"/>
  <c r="H8" i="2"/>
  <c r="R6" i="1" l="1"/>
  <c r="R8" i="1" s="1"/>
  <c r="F19" i="2" s="1"/>
  <c r="H19" i="2" s="1"/>
  <c r="J18" i="1"/>
  <c r="F33" i="2" s="1"/>
  <c r="H33" i="2" s="1"/>
  <c r="H38" i="2" s="1"/>
  <c r="K16" i="1"/>
  <c r="K18" i="1" s="1"/>
  <c r="H29" i="3"/>
  <c r="H22" i="3"/>
  <c r="D26" i="1" l="1"/>
  <c r="F28" i="2" s="1"/>
  <c r="H28" i="2" s="1"/>
  <c r="D25" i="1"/>
  <c r="P7" i="1"/>
  <c r="O8" i="1"/>
  <c r="O24" i="1" s="1"/>
  <c r="L7" i="1"/>
  <c r="I7" i="1"/>
  <c r="I8" i="1" s="1"/>
  <c r="F7" i="2" s="1"/>
  <c r="H7" i="2" s="1"/>
  <c r="F11" i="2" l="1"/>
  <c r="H11" i="2" s="1"/>
  <c r="F6" i="2"/>
  <c r="F29" i="2"/>
  <c r="H29" i="2" s="1"/>
  <c r="H31" i="2" s="1"/>
  <c r="F23" i="2"/>
  <c r="H23" i="2" s="1"/>
  <c r="F41" i="2"/>
  <c r="H41" i="2" s="1"/>
  <c r="H42" i="2" s="1"/>
  <c r="M7" i="1"/>
  <c r="P8" i="1"/>
  <c r="O25" i="1" s="1"/>
  <c r="L8" i="1"/>
  <c r="O28" i="1" s="1"/>
  <c r="F20" i="2" l="1"/>
  <c r="H20" i="2" s="1"/>
  <c r="F12" i="2"/>
  <c r="H12" i="2" s="1"/>
  <c r="G8" i="1"/>
  <c r="O29" i="1" s="1"/>
  <c r="F24" i="2" s="1"/>
  <c r="N7" i="1"/>
  <c r="F15" i="2"/>
  <c r="H15" i="2" s="1"/>
  <c r="H6" i="2"/>
  <c r="H9" i="2" s="1"/>
  <c r="F44" i="2"/>
  <c r="H44" i="2" s="1"/>
  <c r="H45" i="2" s="1"/>
  <c r="H16" i="2" l="1"/>
  <c r="H24" i="2"/>
  <c r="H18" i="2"/>
  <c r="N8" i="1"/>
  <c r="O22" i="1" s="1"/>
  <c r="F22" i="2" s="1"/>
  <c r="H22" i="2" s="1"/>
  <c r="M8" i="1"/>
  <c r="H10" i="2"/>
  <c r="O23" i="1" l="1"/>
  <c r="F21" i="2" s="1"/>
  <c r="H21" i="2" s="1"/>
  <c r="H26" i="2" l="1"/>
  <c r="H46" i="2" l="1"/>
  <c r="F13" i="3" l="1"/>
  <c r="I27" i="3" s="1"/>
  <c r="I20" i="3" l="1"/>
  <c r="I19" i="3"/>
  <c r="I18" i="3"/>
  <c r="I26" i="3"/>
  <c r="I25" i="3"/>
  <c r="I21" i="3"/>
  <c r="I28" i="3"/>
  <c r="I29" i="3" l="1"/>
  <c r="H50" i="3" s="1"/>
  <c r="I22" i="3"/>
  <c r="H49" i="3" s="1"/>
  <c r="H53" i="3" l="1"/>
  <c r="H63" i="3" s="1"/>
  <c r="H66" i="3" s="1"/>
  <c r="G47" i="2" l="1"/>
  <c r="H57" i="2" s="1"/>
  <c r="G58" i="2" s="1"/>
</calcChain>
</file>

<file path=xl/sharedStrings.xml><?xml version="1.0" encoding="utf-8"?>
<sst xmlns="http://schemas.openxmlformats.org/spreadsheetml/2006/main" count="699" uniqueCount="313">
  <si>
    <t>TRAMO</t>
  </si>
  <si>
    <t>LONGITUD</t>
  </si>
  <si>
    <t>CAMARA INICIAL</t>
  </si>
  <si>
    <t>CAMARA FINAL</t>
  </si>
  <si>
    <t>CAMARAS DE INSPECCION</t>
  </si>
  <si>
    <t>C. Rasante</t>
  </si>
  <si>
    <t>C. Salida</t>
  </si>
  <si>
    <t>cota llegada</t>
  </si>
  <si>
    <t>Longitud</t>
  </si>
  <si>
    <t>Estado</t>
  </si>
  <si>
    <t>Buena</t>
  </si>
  <si>
    <t>N/A</t>
  </si>
  <si>
    <t>Corte salida</t>
  </si>
  <si>
    <t>Corte llegada</t>
  </si>
  <si>
    <t>Excavacion</t>
  </si>
  <si>
    <t>ANCHO DE ZANJA</t>
  </si>
  <si>
    <t>EXCAVACION</t>
  </si>
  <si>
    <t>DIAMETRO</t>
  </si>
  <si>
    <t>SEÑALIZACION</t>
  </si>
  <si>
    <t>ALTURA PROMEDIO</t>
  </si>
  <si>
    <t>ENTIBADO</t>
  </si>
  <si>
    <t>LLENO ENCAMADO</t>
  </si>
  <si>
    <t>LLENO SITIO</t>
  </si>
  <si>
    <t>LLENO PRESTAMO</t>
  </si>
  <si>
    <t>CORTE PAV</t>
  </si>
  <si>
    <t>DEMOLICION</t>
  </si>
  <si>
    <t>ACOMETIDAS</t>
  </si>
  <si>
    <t>Numero</t>
  </si>
  <si>
    <t>Lleno prestamo</t>
  </si>
  <si>
    <t>corte</t>
  </si>
  <si>
    <t>Demolicion</t>
  </si>
  <si>
    <t>RESUME</t>
  </si>
  <si>
    <t>PAVIMENTO</t>
  </si>
  <si>
    <t>CORTE</t>
  </si>
  <si>
    <t xml:space="preserve">DEMOLICION </t>
  </si>
  <si>
    <t>LOZA MAL ESTADO</t>
  </si>
  <si>
    <t>OPTIMIZACION DE REDES DE ALCANTARILLADO EN DIFERENTES SECTORES DEL MUNICIPIO DE LA TEBAIDA, DEPARTAMENTO DEL QUINDÍO</t>
  </si>
  <si>
    <t>ÍTEM</t>
  </si>
  <si>
    <t>ACTIVIDADES</t>
  </si>
  <si>
    <t>UNID</t>
  </si>
  <si>
    <t>CANT</t>
  </si>
  <si>
    <t>VR UNITARIO</t>
  </si>
  <si>
    <t>VALOR PARCIAL</t>
  </si>
  <si>
    <t>PRELIMINARES Y SEÑALIZACIÓN</t>
  </si>
  <si>
    <t>Ml</t>
  </si>
  <si>
    <t xml:space="preserve">Pasos peatonales provisionales </t>
  </si>
  <si>
    <t>UN</t>
  </si>
  <si>
    <t>TOTAL PRELIMINARES Y SEÑALIZACIÓN</t>
  </si>
  <si>
    <t>CORTES Y DEMOLICIONES</t>
  </si>
  <si>
    <t>Corte de pavimento con disco hasta 10 cm de espesor</t>
  </si>
  <si>
    <t>Demolición y rotura de pavimento rigido e&gt;=0,20m (Incluye cargue y retiro de sobrantes hasta 25Km</t>
  </si>
  <si>
    <t>M3</t>
  </si>
  <si>
    <t>Demolición andén y/o cuneta (Incluye cargue y retiro de sobrantes hasta 25Km</t>
  </si>
  <si>
    <t>Demolición Camaras de Inspeccion (Incluye cargue y retiro de sobrantes hasta 25Km</t>
  </si>
  <si>
    <t>TOTAL CORTES Y DEMOLICIONES</t>
  </si>
  <si>
    <t>MOVIMIENTO DE TIERRA</t>
  </si>
  <si>
    <t>M2</t>
  </si>
  <si>
    <t>TOTAL MOVIMIENTO DE TIERRA</t>
  </si>
  <si>
    <t xml:space="preserve"> SUMINISTRO E INSTALACIÓN ALCANTARILLADO </t>
  </si>
  <si>
    <t>Suministro e instalacion Tuberia Perfilada  D=6"</t>
  </si>
  <si>
    <t>Suministro e instalacion Tuberia Perfilada  D=12"</t>
  </si>
  <si>
    <t>Suministro e instalación Kit Silla Yee 12" x 6"</t>
  </si>
  <si>
    <t>TOTAL  SUMINISTRO E INSTALACIÓN ALCANTARILLADO </t>
  </si>
  <si>
    <t>OBRAS EN CONCRETO</t>
  </si>
  <si>
    <t xml:space="preserve">Tapa losa 1,6x1,6m en concreto de 20,7 Mpa e=0,2m, para camara de inspeccion O=1/2" Incluye acero de refuerzo doble parrilla O=1/2" @ 0,15 m A.S. y tapa en polipropileno mas anillo O=0,6m resistente 12,5 toneladas </t>
  </si>
  <si>
    <t>TOTAL OBRAS EN CONCRETO</t>
  </si>
  <si>
    <t xml:space="preserve">PAVIMENTOS Y REPOSICIONES </t>
  </si>
  <si>
    <t xml:space="preserve">TOTAL PAVIMENTOS Y REPOSICIONES </t>
  </si>
  <si>
    <t xml:space="preserve"> OBRAS Y ACTIVIDADES COMPLEMENTARIAS </t>
  </si>
  <si>
    <t xml:space="preserve">TOTAL  OBRAS Y ACTIVIDADES COMPLEMENTARIAS </t>
  </si>
  <si>
    <t xml:space="preserve">TOTAL COSTO DIRECTO </t>
  </si>
  <si>
    <t xml:space="preserve">ADMINISTRACIÓN  </t>
  </si>
  <si>
    <t>IMPREVISTOS</t>
  </si>
  <si>
    <t>UTILIDAD</t>
  </si>
  <si>
    <t>VALOR TOTAL</t>
  </si>
  <si>
    <r>
      <rPr>
        <b/>
        <u/>
        <sz val="11"/>
        <rFont val="Arial"/>
        <family val="2"/>
      </rPr>
      <t xml:space="preserve">NOTA: </t>
    </r>
    <r>
      <rPr>
        <u/>
        <sz val="11"/>
        <rFont val="Arial"/>
        <family val="2"/>
      </rPr>
      <t xml:space="preserve">Todos los APUs incluyen acarreos horizontales o, trasiego </t>
    </r>
  </si>
  <si>
    <t>INVIAS</t>
  </si>
  <si>
    <t>Demolicion Anden</t>
  </si>
  <si>
    <t>H camaras</t>
  </si>
  <si>
    <t>Demolicion camaras</t>
  </si>
  <si>
    <t>ENCAMADO</t>
  </si>
  <si>
    <t>CARGUE Y RETIRO</t>
  </si>
  <si>
    <t>FECHA:</t>
  </si>
  <si>
    <t>CALCULO DEL  A. I. U.</t>
  </si>
  <si>
    <t>1.-</t>
  </si>
  <si>
    <t>CALCULO DE LA ADMINISTRACION :    A</t>
  </si>
  <si>
    <t>1.1.-</t>
  </si>
  <si>
    <t>MANEJO ADMINISTRATIVO MENSUAL</t>
  </si>
  <si>
    <t>PLAZO PROMEDIO DEL CONTRATO:</t>
  </si>
  <si>
    <t>DIAS</t>
  </si>
  <si>
    <t xml:space="preserve">COSTO DIRECTO </t>
  </si>
  <si>
    <t>DESCRIPCION</t>
  </si>
  <si>
    <t>UND</t>
  </si>
  <si>
    <t>DEDICACION</t>
  </si>
  <si>
    <t>COSTO</t>
  </si>
  <si>
    <t>Valor Total</t>
  </si>
  <si>
    <t>% Participación</t>
  </si>
  <si>
    <t>PERSONAL TECNICO Y ADM: (Incluye Prestaciones Soc.)</t>
  </si>
  <si>
    <t xml:space="preserve">Residente de obra </t>
  </si>
  <si>
    <t>MES</t>
  </si>
  <si>
    <t>Maestro de obra</t>
  </si>
  <si>
    <t>Inspector SISO</t>
  </si>
  <si>
    <t>Profesional Social</t>
  </si>
  <si>
    <t>Subtotal Mensual Personal técnico y administrativo:</t>
  </si>
  <si>
    <t>OFICINA, PAPELERIA Y OTROS:</t>
  </si>
  <si>
    <t>Oficina y equipo de Oficina (Escritorio, pc, impresora, sillas, papeleria), campamento y comunicaciones</t>
  </si>
  <si>
    <t>Plan de Gestión Social, Ambiental y Transito</t>
  </si>
  <si>
    <t>GLB</t>
  </si>
  <si>
    <t>Ensayos de suelos y calidad</t>
  </si>
  <si>
    <t>Valla</t>
  </si>
  <si>
    <t>Subtotal Mensual oficina , papeleria y otros:</t>
  </si>
  <si>
    <t>1.2.-</t>
  </si>
  <si>
    <t>POR LEGALIZACION DEL CONTRATO</t>
  </si>
  <si>
    <t>Pólizas 1%</t>
  </si>
  <si>
    <t xml:space="preserve">Total Legalización del Contrato: </t>
  </si>
  <si>
    <t>1.3.-</t>
  </si>
  <si>
    <t>DESCUENTOS TASAS E IMPUESTOS</t>
  </si>
  <si>
    <t>Tasa Pro-deporte 2,5%</t>
  </si>
  <si>
    <t>Pro- universidad 2%</t>
  </si>
  <si>
    <t>Total Descuentos:</t>
  </si>
  <si>
    <t>RESUMEN DEL CALCULO DEL FACTOR DE ADMINISTRACION:   A</t>
  </si>
  <si>
    <t>%</t>
  </si>
  <si>
    <t>MANEJO ADMINISTRATIVO MENSUAL PERSONAL TECNICO Y ADMINISTRATIVO</t>
  </si>
  <si>
    <t>MANEJO ADMINISTRATIVO MENSUAL OFICINA, PAPELERIA Y OTROS</t>
  </si>
  <si>
    <t xml:space="preserve">DESCUENTOS </t>
  </si>
  <si>
    <t>VALOR TOTAL DE LA ADMINISTRACION</t>
  </si>
  <si>
    <t>2.-</t>
  </si>
  <si>
    <t>CALCULO DE IMPREVISTOS :    I</t>
  </si>
  <si>
    <t>3.-</t>
  </si>
  <si>
    <t>CALCULO DE LA UTILIDAD :    U</t>
  </si>
  <si>
    <t>RESUMEN DEL CALCULO DEL  A.  I.  U.</t>
  </si>
  <si>
    <r>
      <t xml:space="preserve">Por Administración    :  </t>
    </r>
    <r>
      <rPr>
        <b/>
        <sz val="10"/>
        <color rgb="FF000000"/>
        <rFont val="Arial"/>
        <family val="2"/>
      </rPr>
      <t>A</t>
    </r>
  </si>
  <si>
    <r>
      <t xml:space="preserve">Por Imprevistos         :   </t>
    </r>
    <r>
      <rPr>
        <b/>
        <sz val="10"/>
        <color rgb="FF000000"/>
        <rFont val="Arial"/>
        <family val="2"/>
      </rPr>
      <t>I</t>
    </r>
  </si>
  <si>
    <r>
      <t xml:space="preserve">Por Utilidades           :  </t>
    </r>
    <r>
      <rPr>
        <b/>
        <sz val="10"/>
        <color rgb="FF000000"/>
        <rFont val="Arial"/>
        <family val="2"/>
      </rPr>
      <t>U</t>
    </r>
  </si>
  <si>
    <t>715A</t>
  </si>
  <si>
    <t>EXCAVACION &lt;2</t>
  </si>
  <si>
    <t>EXCAVACION &gt;2</t>
  </si>
  <si>
    <t>EXCAVACION&lt;2</t>
  </si>
  <si>
    <t>Excavación en material común a mano No Incluye cargue y retiro de sobrantes &gt;=2m.</t>
  </si>
  <si>
    <t>Localización y replanteo para redes.</t>
  </si>
  <si>
    <t>CODIGO</t>
  </si>
  <si>
    <t>Cerramiento en tela polisombra verde y guadua de H=2.1 m (Exteriores).</t>
  </si>
  <si>
    <t>Pasos peatonales provisionales.</t>
  </si>
  <si>
    <t>APU001</t>
  </si>
  <si>
    <t>G-OP004</t>
  </si>
  <si>
    <t>APU002</t>
  </si>
  <si>
    <t>1.1</t>
  </si>
  <si>
    <t>1.2</t>
  </si>
  <si>
    <t>1.3</t>
  </si>
  <si>
    <t>Corte de andén en concreto e=5cm.</t>
  </si>
  <si>
    <t>APU003</t>
  </si>
  <si>
    <t>G-OP016</t>
  </si>
  <si>
    <t>APU004</t>
  </si>
  <si>
    <t>APU005</t>
  </si>
  <si>
    <t>APU006</t>
  </si>
  <si>
    <t>G-MT003</t>
  </si>
  <si>
    <t>G-MT004</t>
  </si>
  <si>
    <t>G-PA004</t>
  </si>
  <si>
    <t>Excavación en material común a mano No Incluye cargue y retiro de sobrantes &lt; 2m.</t>
  </si>
  <si>
    <t>Suministro e instalación de grava TM= 3/8" para cimentación de tubería de alcantarillado, incluye transporte.</t>
  </si>
  <si>
    <t>Lleno compactado con material de sitio.</t>
  </si>
  <si>
    <t>Lleno compactado manual con material de prestamo, incluye transporte.</t>
  </si>
  <si>
    <t>G-MT036</t>
  </si>
  <si>
    <t>APU007</t>
  </si>
  <si>
    <t>Suministro, Riego y Compactacion de Sub-Base granular tipo INVIAS (Incluye transporte).</t>
  </si>
  <si>
    <t>Cargue manual y retiro de material sobrante, incluye dispocisión final.</t>
  </si>
  <si>
    <t>APU008</t>
  </si>
  <si>
    <t>APU009</t>
  </si>
  <si>
    <t>APU010</t>
  </si>
  <si>
    <t>G-DE041</t>
  </si>
  <si>
    <t>APU011</t>
  </si>
  <si>
    <t>Cuerpo de cámara de inspección Ø=1,2m en concreto de 20,7 Mpa e=0,2m. Incluye acero de refuerzo transversal Ø=3/8" @ 0,25 m y longitudinal  Ø=5/8" @0,3 m.</t>
  </si>
  <si>
    <t>Base y cañuela para camara de inspeccion d= 1,20m en concreto fc 21 Mpa.</t>
  </si>
  <si>
    <t>Caja de inspección de 0,6x0,6x0,6m (libres) en concreto de 17,2 Mpa e=0,08m, tapa reforzada en concreto de 20,7 Mpa con acero de refuerzo Ø= 3/8" @15cm ambos sentidos incluye manija 0,15m libres de agarre, borde con angulos de 2"x1/8".</t>
  </si>
  <si>
    <t>Emboquillado de tubería de alcantarillado para empalme a camará de inspección.</t>
  </si>
  <si>
    <t>G-PH009</t>
  </si>
  <si>
    <t>G-PH004</t>
  </si>
  <si>
    <t>Anden concreto simple de 21 Mpa E=0,10 m.</t>
  </si>
  <si>
    <t>Pavimento en concreto hidraulico MR 40 de fraguado rapido (fast track) (Incluye encofrado).</t>
  </si>
  <si>
    <t>Inspección interna de la red de alcantarillado con equipo CCT.</t>
  </si>
  <si>
    <t>3.2</t>
  </si>
  <si>
    <t>3.1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</si>
  <si>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</si>
  <si>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</si>
  <si>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</si>
  <si>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</si>
  <si>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</si>
  <si>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</si>
  <si>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</si>
  <si>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</si>
  <si>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</si>
  <si>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5.1</t>
  </si>
  <si>
    <t>5.2</t>
  </si>
  <si>
    <t>5.3</t>
  </si>
  <si>
    <t>5.4</t>
  </si>
  <si>
    <t>5.5</t>
  </si>
  <si>
    <t>6.1</t>
  </si>
  <si>
    <t>6.2</t>
  </si>
  <si>
    <t>APU012</t>
  </si>
  <si>
    <t>APU013</t>
  </si>
  <si>
    <t>APU014</t>
  </si>
  <si>
    <t>APU015</t>
  </si>
  <si>
    <t>G-HS065</t>
  </si>
  <si>
    <t>APU016</t>
  </si>
  <si>
    <t>Unidad:</t>
  </si>
  <si>
    <t>ml</t>
  </si>
  <si>
    <t>PDA</t>
  </si>
  <si>
    <t>Descripción</t>
  </si>
  <si>
    <t>Unidad</t>
  </si>
  <si>
    <t>Rendimiento</t>
  </si>
  <si>
    <t>Vr. Unitario</t>
  </si>
  <si>
    <t>Equipo</t>
  </si>
  <si>
    <t>Material</t>
  </si>
  <si>
    <t>M.D.O.</t>
  </si>
  <si>
    <t>Equipo de topografia</t>
  </si>
  <si>
    <t>dia</t>
  </si>
  <si>
    <t>Puntilla promedio</t>
  </si>
  <si>
    <t>lb</t>
  </si>
  <si>
    <t xml:space="preserve">Estacón lata de guadua </t>
  </si>
  <si>
    <t>Und</t>
  </si>
  <si>
    <t>Comision topog. (1 top+2 cad)</t>
  </si>
  <si>
    <t>Jornal</t>
  </si>
  <si>
    <t>Acarreo horizontal en obra(4% mo)</t>
  </si>
  <si>
    <t>Glb</t>
  </si>
  <si>
    <t>Herramienta menor (5% mo)</t>
  </si>
  <si>
    <t>%mo</t>
  </si>
  <si>
    <t>Total insumos</t>
  </si>
  <si>
    <t>Costo directo</t>
  </si>
  <si>
    <t>Fuente</t>
  </si>
  <si>
    <t>und</t>
  </si>
  <si>
    <t>Alquiler madera</t>
  </si>
  <si>
    <t>Gb</t>
  </si>
  <si>
    <t>Cuadrilla 0:0:2</t>
  </si>
  <si>
    <t>%mdo</t>
  </si>
  <si>
    <t>Corte con disco de Pavimento hasta 10cm de espesor</t>
  </si>
  <si>
    <t>Valor</t>
  </si>
  <si>
    <t>Cortadora de pavimento hasta 10 cm sin operario</t>
  </si>
  <si>
    <t>ML</t>
  </si>
  <si>
    <t>Cuadrilla 0:0:1</t>
  </si>
  <si>
    <t>Dia</t>
  </si>
  <si>
    <t>Agua</t>
  </si>
  <si>
    <t>lt</t>
  </si>
  <si>
    <t>Transporte</t>
  </si>
  <si>
    <t xml:space="preserve">Corte de andén en concreto e=5cm </t>
  </si>
  <si>
    <t>PROYECTA</t>
  </si>
  <si>
    <t>LT</t>
  </si>
  <si>
    <t>Cortadpra de concreto E=5cm</t>
  </si>
  <si>
    <t>Camioneta de estacas 4X4</t>
  </si>
  <si>
    <t>hora</t>
  </si>
  <si>
    <t>Demolicion anden y/o cuneta incluye cargue y retiro de sobrantes hasta 25 km</t>
  </si>
  <si>
    <t>Compresor con Martillo</t>
  </si>
  <si>
    <t>Volqueta de 5 M3</t>
  </si>
  <si>
    <t>m3</t>
  </si>
  <si>
    <t>Grava de ½ , ¾ y 1"</t>
  </si>
  <si>
    <t>día</t>
  </si>
  <si>
    <t>Retro-Cargador  Cat920</t>
  </si>
  <si>
    <t>Hr</t>
  </si>
  <si>
    <t>Material prestamo base-subbase (puesto en sitio)</t>
  </si>
  <si>
    <t>Herramienta menor (5% de mano de obra)</t>
  </si>
  <si>
    <t>Cantidad</t>
  </si>
  <si>
    <t>Distancia</t>
  </si>
  <si>
    <t>Transporte a escombrera</t>
  </si>
  <si>
    <t>m3-km</t>
  </si>
  <si>
    <t>Tubería Perfilada D=6"</t>
  </si>
  <si>
    <t>Limpiador PVC - CPVC 1/4 Gln</t>
  </si>
  <si>
    <t>1/4gl</t>
  </si>
  <si>
    <t>Soldadura PVC</t>
  </si>
  <si>
    <t>Cuadrilla 0:1:1</t>
  </si>
  <si>
    <t xml:space="preserve">Herramienta menor </t>
  </si>
  <si>
    <t>Desperdicio</t>
  </si>
  <si>
    <t>Tabla de otobo 1"x10 cm x M</t>
  </si>
  <si>
    <t>Formaleta metalica camaras de inspeccion</t>
  </si>
  <si>
    <t>Hierro de 60000 PSI 420 MPA</t>
  </si>
  <si>
    <t>kg</t>
  </si>
  <si>
    <t>Hierro de 37000 PSI 259 MPA</t>
  </si>
  <si>
    <t>Concreto clase B  (32 MPA)</t>
  </si>
  <si>
    <t>Mortero 1:2</t>
  </si>
  <si>
    <t>Cuadrilla 0:1:2</t>
  </si>
  <si>
    <t>Tapa losa 1,6x1,6m en concreto de 20,7 Mpa e=0,2m, para camara de inspección Ø=1,2m. Incluye acero de refuerzo doble parrilla Ø=1/2" @ 0,15 m A.S. y tapa en polipropileno más anillo Ø=0,6m resistencia 12,5 toneladas.</t>
  </si>
  <si>
    <t>Cuarton Otobo 2"x4" x 3M</t>
  </si>
  <si>
    <t xml:space="preserve">Hierro 3/8 60000 PSI </t>
  </si>
  <si>
    <t>Concreto  Clase  (35 MPA)</t>
  </si>
  <si>
    <t>Tapa alcantarillado polipropileno (Tapa+Anillo) Ølibre=0.60m, resistencia 12,5 toneladas</t>
  </si>
  <si>
    <t>Base y cañuela para cámara de inspección Øint=1,2m en concreto de 20,7 Mpa</t>
  </si>
  <si>
    <t>Concreto  Clase  (21 MPA)</t>
  </si>
  <si>
    <t>Mortero 1:3 impermeabilizado</t>
  </si>
  <si>
    <t>Concreto 3000 psi</t>
  </si>
  <si>
    <t>Sikadur</t>
  </si>
  <si>
    <t>Kg</t>
  </si>
  <si>
    <t xml:space="preserve">Inspección interna de la red de alcantarillado con equipo CCT </t>
  </si>
  <si>
    <t>Robot con camara de inspeccion</t>
  </si>
  <si>
    <t>Cuadrilla 0:1:0</t>
  </si>
  <si>
    <t>h/c</t>
  </si>
  <si>
    <t>Suministro e instalación Kit Silla yee 12" x6"</t>
  </si>
  <si>
    <t>Silla yee 12" x 6"</t>
  </si>
  <si>
    <t>Demolición cámaras de Inspeccion Incluye cargue y retiro de sobrantes hasta 25Km</t>
  </si>
  <si>
    <t>Compresor con Martillo (No incluye operario)</t>
  </si>
  <si>
    <t>Valor unitario</t>
  </si>
  <si>
    <t>Valor parcial</t>
  </si>
  <si>
    <t>Porcentaje de participacion</t>
  </si>
  <si>
    <t>ELEMENTOS EN CONCRETO Y ACERO DE REFUERZO</t>
  </si>
  <si>
    <t>TUBERIAS DE PVC</t>
  </si>
  <si>
    <t>OTROS BIENES O INSUMOS</t>
  </si>
  <si>
    <t>Porcentaje de participacion acumulado</t>
  </si>
  <si>
    <t>Consolidar y ordenar</t>
  </si>
  <si>
    <t>BIENES  RELEVANTES</t>
  </si>
  <si>
    <t>Entibado en madera cubre ambas caras, 2 usos</t>
  </si>
  <si>
    <t>G-DE035</t>
  </si>
  <si>
    <t xml:space="preserve">Tapa losa 1,6x1,6m en concreto de 20,7 Mpa e=0,2m, para camara de inspeccion Ø=1/2" Incluye acero de refuerzo doble parrilla Ø=1/2" @ 0,15 m A.S. y tapa en polipropileno mas anillo Ø=0,6m resistente 12,5 toneladas </t>
  </si>
  <si>
    <t>ok</t>
  </si>
  <si>
    <t xml:space="preserve"> Suministro e instalacion Tuberia Perfilada  D=6"</t>
  </si>
  <si>
    <t>Topógrafo           (dedicacion 30% incluye cadenero y equipo)</t>
  </si>
  <si>
    <t>SELECCIÓN ABREVIADA DE MENOR CUANTÍA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</si>
</sst>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#.00"/>
    <numFmt numFmtId="165" formatCode="#.0"/>
    <numFmt numFmtId="166" formatCode="_([$$-240A]\ * #,##0_);_([$$-240A]\ * \(#,##0\);_([$$-240A]\ * &quot;-&quot;??_);_(@_)"/>
    <numFmt numFmtId="167" formatCode="_ * #,##0.00_ ;_ * \-#,##0.00_ ;_ * &quot;-&quot;??_ ;_ @_ "/>
    <numFmt numFmtId="168" formatCode="d/m/yyyy"/>
    <numFmt numFmtId="169" formatCode="#,##0.000"/>
    <numFmt numFmtId="170" formatCode="_ &quot;$&quot;\ * #,##0_ ;_ &quot;$&quot;\ * \-#,##0_ ;_ &quot;$&quot;\ * &quot;-&quot;??_ ;_ @_ "/>
    <numFmt numFmtId="171" formatCode="_-&quot;$&quot;\ * #,##0.000_-;\-&quot;$&quot;\ * #,##0.000_-;_-&quot;$&quot;\ * &quot;-&quot;??_-;_-@_-"/>
    <numFmt numFmtId="172" formatCode="0.000"/>
    <numFmt numFmtId="173" formatCode="_(&quot;$&quot;\ * #,##0.00_);_(&quot;$&quot;\ * \(#,##0.00\);_(&quot;$&quot;\ * &quot;-&quot;??_);_(@_)"/>
    <numFmt numFmtId="174" formatCode="_(&quot;$&quot;\ * #,##0_);_(&quot;$&quot;\ * \(#,##0\);_(&quot;$&quot;\ * &quot;-&quot;??_);_(@_)"/>
    <numFmt numFmtId="175" formatCode="_-&quot;$&quot;\ * #,##0.000_-;\-&quot;$&quot;\ * #,##0.000_-;_-&quot;$&quot;\ * &quot;-&quot;???_-;_-@_-"/>
    <numFmt numFmtId="176" formatCode="&quot;$&quot;\ #,##0.00"/>
    <numFmt numFmtId="177" formatCode="_-* #,##0.00_-;\-* #,##0.00_-;_-* \-??_-;_-@_-"/>
    <numFmt numFmtId="178" formatCode="_-\$* #,##0.00_-;&quot;-$&quot;* #,##0.00_-;_-\$* \-??_-;_-@_-"/>
    <numFmt numFmtId="179" formatCode="_-&quot;$&quot;* #,##0.00_-;\-&quot;$&quot;* #,##0.00_-;_-&quot;$&quot;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u/>
      <sz val="11"/>
      <name val="Arial"/>
      <family val="2"/>
    </font>
    <font>
      <b/>
      <u/>
      <sz val="11"/>
      <name val="Arial"/>
      <family val="2"/>
    </font>
    <font>
      <sz val="10"/>
      <color rgb="FFFF0000"/>
      <name val="Arial"/>
      <family val="2"/>
    </font>
    <font>
      <sz val="9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b/>
      <i/>
      <sz val="10"/>
      <color rgb="FF00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u/>
      <sz val="12"/>
      <color theme="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Arial"/>
      <family val="2"/>
    </font>
    <font>
      <sz val="10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</font>
    <font>
      <b/>
      <sz val="8"/>
      <color theme="1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AF1DD"/>
        <bgColor rgb="FFEAF1DD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166" fontId="1" fillId="0" borderId="0"/>
    <xf numFmtId="0" fontId="15" fillId="0" borderId="0"/>
    <xf numFmtId="44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5" fillId="0" borderId="0"/>
    <xf numFmtId="177" fontId="15" fillId="0" borderId="0" applyFill="0" applyBorder="0" applyAlignment="0" applyProtection="0"/>
    <xf numFmtId="178" fontId="15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9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6" fillId="0" borderId="0" xfId="0" applyFont="1" applyAlignment="1">
      <alignment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4" fontId="4" fillId="4" borderId="1" xfId="1" applyNumberFormat="1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0" fontId="6" fillId="0" borderId="0" xfId="0" applyFont="1"/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2" fontId="5" fillId="0" borderId="1" xfId="0" applyNumberFormat="1" applyFont="1" applyBorder="1" applyAlignment="1">
      <alignment horizontal="center" vertical="center"/>
    </xf>
    <xf numFmtId="4" fontId="5" fillId="0" borderId="1" xfId="1" applyNumberFormat="1" applyFont="1" applyFill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44" fontId="4" fillId="4" borderId="1" xfId="0" applyNumberFormat="1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0" fontId="5" fillId="6" borderId="1" xfId="0" applyFont="1" applyFill="1" applyBorder="1"/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/>
    </xf>
    <xf numFmtId="4" fontId="5" fillId="6" borderId="1" xfId="1" applyNumberFormat="1" applyFont="1" applyFill="1" applyBorder="1" applyAlignment="1">
      <alignment horizontal="center" vertical="center"/>
    </xf>
    <xf numFmtId="44" fontId="4" fillId="6" borderId="1" xfId="1" applyFont="1" applyFill="1" applyBorder="1" applyAlignment="1">
      <alignment horizontal="center" vertical="center"/>
    </xf>
    <xf numFmtId="0" fontId="5" fillId="0" borderId="1" xfId="0" applyFont="1" applyBorder="1"/>
    <xf numFmtId="10" fontId="4" fillId="0" borderId="1" xfId="2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4" fontId="10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" fontId="5" fillId="0" borderId="0" xfId="1" applyNumberFormat="1" applyFont="1" applyFill="1" applyAlignment="1">
      <alignment horizontal="center" vertical="center"/>
    </xf>
    <xf numFmtId="44" fontId="4" fillId="0" borderId="0" xfId="1" applyFont="1" applyFill="1" applyBorder="1" applyAlignment="1">
      <alignment horizontal="center" vertical="center"/>
    </xf>
    <xf numFmtId="44" fontId="5" fillId="0" borderId="0" xfId="1" applyFont="1" applyFill="1" applyAlignment="1">
      <alignment horizontal="center" vertical="center"/>
    </xf>
    <xf numFmtId="4" fontId="5" fillId="0" borderId="0" xfId="1" applyNumberFormat="1" applyFont="1" applyFill="1" applyAlignment="1">
      <alignment horizontal="left" vertical="top"/>
    </xf>
    <xf numFmtId="0" fontId="4" fillId="0" borderId="0" xfId="0" applyFont="1"/>
    <xf numFmtId="4" fontId="5" fillId="0" borderId="0" xfId="0" applyNumberFormat="1" applyFont="1"/>
    <xf numFmtId="0" fontId="2" fillId="2" borderId="2" xfId="0" applyFont="1" applyFill="1" applyBorder="1"/>
    <xf numFmtId="0" fontId="11" fillId="2" borderId="2" xfId="0" applyFont="1" applyFill="1" applyBorder="1" applyAlignment="1">
      <alignment horizontal="center" vertical="center"/>
    </xf>
    <xf numFmtId="2" fontId="5" fillId="7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4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4" applyNumberFormat="1" applyFont="1" applyAlignment="1">
      <alignment horizontal="left" vertical="center" wrapText="1"/>
    </xf>
    <xf numFmtId="0" fontId="12" fillId="0" borderId="0" xfId="4" applyNumberFormat="1" applyFont="1" applyAlignment="1">
      <alignment horizontal="center" vertical="center"/>
    </xf>
    <xf numFmtId="167" fontId="12" fillId="0" borderId="0" xfId="4" applyNumberFormat="1" applyFont="1" applyAlignment="1">
      <alignment horizontal="right" vertical="center"/>
    </xf>
    <xf numFmtId="167" fontId="12" fillId="0" borderId="0" xfId="4" applyNumberFormat="1" applyFont="1" applyAlignment="1">
      <alignment vertical="center"/>
    </xf>
    <xf numFmtId="167" fontId="14" fillId="0" borderId="0" xfId="4" applyNumberFormat="1" applyFont="1" applyAlignment="1">
      <alignment horizontal="right" vertical="center"/>
    </xf>
    <xf numFmtId="168" fontId="14" fillId="0" borderId="0" xfId="4" applyNumberFormat="1" applyFont="1" applyAlignment="1">
      <alignment vertical="center"/>
    </xf>
    <xf numFmtId="167" fontId="14" fillId="0" borderId="0" xfId="4" applyNumberFormat="1" applyFont="1" applyAlignment="1">
      <alignment vertical="center"/>
    </xf>
    <xf numFmtId="0" fontId="14" fillId="0" borderId="0" xfId="4" applyNumberFormat="1" applyFont="1" applyAlignment="1">
      <alignment vertical="center"/>
    </xf>
    <xf numFmtId="0" fontId="16" fillId="0" borderId="0" xfId="4" applyNumberFormat="1" applyFont="1" applyAlignment="1">
      <alignment vertical="center"/>
    </xf>
    <xf numFmtId="3" fontId="10" fillId="0" borderId="0" xfId="4" applyNumberFormat="1" applyFont="1" applyAlignment="1">
      <alignment vertical="center"/>
    </xf>
    <xf numFmtId="169" fontId="10" fillId="0" borderId="0" xfId="4" applyNumberFormat="1" applyFont="1" applyAlignment="1">
      <alignment vertical="center"/>
    </xf>
    <xf numFmtId="0" fontId="14" fillId="0" borderId="1" xfId="4" applyNumberFormat="1" applyFont="1" applyBorder="1" applyAlignment="1">
      <alignment horizontal="center" vertical="center"/>
    </xf>
    <xf numFmtId="0" fontId="14" fillId="9" borderId="6" xfId="4" applyNumberFormat="1" applyFont="1" applyFill="1" applyBorder="1" applyAlignment="1">
      <alignment horizontal="left" vertical="center"/>
    </xf>
    <xf numFmtId="0" fontId="14" fillId="9" borderId="7" xfId="4" applyNumberFormat="1" applyFont="1" applyFill="1" applyBorder="1" applyAlignment="1">
      <alignment horizontal="center" vertical="center"/>
    </xf>
    <xf numFmtId="0" fontId="14" fillId="9" borderId="8" xfId="4" applyNumberFormat="1" applyFont="1" applyFill="1" applyBorder="1" applyAlignment="1">
      <alignment horizontal="center" vertical="center"/>
    </xf>
    <xf numFmtId="0" fontId="12" fillId="0" borderId="1" xfId="4" applyNumberFormat="1" applyFont="1" applyBorder="1" applyAlignment="1">
      <alignment horizontal="center" vertical="center"/>
    </xf>
    <xf numFmtId="0" fontId="10" fillId="0" borderId="1" xfId="4" applyNumberFormat="1" applyFont="1" applyBorder="1" applyAlignment="1">
      <alignment horizontal="center" vertical="center"/>
    </xf>
    <xf numFmtId="9" fontId="10" fillId="0" borderId="1" xfId="4" applyNumberFormat="1" applyFont="1" applyBorder="1" applyAlignment="1">
      <alignment horizontal="center" vertical="center"/>
    </xf>
    <xf numFmtId="170" fontId="12" fillId="0" borderId="1" xfId="4" applyNumberFormat="1" applyFont="1" applyBorder="1" applyAlignment="1">
      <alignment vertical="center"/>
    </xf>
    <xf numFmtId="170" fontId="12" fillId="0" borderId="1" xfId="4" applyNumberFormat="1" applyFont="1" applyBorder="1" applyAlignment="1">
      <alignment horizontal="right" vertical="center"/>
    </xf>
    <xf numFmtId="10" fontId="12" fillId="0" borderId="1" xfId="4" applyNumberFormat="1" applyFont="1" applyBorder="1" applyAlignment="1">
      <alignment horizontal="center" vertical="center"/>
    </xf>
    <xf numFmtId="0" fontId="12" fillId="0" borderId="1" xfId="4" applyNumberFormat="1" applyFont="1" applyBorder="1" applyAlignment="1">
      <alignment vertical="center"/>
    </xf>
    <xf numFmtId="170" fontId="14" fillId="0" borderId="1" xfId="4" applyNumberFormat="1" applyFont="1" applyBorder="1" applyAlignment="1">
      <alignment vertical="center"/>
    </xf>
    <xf numFmtId="10" fontId="14" fillId="0" borderId="1" xfId="4" applyNumberFormat="1" applyFont="1" applyBorder="1" applyAlignment="1">
      <alignment horizontal="center" vertical="center"/>
    </xf>
    <xf numFmtId="0" fontId="10" fillId="0" borderId="9" xfId="4" applyNumberFormat="1" applyFont="1" applyBorder="1" applyAlignment="1">
      <alignment vertical="center"/>
    </xf>
    <xf numFmtId="0" fontId="10" fillId="0" borderId="9" xfId="4" applyNumberFormat="1" applyFont="1" applyBorder="1" applyAlignment="1">
      <alignment horizontal="center" vertical="center"/>
    </xf>
    <xf numFmtId="170" fontId="10" fillId="0" borderId="9" xfId="4" applyNumberFormat="1" applyFont="1" applyBorder="1" applyAlignment="1">
      <alignment vertical="center"/>
    </xf>
    <xf numFmtId="170" fontId="12" fillId="0" borderId="9" xfId="4" applyNumberFormat="1" applyFont="1" applyBorder="1" applyAlignment="1">
      <alignment horizontal="right" vertical="center"/>
    </xf>
    <xf numFmtId="10" fontId="12" fillId="0" borderId="9" xfId="4" applyNumberFormat="1" applyFont="1" applyBorder="1" applyAlignment="1">
      <alignment horizontal="center" vertical="center"/>
    </xf>
    <xf numFmtId="0" fontId="14" fillId="9" borderId="10" xfId="4" applyNumberFormat="1" applyFont="1" applyFill="1" applyBorder="1" applyAlignment="1">
      <alignment horizontal="left" vertical="center"/>
    </xf>
    <xf numFmtId="0" fontId="14" fillId="9" borderId="11" xfId="4" applyNumberFormat="1" applyFont="1" applyFill="1" applyBorder="1" applyAlignment="1">
      <alignment horizontal="center" vertical="center"/>
    </xf>
    <xf numFmtId="0" fontId="14" fillId="9" borderId="12" xfId="4" applyNumberFormat="1" applyFont="1" applyFill="1" applyBorder="1" applyAlignment="1">
      <alignment horizontal="center" vertical="center"/>
    </xf>
    <xf numFmtId="0" fontId="12" fillId="0" borderId="13" xfId="4" applyNumberFormat="1" applyFont="1" applyBorder="1" applyAlignment="1">
      <alignment horizontal="center" vertical="center"/>
    </xf>
    <xf numFmtId="0" fontId="10" fillId="0" borderId="13" xfId="4" applyNumberFormat="1" applyFont="1" applyBorder="1" applyAlignment="1">
      <alignment horizontal="center" vertical="center"/>
    </xf>
    <xf numFmtId="170" fontId="12" fillId="0" borderId="13" xfId="4" applyNumberFormat="1" applyFont="1" applyBorder="1" applyAlignment="1">
      <alignment vertical="center"/>
    </xf>
    <xf numFmtId="170" fontId="12" fillId="0" borderId="13" xfId="4" applyNumberFormat="1" applyFont="1" applyBorder="1" applyAlignment="1">
      <alignment horizontal="right" vertical="center"/>
    </xf>
    <xf numFmtId="10" fontId="12" fillId="0" borderId="13" xfId="4" applyNumberFormat="1" applyFont="1" applyBorder="1" applyAlignment="1">
      <alignment horizontal="center" vertical="center"/>
    </xf>
    <xf numFmtId="170" fontId="14" fillId="0" borderId="13" xfId="4" applyNumberFormat="1" applyFont="1" applyBorder="1" applyAlignment="1">
      <alignment vertical="center"/>
    </xf>
    <xf numFmtId="10" fontId="14" fillId="0" borderId="13" xfId="4" applyNumberFormat="1" applyFont="1" applyBorder="1" applyAlignment="1">
      <alignment horizontal="center" vertical="center"/>
    </xf>
    <xf numFmtId="9" fontId="12" fillId="0" borderId="0" xfId="4" applyNumberFormat="1" applyFont="1" applyAlignment="1">
      <alignment vertical="center"/>
    </xf>
    <xf numFmtId="0" fontId="14" fillId="0" borderId="0" xfId="4" applyNumberFormat="1" applyFont="1" applyAlignment="1">
      <alignment horizontal="right" vertical="center"/>
    </xf>
    <xf numFmtId="0" fontId="12" fillId="0" borderId="0" xfId="4" applyNumberFormat="1" applyFont="1" applyAlignment="1">
      <alignment horizontal="right" vertical="center"/>
    </xf>
    <xf numFmtId="0" fontId="12" fillId="0" borderId="6" xfId="4" applyNumberFormat="1" applyFont="1" applyBorder="1" applyAlignment="1">
      <alignment vertical="center"/>
    </xf>
    <xf numFmtId="0" fontId="12" fillId="0" borderId="7" xfId="4" applyNumberFormat="1" applyFont="1" applyBorder="1" applyAlignment="1">
      <alignment vertical="center"/>
    </xf>
    <xf numFmtId="0" fontId="12" fillId="0" borderId="8" xfId="4" applyNumberFormat="1" applyFont="1" applyBorder="1" applyAlignment="1">
      <alignment vertical="center"/>
    </xf>
    <xf numFmtId="10" fontId="10" fillId="0" borderId="1" xfId="4" applyNumberFormat="1" applyFont="1" applyBorder="1" applyAlignment="1">
      <alignment horizontal="center" vertical="center"/>
    </xf>
    <xf numFmtId="10" fontId="14" fillId="0" borderId="16" xfId="4" applyNumberFormat="1" applyFont="1" applyBorder="1" applyAlignment="1">
      <alignment horizontal="center" vertical="center"/>
    </xf>
    <xf numFmtId="0" fontId="14" fillId="10" borderId="0" xfId="4" applyNumberFormat="1" applyFont="1" applyFill="1" applyAlignment="1">
      <alignment vertical="center"/>
    </xf>
    <xf numFmtId="10" fontId="12" fillId="0" borderId="0" xfId="4" applyNumberFormat="1" applyFont="1" applyAlignment="1">
      <alignment vertical="center"/>
    </xf>
    <xf numFmtId="0" fontId="12" fillId="9" borderId="13" xfId="4" applyNumberFormat="1" applyFont="1" applyFill="1" applyBorder="1" applyAlignment="1">
      <alignment horizontal="center" vertical="center"/>
    </xf>
    <xf numFmtId="10" fontId="14" fillId="11" borderId="13" xfId="4" applyNumberFormat="1" applyFont="1" applyFill="1" applyBorder="1" applyAlignment="1">
      <alignment horizontal="center" vertical="center"/>
    </xf>
    <xf numFmtId="0" fontId="14" fillId="9" borderId="13" xfId="4" applyNumberFormat="1" applyFont="1" applyFill="1" applyBorder="1" applyAlignment="1">
      <alignment horizontal="center" vertical="center"/>
    </xf>
    <xf numFmtId="10" fontId="17" fillId="0" borderId="13" xfId="4" applyNumberFormat="1" applyFont="1" applyBorder="1" applyAlignment="1">
      <alignment horizontal="center" vertical="center"/>
    </xf>
    <xf numFmtId="171" fontId="5" fillId="0" borderId="1" xfId="1" applyNumberFormat="1" applyFont="1" applyFill="1" applyBorder="1" applyAlignment="1">
      <alignment horizontal="center" vertical="center"/>
    </xf>
    <xf numFmtId="44" fontId="6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19" fillId="7" borderId="1" xfId="0" applyFont="1" applyFill="1" applyBorder="1" applyAlignment="1">
      <alignment horizontal="justify" vertical="center" wrapText="1"/>
    </xf>
    <xf numFmtId="0" fontId="20" fillId="0" borderId="8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/>
    </xf>
    <xf numFmtId="44" fontId="19" fillId="0" borderId="1" xfId="1" applyFont="1" applyFill="1" applyBorder="1" applyAlignment="1">
      <alignment horizontal="center" vertical="center"/>
    </xf>
    <xf numFmtId="0" fontId="19" fillId="0" borderId="1" xfId="3" applyFont="1" applyBorder="1" applyAlignment="1">
      <alignment horizontal="justify" vertical="center" wrapText="1"/>
    </xf>
    <xf numFmtId="8" fontId="19" fillId="0" borderId="1" xfId="1" applyNumberFormat="1" applyFont="1" applyFill="1" applyBorder="1" applyAlignment="1">
      <alignment horizontal="center" vertical="center"/>
    </xf>
    <xf numFmtId="0" fontId="21" fillId="0" borderId="1" xfId="7" applyBorder="1" applyAlignment="1">
      <alignment horizontal="center" vertical="center" wrapText="1"/>
    </xf>
    <xf numFmtId="172" fontId="12" fillId="0" borderId="0" xfId="0" applyNumberFormat="1" applyFont="1" applyAlignment="1">
      <alignment horizontal="center" vertical="center"/>
    </xf>
    <xf numFmtId="173" fontId="12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3" fontId="14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6" fontId="23" fillId="0" borderId="0" xfId="0" applyNumberFormat="1" applyFont="1" applyAlignment="1">
      <alignment horizontal="center" vertical="center" wrapText="1"/>
    </xf>
    <xf numFmtId="174" fontId="23" fillId="0" borderId="0" xfId="0" applyNumberFormat="1" applyFont="1" applyAlignment="1">
      <alignment horizontal="center" vertical="center"/>
    </xf>
    <xf numFmtId="172" fontId="24" fillId="0" borderId="0" xfId="0" applyNumberFormat="1" applyFont="1" applyAlignment="1">
      <alignment horizontal="center" vertical="center"/>
    </xf>
    <xf numFmtId="173" fontId="24" fillId="0" borderId="0" xfId="0" applyNumberFormat="1" applyFont="1" applyAlignment="1">
      <alignment horizontal="center" vertical="center"/>
    </xf>
    <xf numFmtId="166" fontId="14" fillId="12" borderId="18" xfId="0" applyNumberFormat="1" applyFont="1" applyFill="1" applyBorder="1" applyAlignment="1">
      <alignment horizontal="center" vertical="center" wrapText="1"/>
    </xf>
    <xf numFmtId="174" fontId="14" fillId="12" borderId="19" xfId="0" applyNumberFormat="1" applyFont="1" applyFill="1" applyBorder="1" applyAlignment="1">
      <alignment horizontal="center" vertical="center"/>
    </xf>
    <xf numFmtId="172" fontId="14" fillId="12" borderId="19" xfId="0" applyNumberFormat="1" applyFont="1" applyFill="1" applyBorder="1" applyAlignment="1">
      <alignment horizontal="center" vertical="center"/>
    </xf>
    <xf numFmtId="173" fontId="14" fillId="12" borderId="19" xfId="0" applyNumberFormat="1" applyFont="1" applyFill="1" applyBorder="1" applyAlignment="1">
      <alignment horizontal="center" vertical="center" wrapText="1"/>
    </xf>
    <xf numFmtId="173" fontId="14" fillId="12" borderId="20" xfId="0" applyNumberFormat="1" applyFont="1" applyFill="1" applyBorder="1" applyAlignment="1">
      <alignment horizontal="center" vertical="center" wrapText="1"/>
    </xf>
    <xf numFmtId="166" fontId="25" fillId="0" borderId="21" xfId="0" applyNumberFormat="1" applyFont="1" applyBorder="1" applyAlignment="1">
      <alignment horizontal="left" vertical="center" wrapText="1"/>
    </xf>
    <xf numFmtId="174" fontId="25" fillId="0" borderId="22" xfId="0" applyNumberFormat="1" applyFont="1" applyBorder="1" applyAlignment="1">
      <alignment horizontal="center" vertical="center"/>
    </xf>
    <xf numFmtId="172" fontId="12" fillId="0" borderId="13" xfId="0" applyNumberFormat="1" applyFont="1" applyBorder="1" applyAlignment="1">
      <alignment horizontal="center" vertical="center"/>
    </xf>
    <xf numFmtId="174" fontId="12" fillId="0" borderId="22" xfId="0" applyNumberFormat="1" applyFont="1" applyBorder="1" applyAlignment="1">
      <alignment horizontal="center" vertical="center"/>
    </xf>
    <xf numFmtId="173" fontId="12" fillId="0" borderId="23" xfId="0" applyNumberFormat="1" applyFont="1" applyBorder="1" applyAlignment="1">
      <alignment horizontal="center" vertical="center"/>
    </xf>
    <xf numFmtId="173" fontId="12" fillId="0" borderId="22" xfId="0" applyNumberFormat="1" applyFont="1" applyBorder="1" applyAlignment="1">
      <alignment horizontal="center" vertical="center"/>
    </xf>
    <xf numFmtId="173" fontId="12" fillId="0" borderId="24" xfId="0" applyNumberFormat="1" applyFont="1" applyBorder="1" applyAlignment="1">
      <alignment horizontal="center" vertical="center"/>
    </xf>
    <xf numFmtId="166" fontId="25" fillId="0" borderId="25" xfId="0" applyNumberFormat="1" applyFont="1" applyBorder="1" applyAlignment="1">
      <alignment horizontal="left" vertical="center" wrapText="1"/>
    </xf>
    <xf numFmtId="174" fontId="25" fillId="0" borderId="13" xfId="0" applyNumberFormat="1" applyFont="1" applyBorder="1" applyAlignment="1">
      <alignment horizontal="center" vertical="center"/>
    </xf>
    <xf numFmtId="174" fontId="12" fillId="0" borderId="13" xfId="0" applyNumberFormat="1" applyFont="1" applyBorder="1" applyAlignment="1">
      <alignment horizontal="center" vertical="center"/>
    </xf>
    <xf numFmtId="173" fontId="12" fillId="0" borderId="26" xfId="0" applyNumberFormat="1" applyFont="1" applyBorder="1" applyAlignment="1">
      <alignment horizontal="center" vertical="center"/>
    </xf>
    <xf numFmtId="173" fontId="12" fillId="0" borderId="16" xfId="0" applyNumberFormat="1" applyFont="1" applyBorder="1" applyAlignment="1">
      <alignment horizontal="center" vertical="center"/>
    </xf>
    <xf numFmtId="173" fontId="12" fillId="0" borderId="27" xfId="0" applyNumberFormat="1" applyFont="1" applyBorder="1" applyAlignment="1">
      <alignment horizontal="center" vertical="center"/>
    </xf>
    <xf numFmtId="175" fontId="12" fillId="0" borderId="27" xfId="0" applyNumberFormat="1" applyFont="1" applyBorder="1" applyAlignment="1">
      <alignment horizontal="center" vertical="center"/>
    </xf>
    <xf numFmtId="166" fontId="25" fillId="0" borderId="28" xfId="0" applyNumberFormat="1" applyFont="1" applyBorder="1" applyAlignment="1">
      <alignment horizontal="left" vertical="center" wrapText="1"/>
    </xf>
    <xf numFmtId="174" fontId="25" fillId="0" borderId="29" xfId="0" applyNumberFormat="1" applyFont="1" applyBorder="1" applyAlignment="1">
      <alignment horizontal="center" vertical="center"/>
    </xf>
    <xf numFmtId="172" fontId="12" fillId="0" borderId="29" xfId="0" applyNumberFormat="1" applyFont="1" applyBorder="1" applyAlignment="1">
      <alignment horizontal="center" vertical="center"/>
    </xf>
    <xf numFmtId="174" fontId="12" fillId="0" borderId="29" xfId="0" applyNumberFormat="1" applyFont="1" applyBorder="1" applyAlignment="1">
      <alignment horizontal="center" vertical="center"/>
    </xf>
    <xf numFmtId="173" fontId="12" fillId="0" borderId="30" xfId="0" applyNumberFormat="1" applyFont="1" applyBorder="1" applyAlignment="1">
      <alignment horizontal="center" vertical="center"/>
    </xf>
    <xf numFmtId="173" fontId="12" fillId="0" borderId="31" xfId="0" applyNumberFormat="1" applyFont="1" applyBorder="1" applyAlignment="1">
      <alignment horizontal="center" vertical="center"/>
    </xf>
    <xf numFmtId="173" fontId="12" fillId="0" borderId="32" xfId="0" applyNumberFormat="1" applyFont="1" applyBorder="1" applyAlignment="1">
      <alignment horizontal="center" vertical="center"/>
    </xf>
    <xf numFmtId="166" fontId="14" fillId="0" borderId="33" xfId="0" applyNumberFormat="1" applyFont="1" applyBorder="1" applyAlignment="1">
      <alignment horizontal="left" vertical="center"/>
    </xf>
    <xf numFmtId="174" fontId="12" fillId="0" borderId="34" xfId="0" applyNumberFormat="1" applyFont="1" applyBorder="1" applyAlignment="1">
      <alignment horizontal="center" vertical="center"/>
    </xf>
    <xf numFmtId="172" fontId="12" fillId="0" borderId="34" xfId="0" applyNumberFormat="1" applyFont="1" applyBorder="1" applyAlignment="1">
      <alignment horizontal="center" vertical="center"/>
    </xf>
    <xf numFmtId="173" fontId="12" fillId="0" borderId="34" xfId="0" applyNumberFormat="1" applyFont="1" applyBorder="1" applyAlignment="1">
      <alignment horizontal="center" vertical="center"/>
    </xf>
    <xf numFmtId="173" fontId="14" fillId="0" borderId="35" xfId="0" applyNumberFormat="1" applyFont="1" applyBorder="1" applyAlignment="1">
      <alignment horizontal="center" vertical="center"/>
    </xf>
    <xf numFmtId="173" fontId="14" fillId="0" borderId="36" xfId="0" applyNumberFormat="1" applyFont="1" applyBorder="1" applyAlignment="1">
      <alignment horizontal="center" vertical="center"/>
    </xf>
    <xf numFmtId="167" fontId="14" fillId="12" borderId="37" xfId="0" applyNumberFormat="1" applyFont="1" applyFill="1" applyBorder="1" applyAlignment="1">
      <alignment horizontal="left" vertical="center"/>
    </xf>
    <xf numFmtId="44" fontId="14" fillId="12" borderId="38" xfId="0" applyNumberFormat="1" applyFont="1" applyFill="1" applyBorder="1" applyAlignment="1">
      <alignment vertical="center"/>
    </xf>
    <xf numFmtId="173" fontId="14" fillId="0" borderId="0" xfId="0" applyNumberFormat="1" applyFont="1" applyAlignment="1">
      <alignment vertical="center"/>
    </xf>
    <xf numFmtId="166" fontId="26" fillId="0" borderId="0" xfId="0" applyNumberFormat="1" applyFont="1"/>
    <xf numFmtId="174" fontId="26" fillId="0" borderId="0" xfId="0" applyNumberFormat="1" applyFont="1"/>
    <xf numFmtId="166" fontId="12" fillId="0" borderId="1" xfId="0" applyNumberFormat="1" applyFont="1" applyBorder="1" applyAlignment="1">
      <alignment horizontal="left" vertical="center"/>
    </xf>
    <xf numFmtId="174" fontId="12" fillId="0" borderId="1" xfId="0" applyNumberFormat="1" applyFont="1" applyBorder="1" applyAlignment="1">
      <alignment horizontal="center" vertical="center"/>
    </xf>
    <xf numFmtId="172" fontId="12" fillId="0" borderId="1" xfId="0" applyNumberFormat="1" applyFont="1" applyBorder="1" applyAlignment="1">
      <alignment horizontal="center" vertical="center"/>
    </xf>
    <xf numFmtId="173" fontId="12" fillId="0" borderId="1" xfId="0" applyNumberFormat="1" applyFont="1" applyBorder="1" applyAlignment="1">
      <alignment horizontal="center" vertical="center" wrapText="1"/>
    </xf>
    <xf numFmtId="173" fontId="12" fillId="0" borderId="1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left" vertical="center" wrapText="1"/>
    </xf>
    <xf numFmtId="166" fontId="14" fillId="0" borderId="37" xfId="0" applyNumberFormat="1" applyFont="1" applyBorder="1" applyAlignment="1">
      <alignment horizontal="left" vertical="center"/>
    </xf>
    <xf numFmtId="174" fontId="12" fillId="0" borderId="39" xfId="0" applyNumberFormat="1" applyFont="1" applyBorder="1" applyAlignment="1">
      <alignment horizontal="center" vertical="center"/>
    </xf>
    <xf numFmtId="172" fontId="12" fillId="0" borderId="39" xfId="0" applyNumberFormat="1" applyFont="1" applyBorder="1" applyAlignment="1">
      <alignment horizontal="center" vertical="center"/>
    </xf>
    <xf numFmtId="173" fontId="12" fillId="0" borderId="39" xfId="0" applyNumberFormat="1" applyFont="1" applyBorder="1" applyAlignment="1">
      <alignment horizontal="center" vertical="center"/>
    </xf>
    <xf numFmtId="173" fontId="14" fillId="0" borderId="40" xfId="0" applyNumberFormat="1" applyFont="1" applyBorder="1" applyAlignment="1">
      <alignment horizontal="center" vertical="center"/>
    </xf>
    <xf numFmtId="173" fontId="14" fillId="0" borderId="41" xfId="0" applyNumberFormat="1" applyFont="1" applyBorder="1" applyAlignment="1">
      <alignment horizontal="center" vertical="center"/>
    </xf>
    <xf numFmtId="173" fontId="14" fillId="0" borderId="42" xfId="0" applyNumberFormat="1" applyFont="1" applyBorder="1" applyAlignment="1">
      <alignment horizontal="center" vertical="center"/>
    </xf>
    <xf numFmtId="166" fontId="14" fillId="0" borderId="0" xfId="0" applyNumberFormat="1" applyFont="1" applyAlignment="1">
      <alignment vertical="center" wrapText="1"/>
    </xf>
    <xf numFmtId="166" fontId="23" fillId="0" borderId="0" xfId="0" applyNumberFormat="1" applyFont="1" applyAlignment="1">
      <alignment vertical="top"/>
    </xf>
    <xf numFmtId="174" fontId="24" fillId="0" borderId="0" xfId="0" applyNumberFormat="1" applyFont="1" applyAlignment="1">
      <alignment vertical="top"/>
    </xf>
    <xf numFmtId="169" fontId="24" fillId="0" borderId="0" xfId="0" applyNumberFormat="1" applyFont="1" applyAlignment="1">
      <alignment vertical="top"/>
    </xf>
    <xf numFmtId="4" fontId="24" fillId="0" borderId="0" xfId="0" applyNumberFormat="1" applyFont="1" applyAlignment="1">
      <alignment vertical="top"/>
    </xf>
    <xf numFmtId="166" fontId="24" fillId="0" borderId="0" xfId="0" applyNumberFormat="1" applyFont="1"/>
    <xf numFmtId="4" fontId="23" fillId="0" borderId="0" xfId="0" applyNumberFormat="1" applyFont="1" applyAlignment="1">
      <alignment vertical="top"/>
    </xf>
    <xf numFmtId="166" fontId="12" fillId="0" borderId="25" xfId="0" applyNumberFormat="1" applyFont="1" applyBorder="1" applyAlignment="1">
      <alignment horizontal="left" vertical="center" wrapText="1"/>
    </xf>
    <xf numFmtId="172" fontId="12" fillId="0" borderId="22" xfId="0" applyNumberFormat="1" applyFont="1" applyBorder="1" applyAlignment="1">
      <alignment horizontal="center" vertical="center"/>
    </xf>
    <xf numFmtId="174" fontId="12" fillId="0" borderId="23" xfId="0" applyNumberFormat="1" applyFont="1" applyBorder="1" applyAlignment="1">
      <alignment horizontal="center" vertical="center"/>
    </xf>
    <xf numFmtId="173" fontId="12" fillId="0" borderId="13" xfId="0" applyNumberFormat="1" applyFont="1" applyBorder="1" applyAlignment="1">
      <alignment horizontal="center" vertical="center"/>
    </xf>
    <xf numFmtId="174" fontId="12" fillId="0" borderId="26" xfId="0" applyNumberFormat="1" applyFont="1" applyBorder="1" applyAlignment="1">
      <alignment horizontal="center" vertical="center"/>
    </xf>
    <xf numFmtId="166" fontId="12" fillId="0" borderId="43" xfId="0" applyNumberFormat="1" applyFont="1" applyBorder="1" applyAlignment="1">
      <alignment horizontal="left" vertical="center" wrapText="1"/>
    </xf>
    <xf numFmtId="174" fontId="12" fillId="0" borderId="16" xfId="0" applyNumberFormat="1" applyFont="1" applyBorder="1" applyAlignment="1">
      <alignment horizontal="center" vertical="center"/>
    </xf>
    <xf numFmtId="172" fontId="12" fillId="0" borderId="16" xfId="0" applyNumberFormat="1" applyFont="1" applyBorder="1" applyAlignment="1">
      <alignment horizontal="center" vertical="center"/>
    </xf>
    <xf numFmtId="173" fontId="12" fillId="10" borderId="13" xfId="0" applyNumberFormat="1" applyFont="1" applyFill="1" applyBorder="1" applyAlignment="1">
      <alignment horizontal="center" vertical="center"/>
    </xf>
    <xf numFmtId="166" fontId="14" fillId="0" borderId="44" xfId="0" applyNumberFormat="1" applyFont="1" applyBorder="1" applyAlignment="1">
      <alignment horizontal="left" vertical="center"/>
    </xf>
    <xf numFmtId="174" fontId="12" fillId="0" borderId="45" xfId="0" applyNumberFormat="1" applyFont="1" applyBorder="1" applyAlignment="1">
      <alignment horizontal="center" vertical="center"/>
    </xf>
    <xf numFmtId="172" fontId="12" fillId="0" borderId="45" xfId="0" applyNumberFormat="1" applyFont="1" applyBorder="1" applyAlignment="1">
      <alignment horizontal="center" vertical="center"/>
    </xf>
    <xf numFmtId="173" fontId="12" fillId="0" borderId="45" xfId="0" applyNumberFormat="1" applyFont="1" applyBorder="1" applyAlignment="1">
      <alignment horizontal="center" vertical="center"/>
    </xf>
    <xf numFmtId="174" fontId="14" fillId="0" borderId="46" xfId="0" applyNumberFormat="1" applyFont="1" applyBorder="1" applyAlignment="1">
      <alignment horizontal="center" vertical="center"/>
    </xf>
    <xf numFmtId="173" fontId="14" fillId="0" borderId="47" xfId="0" applyNumberFormat="1" applyFont="1" applyBorder="1" applyAlignment="1">
      <alignment horizontal="center" vertical="center"/>
    </xf>
    <xf numFmtId="173" fontId="14" fillId="0" borderId="48" xfId="0" applyNumberFormat="1" applyFont="1" applyBorder="1" applyAlignment="1">
      <alignment horizontal="center" vertical="center"/>
    </xf>
    <xf numFmtId="166" fontId="24" fillId="0" borderId="0" xfId="0" applyNumberFormat="1" applyFont="1" applyAlignment="1">
      <alignment horizontal="center" vertical="center"/>
    </xf>
    <xf numFmtId="176" fontId="27" fillId="0" borderId="1" xfId="8" applyNumberFormat="1" applyFont="1" applyBorder="1" applyAlignment="1">
      <alignment horizontal="justify" vertical="center"/>
    </xf>
    <xf numFmtId="0" fontId="27" fillId="0" borderId="1" xfId="8" applyFont="1" applyBorder="1" applyAlignment="1">
      <alignment horizontal="center" vertical="center"/>
    </xf>
    <xf numFmtId="172" fontId="27" fillId="0" borderId="1" xfId="9" applyNumberFormat="1" applyFont="1" applyFill="1" applyBorder="1" applyAlignment="1" applyProtection="1">
      <alignment horizontal="center" vertical="center"/>
    </xf>
    <xf numFmtId="179" fontId="27" fillId="0" borderId="1" xfId="10" applyNumberFormat="1" applyFont="1" applyFill="1" applyBorder="1" applyAlignment="1" applyProtection="1">
      <alignment horizontal="right"/>
    </xf>
    <xf numFmtId="166" fontId="14" fillId="0" borderId="0" xfId="0" applyNumberFormat="1" applyFont="1" applyAlignment="1">
      <alignment vertical="center"/>
    </xf>
    <xf numFmtId="166" fontId="23" fillId="0" borderId="0" xfId="0" applyNumberFormat="1" applyFont="1" applyAlignment="1">
      <alignment vertical="top" wrapText="1"/>
    </xf>
    <xf numFmtId="166" fontId="14" fillId="12" borderId="49" xfId="0" applyNumberFormat="1" applyFont="1" applyFill="1" applyBorder="1" applyAlignment="1">
      <alignment horizontal="center" vertical="center" wrapText="1"/>
    </xf>
    <xf numFmtId="174" fontId="14" fillId="12" borderId="50" xfId="0" applyNumberFormat="1" applyFont="1" applyFill="1" applyBorder="1" applyAlignment="1">
      <alignment horizontal="center" vertical="center"/>
    </xf>
    <xf numFmtId="172" fontId="14" fillId="12" borderId="50" xfId="0" applyNumberFormat="1" applyFont="1" applyFill="1" applyBorder="1" applyAlignment="1">
      <alignment horizontal="center" vertical="center"/>
    </xf>
    <xf numFmtId="173" fontId="14" fillId="12" borderId="50" xfId="0" applyNumberFormat="1" applyFont="1" applyFill="1" applyBorder="1" applyAlignment="1">
      <alignment horizontal="center" vertical="center" wrapText="1"/>
    </xf>
    <xf numFmtId="173" fontId="14" fillId="12" borderId="51" xfId="0" applyNumberFormat="1" applyFont="1" applyFill="1" applyBorder="1" applyAlignment="1">
      <alignment horizontal="center" vertical="center" wrapText="1"/>
    </xf>
    <xf numFmtId="166" fontId="15" fillId="0" borderId="52" xfId="0" applyNumberFormat="1" applyFont="1" applyBorder="1" applyAlignment="1">
      <alignment horizontal="left" vertical="center" wrapText="1"/>
    </xf>
    <xf numFmtId="174" fontId="25" fillId="0" borderId="53" xfId="0" applyNumberFormat="1" applyFont="1" applyBorder="1" applyAlignment="1">
      <alignment horizontal="center" vertical="center"/>
    </xf>
    <xf numFmtId="172" fontId="12" fillId="0" borderId="53" xfId="0" applyNumberFormat="1" applyFont="1" applyBorder="1" applyAlignment="1">
      <alignment horizontal="center" vertical="center"/>
    </xf>
    <xf numFmtId="173" fontId="12" fillId="0" borderId="53" xfId="0" applyNumberFormat="1" applyFont="1" applyBorder="1" applyAlignment="1">
      <alignment horizontal="center" vertical="center"/>
    </xf>
    <xf numFmtId="173" fontId="12" fillId="0" borderId="54" xfId="0" applyNumberFormat="1" applyFont="1" applyBorder="1" applyAlignment="1">
      <alignment horizontal="center" vertical="center"/>
    </xf>
    <xf numFmtId="166" fontId="15" fillId="0" borderId="17" xfId="0" applyNumberFormat="1" applyFont="1" applyBorder="1" applyAlignment="1">
      <alignment horizontal="left" vertical="center" wrapText="1"/>
    </xf>
    <xf numFmtId="174" fontId="25" fillId="0" borderId="1" xfId="0" applyNumberFormat="1" applyFont="1" applyBorder="1" applyAlignment="1">
      <alignment horizontal="center" vertical="center"/>
    </xf>
    <xf numFmtId="173" fontId="12" fillId="0" borderId="55" xfId="0" applyNumberFormat="1" applyFont="1" applyBorder="1" applyAlignment="1">
      <alignment horizontal="center" vertical="center"/>
    </xf>
    <xf numFmtId="166" fontId="15" fillId="0" borderId="56" xfId="0" applyNumberFormat="1" applyFont="1" applyBorder="1" applyAlignment="1">
      <alignment horizontal="left" vertical="center" wrapText="1"/>
    </xf>
    <xf numFmtId="174" fontId="25" fillId="0" borderId="16" xfId="0" applyNumberFormat="1" applyFont="1" applyBorder="1" applyAlignment="1">
      <alignment horizontal="center" vertical="center"/>
    </xf>
    <xf numFmtId="173" fontId="12" fillId="0" borderId="57" xfId="0" applyNumberFormat="1" applyFont="1" applyBorder="1" applyAlignment="1">
      <alignment horizontal="center" vertical="center"/>
    </xf>
    <xf numFmtId="166" fontId="15" fillId="0" borderId="58" xfId="0" applyNumberFormat="1" applyFont="1" applyBorder="1" applyAlignment="1">
      <alignment horizontal="left" vertical="center" wrapText="1"/>
    </xf>
    <xf numFmtId="174" fontId="25" fillId="0" borderId="59" xfId="0" applyNumberFormat="1" applyFont="1" applyBorder="1" applyAlignment="1">
      <alignment horizontal="center" vertical="center"/>
    </xf>
    <xf numFmtId="172" fontId="12" fillId="0" borderId="59" xfId="0" applyNumberFormat="1" applyFont="1" applyBorder="1" applyAlignment="1">
      <alignment horizontal="center" vertical="center"/>
    </xf>
    <xf numFmtId="173" fontId="12" fillId="0" borderId="59" xfId="0" applyNumberFormat="1" applyFont="1" applyBorder="1" applyAlignment="1">
      <alignment horizontal="center" vertical="center"/>
    </xf>
    <xf numFmtId="173" fontId="12" fillId="0" borderId="60" xfId="0" applyNumberFormat="1" applyFont="1" applyBorder="1" applyAlignment="1">
      <alignment horizontal="center" vertical="center"/>
    </xf>
    <xf numFmtId="173" fontId="12" fillId="0" borderId="61" xfId="0" applyNumberFormat="1" applyFont="1" applyBorder="1" applyAlignment="1">
      <alignment horizontal="center" vertical="center"/>
    </xf>
    <xf numFmtId="173" fontId="12" fillId="0" borderId="62" xfId="0" applyNumberFormat="1" applyFont="1" applyBorder="1" applyAlignment="1">
      <alignment horizontal="center" vertical="center"/>
    </xf>
    <xf numFmtId="174" fontId="14" fillId="12" borderId="38" xfId="0" applyNumberFormat="1" applyFont="1" applyFill="1" applyBorder="1" applyAlignment="1">
      <alignment vertical="center"/>
    </xf>
    <xf numFmtId="169" fontId="23" fillId="0" borderId="0" xfId="0" applyNumberFormat="1" applyFont="1" applyAlignment="1">
      <alignment vertical="top"/>
    </xf>
    <xf numFmtId="44" fontId="23" fillId="0" borderId="0" xfId="11" applyFont="1" applyFill="1" applyBorder="1" applyAlignment="1">
      <alignment vertical="top"/>
    </xf>
    <xf numFmtId="173" fontId="14" fillId="0" borderId="0" xfId="0" applyNumberFormat="1" applyFont="1" applyAlignment="1">
      <alignment horizontal="center" vertical="center"/>
    </xf>
    <xf numFmtId="166" fontId="14" fillId="13" borderId="46" xfId="0" applyNumberFormat="1" applyFont="1" applyFill="1" applyBorder="1" applyAlignment="1">
      <alignment horizontal="center" vertical="center" wrapText="1"/>
    </xf>
    <xf numFmtId="174" fontId="14" fillId="13" borderId="47" xfId="0" applyNumberFormat="1" applyFont="1" applyFill="1" applyBorder="1" applyAlignment="1">
      <alignment horizontal="center" vertical="center"/>
    </xf>
    <xf numFmtId="172" fontId="14" fillId="13" borderId="47" xfId="0" applyNumberFormat="1" applyFont="1" applyFill="1" applyBorder="1" applyAlignment="1">
      <alignment horizontal="center" vertical="center"/>
    </xf>
    <xf numFmtId="173" fontId="14" fillId="13" borderId="47" xfId="0" applyNumberFormat="1" applyFont="1" applyFill="1" applyBorder="1" applyAlignment="1">
      <alignment horizontal="center" vertical="center" wrapText="1"/>
    </xf>
    <xf numFmtId="173" fontId="14" fillId="13" borderId="48" xfId="0" applyNumberFormat="1" applyFont="1" applyFill="1" applyBorder="1" applyAlignment="1">
      <alignment horizontal="center" vertical="center" wrapText="1"/>
    </xf>
    <xf numFmtId="173" fontId="14" fillId="0" borderId="46" xfId="0" applyNumberFormat="1" applyFont="1" applyBorder="1" applyAlignment="1">
      <alignment horizontal="center" vertical="center"/>
    </xf>
    <xf numFmtId="167" fontId="14" fillId="13" borderId="37" xfId="0" applyNumberFormat="1" applyFont="1" applyFill="1" applyBorder="1" applyAlignment="1">
      <alignment horizontal="left" vertical="center"/>
    </xf>
    <xf numFmtId="44" fontId="14" fillId="13" borderId="38" xfId="0" applyNumberFormat="1" applyFont="1" applyFill="1" applyBorder="1" applyAlignment="1">
      <alignment vertical="center"/>
    </xf>
    <xf numFmtId="166" fontId="28" fillId="0" borderId="0" xfId="0" applyNumberFormat="1" applyFont="1" applyAlignment="1">
      <alignment horizontal="center" vertical="center"/>
    </xf>
    <xf numFmtId="174" fontId="29" fillId="0" borderId="0" xfId="0" applyNumberFormat="1" applyFont="1" applyAlignment="1">
      <alignment vertical="top"/>
    </xf>
    <xf numFmtId="169" fontId="29" fillId="0" borderId="0" xfId="0" applyNumberFormat="1" applyFont="1" applyAlignment="1">
      <alignment vertical="top"/>
    </xf>
    <xf numFmtId="4" fontId="29" fillId="0" borderId="0" xfId="0" applyNumberFormat="1" applyFont="1" applyAlignment="1">
      <alignment vertical="top"/>
    </xf>
    <xf numFmtId="166" fontId="28" fillId="0" borderId="0" xfId="0" applyNumberFormat="1" applyFont="1" applyAlignment="1">
      <alignment vertical="top"/>
    </xf>
    <xf numFmtId="173" fontId="28" fillId="0" borderId="0" xfId="0" applyNumberFormat="1" applyFont="1" applyAlignment="1">
      <alignment horizontal="center" vertical="center"/>
    </xf>
    <xf numFmtId="166" fontId="14" fillId="13" borderId="18" xfId="0" applyNumberFormat="1" applyFont="1" applyFill="1" applyBorder="1" applyAlignment="1">
      <alignment horizontal="center" vertical="center" wrapText="1"/>
    </xf>
    <xf numFmtId="174" fontId="14" fillId="13" borderId="19" xfId="0" applyNumberFormat="1" applyFont="1" applyFill="1" applyBorder="1" applyAlignment="1">
      <alignment horizontal="center" vertical="center"/>
    </xf>
    <xf numFmtId="172" fontId="14" fillId="13" borderId="19" xfId="0" applyNumberFormat="1" applyFont="1" applyFill="1" applyBorder="1" applyAlignment="1">
      <alignment horizontal="center" vertical="center"/>
    </xf>
    <xf numFmtId="173" fontId="14" fillId="13" borderId="19" xfId="0" applyNumberFormat="1" applyFont="1" applyFill="1" applyBorder="1" applyAlignment="1">
      <alignment horizontal="center" vertical="center" wrapText="1"/>
    </xf>
    <xf numFmtId="173" fontId="14" fillId="13" borderId="20" xfId="0" applyNumberFormat="1" applyFont="1" applyFill="1" applyBorder="1" applyAlignment="1">
      <alignment horizontal="center" vertical="center" wrapText="1"/>
    </xf>
    <xf numFmtId="166" fontId="12" fillId="0" borderId="63" xfId="0" applyNumberFormat="1" applyFont="1" applyBorder="1" applyAlignment="1">
      <alignment horizontal="left" vertical="center" wrapText="1"/>
    </xf>
    <xf numFmtId="174" fontId="12" fillId="0" borderId="64" xfId="0" applyNumberFormat="1" applyFont="1" applyBorder="1" applyAlignment="1">
      <alignment horizontal="center" vertical="center"/>
    </xf>
    <xf numFmtId="172" fontId="12" fillId="0" borderId="64" xfId="0" applyNumberFormat="1" applyFont="1" applyBorder="1" applyAlignment="1">
      <alignment horizontal="center" vertical="center"/>
    </xf>
    <xf numFmtId="173" fontId="12" fillId="0" borderId="64" xfId="0" applyNumberFormat="1" applyFont="1" applyBorder="1" applyAlignment="1">
      <alignment horizontal="center" vertical="center"/>
    </xf>
    <xf numFmtId="0" fontId="0" fillId="0" borderId="65" xfId="0" applyBorder="1"/>
    <xf numFmtId="173" fontId="12" fillId="0" borderId="66" xfId="0" applyNumberFormat="1" applyFont="1" applyBorder="1" applyAlignment="1">
      <alignment horizontal="center" vertical="center"/>
    </xf>
    <xf numFmtId="166" fontId="12" fillId="0" borderId="67" xfId="0" applyNumberFormat="1" applyFont="1" applyBorder="1" applyAlignment="1">
      <alignment horizontal="left" vertical="center" wrapText="1"/>
    </xf>
    <xf numFmtId="173" fontId="12" fillId="0" borderId="68" xfId="0" applyNumberFormat="1" applyFont="1" applyBorder="1" applyAlignment="1">
      <alignment horizontal="center" vertical="center"/>
    </xf>
    <xf numFmtId="0" fontId="0" fillId="0" borderId="55" xfId="0" applyBorder="1"/>
    <xf numFmtId="173" fontId="12" fillId="0" borderId="69" xfId="0" applyNumberFormat="1" applyFont="1" applyBorder="1" applyAlignment="1">
      <alignment horizontal="center" vertical="center"/>
    </xf>
    <xf numFmtId="0" fontId="0" fillId="0" borderId="70" xfId="0" applyBorder="1"/>
    <xf numFmtId="166" fontId="26" fillId="0" borderId="67" xfId="0" applyNumberFormat="1" applyFont="1" applyBorder="1" applyAlignment="1">
      <alignment horizontal="left" vertical="center" wrapText="1"/>
    </xf>
    <xf numFmtId="174" fontId="26" fillId="0" borderId="13" xfId="0" applyNumberFormat="1" applyFont="1" applyBorder="1" applyAlignment="1">
      <alignment horizontal="center" vertical="center"/>
    </xf>
    <xf numFmtId="172" fontId="26" fillId="0" borderId="13" xfId="0" applyNumberFormat="1" applyFont="1" applyBorder="1" applyAlignment="1">
      <alignment horizontal="center" vertical="center"/>
    </xf>
    <xf numFmtId="166" fontId="14" fillId="0" borderId="71" xfId="0" applyNumberFormat="1" applyFont="1" applyBorder="1" applyAlignment="1">
      <alignment horizontal="left" vertical="center"/>
    </xf>
    <xf numFmtId="174" fontId="12" fillId="0" borderId="72" xfId="0" applyNumberFormat="1" applyFont="1" applyBorder="1" applyAlignment="1">
      <alignment horizontal="center" vertical="center"/>
    </xf>
    <xf numFmtId="172" fontId="12" fillId="0" borderId="72" xfId="0" applyNumberFormat="1" applyFont="1" applyBorder="1" applyAlignment="1">
      <alignment horizontal="center" vertical="center"/>
    </xf>
    <xf numFmtId="173" fontId="12" fillId="0" borderId="72" xfId="0" applyNumberFormat="1" applyFont="1" applyBorder="1" applyAlignment="1">
      <alignment horizontal="center" vertical="center"/>
    </xf>
    <xf numFmtId="173" fontId="14" fillId="0" borderId="73" xfId="0" applyNumberFormat="1" applyFont="1" applyBorder="1" applyAlignment="1">
      <alignment horizontal="center" vertical="center"/>
    </xf>
    <xf numFmtId="173" fontId="14" fillId="0" borderId="74" xfId="0" applyNumberFormat="1" applyFont="1" applyBorder="1" applyAlignment="1">
      <alignment horizontal="center" vertical="center"/>
    </xf>
    <xf numFmtId="173" fontId="14" fillId="0" borderId="75" xfId="0" applyNumberFormat="1" applyFont="1" applyBorder="1" applyAlignment="1">
      <alignment horizontal="center" vertical="center"/>
    </xf>
    <xf numFmtId="174" fontId="14" fillId="13" borderId="38" xfId="0" applyNumberFormat="1" applyFont="1" applyFill="1" applyBorder="1" applyAlignment="1">
      <alignment vertical="center"/>
    </xf>
    <xf numFmtId="174" fontId="12" fillId="0" borderId="0" xfId="0" applyNumberFormat="1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74" fontId="23" fillId="0" borderId="0" xfId="0" applyNumberFormat="1" applyFont="1" applyAlignment="1">
      <alignment vertical="top"/>
    </xf>
    <xf numFmtId="166" fontId="24" fillId="0" borderId="0" xfId="0" applyNumberFormat="1" applyFont="1" applyAlignment="1">
      <alignment vertical="top"/>
    </xf>
    <xf numFmtId="166" fontId="12" fillId="0" borderId="21" xfId="0" applyNumberFormat="1" applyFont="1" applyBorder="1" applyAlignment="1">
      <alignment horizontal="left" vertical="center" wrapText="1"/>
    </xf>
    <xf numFmtId="166" fontId="14" fillId="0" borderId="0" xfId="0" applyNumberFormat="1" applyFont="1" applyAlignment="1">
      <alignment horizontal="left" vertical="center"/>
    </xf>
    <xf numFmtId="166" fontId="14" fillId="0" borderId="1" xfId="0" applyNumberFormat="1" applyFont="1" applyBorder="1" applyAlignment="1">
      <alignment horizontal="left" vertical="center"/>
    </xf>
    <xf numFmtId="166" fontId="29" fillId="0" borderId="0" xfId="0" applyNumberFormat="1" applyFont="1" applyAlignment="1">
      <alignment horizontal="center" vertical="center" wrapText="1"/>
    </xf>
    <xf numFmtId="174" fontId="29" fillId="0" borderId="0" xfId="0" applyNumberFormat="1" applyFont="1" applyAlignment="1">
      <alignment horizontal="center" vertical="center"/>
    </xf>
    <xf numFmtId="172" fontId="28" fillId="0" borderId="0" xfId="0" applyNumberFormat="1" applyFont="1" applyAlignment="1">
      <alignment horizontal="center" vertical="center"/>
    </xf>
    <xf numFmtId="166" fontId="14" fillId="12" borderId="46" xfId="0" applyNumberFormat="1" applyFont="1" applyFill="1" applyBorder="1" applyAlignment="1">
      <alignment horizontal="center" vertical="center" wrapText="1"/>
    </xf>
    <xf numFmtId="174" fontId="14" fillId="12" borderId="47" xfId="0" applyNumberFormat="1" applyFont="1" applyFill="1" applyBorder="1" applyAlignment="1">
      <alignment horizontal="center" vertical="center"/>
    </xf>
    <xf numFmtId="172" fontId="14" fillId="12" borderId="47" xfId="0" applyNumberFormat="1" applyFont="1" applyFill="1" applyBorder="1" applyAlignment="1">
      <alignment horizontal="center" vertical="center"/>
    </xf>
    <xf numFmtId="173" fontId="14" fillId="12" borderId="47" xfId="0" applyNumberFormat="1" applyFont="1" applyFill="1" applyBorder="1" applyAlignment="1">
      <alignment horizontal="center" vertical="center" wrapText="1"/>
    </xf>
    <xf numFmtId="173" fontId="14" fillId="12" borderId="48" xfId="0" applyNumberFormat="1" applyFont="1" applyFill="1" applyBorder="1" applyAlignment="1">
      <alignment horizontal="center" vertical="center" wrapText="1"/>
    </xf>
    <xf numFmtId="166" fontId="15" fillId="0" borderId="25" xfId="0" applyNumberFormat="1" applyFont="1" applyBorder="1" applyAlignment="1">
      <alignment horizontal="left" vertical="center" wrapText="1"/>
    </xf>
    <xf numFmtId="173" fontId="31" fillId="0" borderId="13" xfId="0" applyNumberFormat="1" applyFont="1" applyBorder="1" applyAlignment="1">
      <alignment horizontal="center" vertical="center"/>
    </xf>
    <xf numFmtId="44" fontId="32" fillId="12" borderId="38" xfId="0" applyNumberFormat="1" applyFont="1" applyFill="1" applyBorder="1" applyAlignment="1">
      <alignment vertical="center"/>
    </xf>
    <xf numFmtId="173" fontId="12" fillId="7" borderId="13" xfId="0" applyNumberFormat="1" applyFont="1" applyFill="1" applyBorder="1" applyAlignment="1">
      <alignment horizontal="center" vertical="center"/>
    </xf>
    <xf numFmtId="174" fontId="15" fillId="0" borderId="13" xfId="0" applyNumberFormat="1" applyFont="1" applyBorder="1" applyAlignment="1">
      <alignment horizontal="center" vertical="center"/>
    </xf>
    <xf numFmtId="172" fontId="15" fillId="0" borderId="13" xfId="0" applyNumberFormat="1" applyFont="1" applyBorder="1" applyAlignment="1">
      <alignment horizontal="center" vertical="center"/>
    </xf>
    <xf numFmtId="173" fontId="15" fillId="0" borderId="13" xfId="0" applyNumberFormat="1" applyFont="1" applyBorder="1" applyAlignment="1">
      <alignment horizontal="center" vertical="center"/>
    </xf>
    <xf numFmtId="166" fontId="12" fillId="7" borderId="25" xfId="0" applyNumberFormat="1" applyFont="1" applyFill="1" applyBorder="1" applyAlignment="1">
      <alignment horizontal="left" vertical="center" wrapText="1"/>
    </xf>
    <xf numFmtId="173" fontId="12" fillId="14" borderId="13" xfId="0" applyNumberFormat="1" applyFont="1" applyFill="1" applyBorder="1" applyAlignment="1">
      <alignment horizontal="center" vertical="center"/>
    </xf>
    <xf numFmtId="173" fontId="32" fillId="12" borderId="38" xfId="0" applyNumberFormat="1" applyFont="1" applyFill="1" applyBorder="1" applyAlignment="1">
      <alignment vertical="center"/>
    </xf>
    <xf numFmtId="174" fontId="32" fillId="12" borderId="38" xfId="0" applyNumberFormat="1" applyFont="1" applyFill="1" applyBorder="1" applyAlignment="1">
      <alignment vertical="center"/>
    </xf>
    <xf numFmtId="173" fontId="29" fillId="0" borderId="0" xfId="0" applyNumberFormat="1" applyFont="1" applyAlignment="1">
      <alignment horizontal="center" vertical="center"/>
    </xf>
    <xf numFmtId="173" fontId="14" fillId="12" borderId="47" xfId="0" applyNumberFormat="1" applyFont="1" applyFill="1" applyBorder="1" applyAlignment="1">
      <alignment horizontal="center" vertical="center"/>
    </xf>
    <xf numFmtId="173" fontId="25" fillId="0" borderId="13" xfId="0" applyNumberFormat="1" applyFont="1" applyBorder="1" applyAlignment="1">
      <alignment horizontal="center" vertical="center"/>
    </xf>
    <xf numFmtId="173" fontId="15" fillId="0" borderId="26" xfId="0" applyNumberFormat="1" applyFont="1" applyBorder="1" applyAlignment="1">
      <alignment horizontal="center" vertical="center"/>
    </xf>
    <xf numFmtId="173" fontId="15" fillId="0" borderId="16" xfId="0" applyNumberFormat="1" applyFont="1" applyBorder="1" applyAlignment="1">
      <alignment horizontal="center" vertical="center"/>
    </xf>
    <xf numFmtId="0" fontId="14" fillId="12" borderId="46" xfId="0" applyFont="1" applyFill="1" applyBorder="1" applyAlignment="1">
      <alignment horizontal="center" vertical="center" wrapText="1"/>
    </xf>
    <xf numFmtId="173" fontId="12" fillId="0" borderId="10" xfId="0" applyNumberFormat="1" applyFont="1" applyBorder="1" applyAlignment="1">
      <alignment horizontal="center" vertical="center"/>
    </xf>
    <xf numFmtId="166" fontId="33" fillId="0" borderId="1" xfId="0" applyNumberFormat="1" applyFont="1" applyBorder="1"/>
    <xf numFmtId="0" fontId="12" fillId="0" borderId="25" xfId="0" applyFont="1" applyBorder="1" applyAlignment="1">
      <alignment horizontal="left" vertical="center" wrapText="1"/>
    </xf>
    <xf numFmtId="2" fontId="12" fillId="0" borderId="13" xfId="0" applyNumberFormat="1" applyFont="1" applyBorder="1" applyAlignment="1">
      <alignment horizontal="center" vertical="center"/>
    </xf>
    <xf numFmtId="0" fontId="14" fillId="0" borderId="44" xfId="0" applyFont="1" applyBorder="1" applyAlignment="1">
      <alignment horizontal="left" vertical="center"/>
    </xf>
    <xf numFmtId="166" fontId="24" fillId="0" borderId="0" xfId="0" applyNumberFormat="1" applyFont="1" applyAlignment="1">
      <alignment horizontal="center" vertical="center" wrapText="1"/>
    </xf>
    <xf numFmtId="174" fontId="24" fillId="0" borderId="0" xfId="0" applyNumberFormat="1" applyFont="1" applyAlignment="1">
      <alignment horizontal="center" vertical="center"/>
    </xf>
    <xf numFmtId="166" fontId="15" fillId="0" borderId="21" xfId="0" applyNumberFormat="1" applyFont="1" applyBorder="1" applyAlignment="1">
      <alignment horizontal="left" vertical="top" wrapText="1"/>
    </xf>
    <xf numFmtId="44" fontId="23" fillId="0" borderId="0" xfId="1" applyFont="1" applyFill="1" applyBorder="1" applyAlignment="1">
      <alignment vertical="top"/>
    </xf>
    <xf numFmtId="44" fontId="5" fillId="7" borderId="1" xfId="1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center" vertical="center" wrapText="1"/>
    </xf>
    <xf numFmtId="44" fontId="34" fillId="6" borderId="1" xfId="12" applyFont="1" applyFill="1" applyBorder="1" applyAlignment="1">
      <alignment horizontal="center" vertical="center" wrapText="1"/>
    </xf>
    <xf numFmtId="44" fontId="34" fillId="6" borderId="1" xfId="1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44" fontId="0" fillId="0" borderId="1" xfId="1" applyFont="1" applyBorder="1"/>
    <xf numFmtId="44" fontId="34" fillId="6" borderId="1" xfId="0" applyNumberFormat="1" applyFont="1" applyFill="1" applyBorder="1" applyAlignment="1">
      <alignment horizontal="center" vertical="center" wrapText="1"/>
    </xf>
    <xf numFmtId="10" fontId="34" fillId="6" borderId="1" xfId="2" applyNumberFormat="1" applyFont="1" applyFill="1" applyBorder="1" applyAlignment="1">
      <alignment horizontal="center" vertical="center" wrapText="1"/>
    </xf>
    <xf numFmtId="44" fontId="0" fillId="0" borderId="1" xfId="1" applyFont="1" applyFill="1" applyBorder="1"/>
    <xf numFmtId="44" fontId="34" fillId="6" borderId="1" xfId="14" applyFont="1" applyFill="1" applyBorder="1" applyAlignment="1">
      <alignment horizontal="center" vertical="center" wrapText="1"/>
    </xf>
    <xf numFmtId="10" fontId="0" fillId="0" borderId="1" xfId="2" applyNumberFormat="1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34" fillId="6" borderId="1" xfId="0" applyFont="1" applyFill="1" applyBorder="1" applyAlignment="1">
      <alignment horizontal="left" vertical="center" wrapText="1"/>
    </xf>
    <xf numFmtId="44" fontId="6" fillId="0" borderId="0" xfId="1" applyFont="1"/>
    <xf numFmtId="44" fontId="6" fillId="0" borderId="0" xfId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4" fontId="4" fillId="0" borderId="0" xfId="1" applyFont="1" applyFill="1" applyAlignment="1">
      <alignment horizontal="left" vertical="center"/>
    </xf>
    <xf numFmtId="44" fontId="4" fillId="0" borderId="0" xfId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2" fillId="0" borderId="10" xfId="4" applyNumberFormat="1" applyFont="1" applyBorder="1" applyAlignment="1">
      <alignment vertical="center"/>
    </xf>
    <xf numFmtId="0" fontId="15" fillId="0" borderId="11" xfId="4" applyNumberFormat="1" applyFont="1" applyBorder="1" applyAlignment="1">
      <alignment vertical="center"/>
    </xf>
    <xf numFmtId="0" fontId="15" fillId="0" borderId="12" xfId="4" applyNumberFormat="1" applyFont="1" applyBorder="1" applyAlignment="1">
      <alignment vertical="center"/>
    </xf>
    <xf numFmtId="0" fontId="14" fillId="0" borderId="10" xfId="4" applyNumberFormat="1" applyFont="1" applyBorder="1" applyAlignment="1">
      <alignment horizontal="center" vertical="center"/>
    </xf>
    <xf numFmtId="0" fontId="12" fillId="0" borderId="0" xfId="4" applyNumberFormat="1" applyFont="1" applyAlignment="1">
      <alignment horizontal="left" vertical="center" wrapText="1"/>
    </xf>
    <xf numFmtId="166" fontId="12" fillId="0" borderId="0" xfId="4" applyFont="1" applyAlignment="1">
      <alignment vertical="center" wrapText="1"/>
    </xf>
    <xf numFmtId="166" fontId="12" fillId="0" borderId="0" xfId="4" applyFont="1" applyAlignment="1">
      <alignment vertical="center"/>
    </xf>
    <xf numFmtId="0" fontId="14" fillId="9" borderId="10" xfId="4" applyNumberFormat="1" applyFont="1" applyFill="1" applyBorder="1" applyAlignment="1">
      <alignment horizontal="center" vertical="center"/>
    </xf>
    <xf numFmtId="0" fontId="14" fillId="0" borderId="1" xfId="4" applyNumberFormat="1" applyFont="1" applyBorder="1" applyAlignment="1">
      <alignment horizontal="right" vertical="center"/>
    </xf>
    <xf numFmtId="0" fontId="15" fillId="0" borderId="1" xfId="4" applyNumberFormat="1" applyFont="1" applyBorder="1" applyAlignment="1">
      <alignment vertical="center"/>
    </xf>
    <xf numFmtId="0" fontId="12" fillId="0" borderId="13" xfId="4" applyNumberFormat="1" applyFont="1" applyBorder="1" applyAlignment="1">
      <alignment vertical="center" wrapText="1"/>
    </xf>
    <xf numFmtId="0" fontId="15" fillId="0" borderId="13" xfId="4" applyNumberFormat="1" applyFont="1" applyBorder="1" applyAlignment="1">
      <alignment vertical="center" wrapText="1"/>
    </xf>
    <xf numFmtId="0" fontId="12" fillId="0" borderId="13" xfId="4" applyNumberFormat="1" applyFont="1" applyBorder="1" applyAlignment="1">
      <alignment vertical="center"/>
    </xf>
    <xf numFmtId="0" fontId="15" fillId="0" borderId="13" xfId="4" applyNumberFormat="1" applyFont="1" applyBorder="1" applyAlignment="1">
      <alignment vertical="center"/>
    </xf>
    <xf numFmtId="0" fontId="14" fillId="0" borderId="13" xfId="4" applyNumberFormat="1" applyFont="1" applyBorder="1" applyAlignment="1">
      <alignment horizontal="right" vertical="center"/>
    </xf>
    <xf numFmtId="0" fontId="14" fillId="0" borderId="14" xfId="4" applyNumberFormat="1" applyFont="1" applyBorder="1" applyAlignment="1">
      <alignment horizontal="right" vertical="center"/>
    </xf>
    <xf numFmtId="0" fontId="14" fillId="0" borderId="15" xfId="4" applyNumberFormat="1" applyFont="1" applyBorder="1" applyAlignment="1">
      <alignment horizontal="right" vertical="center"/>
    </xf>
    <xf numFmtId="167" fontId="14" fillId="0" borderId="14" xfId="4" applyNumberFormat="1" applyFont="1" applyBorder="1" applyAlignment="1">
      <alignment horizontal="right" vertical="center"/>
    </xf>
    <xf numFmtId="167" fontId="14" fillId="0" borderId="15" xfId="4" applyNumberFormat="1" applyFont="1" applyBorder="1" applyAlignment="1">
      <alignment horizontal="right" vertical="center"/>
    </xf>
    <xf numFmtId="0" fontId="12" fillId="0" borderId="1" xfId="4" applyNumberFormat="1" applyFont="1" applyBorder="1" applyAlignment="1">
      <alignment vertical="center"/>
    </xf>
    <xf numFmtId="0" fontId="12" fillId="0" borderId="0" xfId="4" applyNumberFormat="1" applyFont="1" applyAlignment="1">
      <alignment horizontal="center" vertical="center"/>
    </xf>
    <xf numFmtId="0" fontId="14" fillId="8" borderId="4" xfId="4" applyNumberFormat="1" applyFont="1" applyFill="1" applyBorder="1" applyAlignment="1">
      <alignment horizontal="center" vertical="center"/>
    </xf>
    <xf numFmtId="0" fontId="15" fillId="0" borderId="5" xfId="4" applyNumberFormat="1" applyFont="1" applyBorder="1" applyAlignment="1">
      <alignment vertical="center"/>
    </xf>
    <xf numFmtId="0" fontId="14" fillId="0" borderId="0" xfId="4" applyNumberFormat="1" applyFont="1" applyAlignment="1">
      <alignment horizontal="center" vertical="center"/>
    </xf>
    <xf numFmtId="0" fontId="12" fillId="0" borderId="0" xfId="4" applyNumberFormat="1" applyFont="1" applyAlignment="1">
      <alignment vertical="center"/>
    </xf>
    <xf numFmtId="0" fontId="14" fillId="0" borderId="1" xfId="4" applyNumberFormat="1" applyFont="1" applyBorder="1" applyAlignment="1">
      <alignment horizontal="center" vertical="center"/>
    </xf>
    <xf numFmtId="0" fontId="15" fillId="0" borderId="1" xfId="5" applyBorder="1" applyAlignment="1">
      <alignment horizontal="justify" vertical="center"/>
    </xf>
    <xf numFmtId="0" fontId="2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66" fontId="14" fillId="0" borderId="6" xfId="0" applyNumberFormat="1" applyFont="1" applyBorder="1" applyAlignment="1">
      <alignment horizontal="center" vertical="center"/>
    </xf>
    <xf numFmtId="166" fontId="14" fillId="0" borderId="8" xfId="0" applyNumberFormat="1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 vertical="center"/>
    </xf>
    <xf numFmtId="166" fontId="23" fillId="0" borderId="1" xfId="0" applyNumberFormat="1" applyFont="1" applyBorder="1" applyAlignment="1">
      <alignment horizontal="left" vertical="center" wrapText="1"/>
    </xf>
    <xf numFmtId="166" fontId="14" fillId="0" borderId="6" xfId="0" applyNumberFormat="1" applyFont="1" applyBorder="1" applyAlignment="1">
      <alignment horizontal="left" vertical="center" wrapText="1"/>
    </xf>
    <xf numFmtId="166" fontId="14" fillId="0" borderId="8" xfId="0" applyNumberFormat="1" applyFont="1" applyBorder="1" applyAlignment="1">
      <alignment horizontal="left" vertical="center" wrapText="1"/>
    </xf>
    <xf numFmtId="166" fontId="14" fillId="0" borderId="7" xfId="0" applyNumberFormat="1" applyFont="1" applyBorder="1" applyAlignment="1">
      <alignment horizontal="left" vertical="center" wrapText="1"/>
    </xf>
    <xf numFmtId="166" fontId="14" fillId="0" borderId="1" xfId="0" applyNumberFormat="1" applyFont="1" applyBorder="1" applyAlignment="1">
      <alignment horizontal="left" vertical="center" wrapText="1"/>
    </xf>
  </cellXfs>
  <cellStyles count="15">
    <cellStyle name="Hipervínculo" xfId="7" builtinId="8"/>
    <cellStyle name="Millares 2 2 4" xfId="9" xr:uid="{E5B5B956-A75E-481F-9F6F-08D2E65F54C0}"/>
    <cellStyle name="Moneda" xfId="1" builtinId="4"/>
    <cellStyle name="Moneda 11" xfId="10" xr:uid="{47BEC183-7AB5-44D2-8FA4-CD0DDC2DF116}"/>
    <cellStyle name="Moneda 25" xfId="12" xr:uid="{007A0A29-9267-4615-8FC0-26181B60E712}"/>
    <cellStyle name="Moneda 30" xfId="13" xr:uid="{E03C067E-84A4-4CF0-818E-4CCA042F0C21}"/>
    <cellStyle name="Moneda 36" xfId="14" xr:uid="{98BBFEB7-0939-4F93-8978-7A4EAAC5C6AA}"/>
    <cellStyle name="Moneda 38" xfId="11" xr:uid="{D4E3C651-6AFF-4452-ADF6-7D22BD13E851}"/>
    <cellStyle name="Moneda 4" xfId="6" xr:uid="{59E0DC9A-8572-4343-A725-9A7E18794811}"/>
    <cellStyle name="Normal" xfId="0" builtinId="0"/>
    <cellStyle name="Normal 12 2 2" xfId="8" xr:uid="{9EEED435-806C-4F43-9A12-E70F6786A5F1}"/>
    <cellStyle name="Normal 2" xfId="3" xr:uid="{D7D80CF1-C675-469A-A5AB-16E61E34161E}"/>
    <cellStyle name="Normal 23" xfId="5" xr:uid="{82210757-01FC-46B8-BCB8-C058E2255E20}"/>
    <cellStyle name="Normal 3" xfId="4" xr:uid="{79F29BA4-6458-4E3D-B3C4-A31DCD74402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281940</xdr:colOff>
      <xdr:row>0</xdr:row>
      <xdr:rowOff>53340</xdr:rowOff>
    </xdr:from>
    <xdr:to>
      <xdr:col>2</xdr:col>
      <xdr:colOff>182880</xdr:colOff>
      <xdr:row>2</xdr:row>
      <xdr:rowOff>127635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4872D08A-D12E-456E-8A9E-8ADB18633B4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" y="53340"/>
          <a:ext cx="66294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P-PDA/MILTON/2022/PRESUPUESTO/6.%20ACTUALIZACION%20BASE%20PRESUPUESTO%20OBRA%20JUNIO%202021%20%20V6.0%20-04062021%20ACTUALIZAD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DATOS"/>
      <sheetName val="BASE"/>
      <sheetName val="PMT"/>
      <sheetName val="PAPSO"/>
      <sheetName val="MAT"/>
      <sheetName val="GASTOS NO REEMBOLSABLES"/>
      <sheetName val="PRESUP CONSULT "/>
      <sheetName val="PRESUP INTERVENT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9">
          <cell r="F39">
            <v>1.75</v>
          </cell>
        </row>
      </sheetData>
      <sheetData sheetId="11">
        <row r="15">
          <cell r="F15">
            <v>4197390.12</v>
          </cell>
        </row>
      </sheetData>
      <sheetData sheetId="12">
        <row r="5">
          <cell r="C5" t="str">
            <v>REPÚBLICA DE COLOMBIA</v>
          </cell>
        </row>
        <row r="6">
          <cell r="C6" t="str">
            <v>DEPARTAMENTO DEL QUINDÍO</v>
          </cell>
        </row>
        <row r="7">
          <cell r="C7" t="str">
            <v>SECRETARÍA DE AGUAS E INFRAESTRUCTURA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742A7-5E18-4EC1-9EEF-F98B87E6FDA8}">
  <sheetPr>
    <tabColor theme="4" tint="-0.499984740745262"/>
    <pageSetUpPr fitToPage="1"/>
  </sheetPr>
  <dimension ref="B3:N59"/>
  <sheetViews>
    <sheetView topLeftCell="A34" zoomScale="80" zoomScaleNormal="80" workbookViewId="0">
      <selection activeCell="H59" sqref="H59"/>
    </sheetView>
  </sheetViews>
  <sheetFormatPr baseColWidth="10" defaultColWidth="11.5" defaultRowHeight="14" x14ac:dyDescent="0.15"/>
  <cols>
    <col min="1" max="1" width="11.5" style="16"/>
    <col min="2" max="2" width="7" style="16" customWidth="1"/>
    <col min="3" max="3" width="11.33203125" style="16" customWidth="1"/>
    <col min="4" max="4" width="57.5" style="16" customWidth="1"/>
    <col min="5" max="5" width="8.5" style="16" bestFit="1" customWidth="1"/>
    <col min="6" max="6" width="11.6640625" style="16" bestFit="1" customWidth="1"/>
    <col min="7" max="7" width="18.5" style="16" customWidth="1"/>
    <col min="8" max="8" width="22.5" style="16" customWidth="1"/>
    <col min="9" max="9" width="16.1640625" style="16" customWidth="1"/>
    <col min="10" max="10" width="11.5" style="16"/>
    <col min="11" max="11" width="16.33203125" style="16" bestFit="1" customWidth="1"/>
    <col min="12" max="13" width="11.5" style="16"/>
    <col min="14" max="14" width="41.5" style="16" customWidth="1"/>
    <col min="15" max="16384" width="11.5" style="16"/>
  </cols>
  <sheetData>
    <row r="3" spans="2:11" s="11" customFormat="1" ht="30" customHeight="1" x14ac:dyDescent="0.15">
      <c r="B3" s="339" t="s">
        <v>36</v>
      </c>
      <c r="C3" s="340"/>
      <c r="D3" s="340"/>
      <c r="E3" s="340"/>
      <c r="F3" s="340"/>
      <c r="G3" s="340"/>
      <c r="H3" s="341"/>
    </row>
    <row r="4" spans="2:11" ht="18" customHeight="1" x14ac:dyDescent="0.15">
      <c r="B4" s="12" t="s">
        <v>37</v>
      </c>
      <c r="C4" s="12" t="s">
        <v>140</v>
      </c>
      <c r="D4" s="13" t="s">
        <v>38</v>
      </c>
      <c r="E4" s="12" t="s">
        <v>39</v>
      </c>
      <c r="F4" s="12" t="s">
        <v>40</v>
      </c>
      <c r="G4" s="14" t="s">
        <v>41</v>
      </c>
      <c r="H4" s="15" t="s">
        <v>42</v>
      </c>
    </row>
    <row r="5" spans="2:11" ht="18" customHeight="1" x14ac:dyDescent="0.15">
      <c r="B5" s="17">
        <v>1</v>
      </c>
      <c r="C5" s="17"/>
      <c r="D5" s="337" t="s">
        <v>43</v>
      </c>
      <c r="E5" s="337"/>
      <c r="F5" s="337"/>
      <c r="G5" s="337"/>
      <c r="H5" s="337"/>
    </row>
    <row r="6" spans="2:11" ht="18" customHeight="1" x14ac:dyDescent="0.15">
      <c r="B6" s="110" t="s">
        <v>146</v>
      </c>
      <c r="C6" s="109" t="s">
        <v>143</v>
      </c>
      <c r="D6" s="19" t="s">
        <v>139</v>
      </c>
      <c r="E6" s="18" t="s">
        <v>44</v>
      </c>
      <c r="F6" s="20">
        <f>+CANTIDADES!E8</f>
        <v>89</v>
      </c>
      <c r="G6" s="22">
        <v>3737</v>
      </c>
      <c r="H6" s="22">
        <f t="shared" ref="H6:H15" si="0">F6*G6</f>
        <v>332593</v>
      </c>
    </row>
    <row r="7" spans="2:11" ht="30" x14ac:dyDescent="0.15">
      <c r="B7" s="110" t="s">
        <v>147</v>
      </c>
      <c r="C7" s="109" t="s">
        <v>144</v>
      </c>
      <c r="D7" s="19" t="s">
        <v>141</v>
      </c>
      <c r="E7" s="18" t="s">
        <v>44</v>
      </c>
      <c r="F7" s="20">
        <f>+CANTIDADES!I8</f>
        <v>183</v>
      </c>
      <c r="G7" s="22">
        <v>17017</v>
      </c>
      <c r="H7" s="22">
        <f t="shared" si="0"/>
        <v>3114111</v>
      </c>
    </row>
    <row r="8" spans="2:11" ht="18" customHeight="1" x14ac:dyDescent="0.15">
      <c r="B8" s="110" t="s">
        <v>148</v>
      </c>
      <c r="C8" s="109" t="s">
        <v>145</v>
      </c>
      <c r="D8" s="19" t="s">
        <v>142</v>
      </c>
      <c r="E8" s="18" t="s">
        <v>46</v>
      </c>
      <c r="F8" s="20">
        <v>4</v>
      </c>
      <c r="G8" s="22">
        <v>12786</v>
      </c>
      <c r="H8" s="22">
        <f t="shared" si="0"/>
        <v>51144</v>
      </c>
    </row>
    <row r="9" spans="2:11" ht="18" customHeight="1" x14ac:dyDescent="0.15">
      <c r="B9" s="336" t="s">
        <v>47</v>
      </c>
      <c r="C9" s="336"/>
      <c r="D9" s="336"/>
      <c r="E9" s="336"/>
      <c r="F9" s="336"/>
      <c r="G9" s="336"/>
      <c r="H9" s="23">
        <f>SUM(H6:H8)</f>
        <v>3497848</v>
      </c>
    </row>
    <row r="10" spans="2:11" ht="18" customHeight="1" x14ac:dyDescent="0.15">
      <c r="B10" s="17">
        <v>2</v>
      </c>
      <c r="C10" s="17"/>
      <c r="D10" s="337" t="s">
        <v>48</v>
      </c>
      <c r="E10" s="337"/>
      <c r="F10" s="337"/>
      <c r="G10" s="337"/>
      <c r="H10" s="337">
        <f>SUM(H6:H8)</f>
        <v>3497848</v>
      </c>
    </row>
    <row r="11" spans="2:11" ht="18" customHeight="1" x14ac:dyDescent="0.15">
      <c r="B11" s="110">
        <v>2.1</v>
      </c>
      <c r="C11" s="109" t="s">
        <v>150</v>
      </c>
      <c r="D11" s="19" t="s">
        <v>49</v>
      </c>
      <c r="E11" s="18" t="s">
        <v>44</v>
      </c>
      <c r="F11" s="20">
        <f>+CANTIDADES!O24</f>
        <v>243</v>
      </c>
      <c r="G11" s="22">
        <v>11423</v>
      </c>
      <c r="H11" s="22">
        <f t="shared" si="0"/>
        <v>2775789</v>
      </c>
    </row>
    <row r="12" spans="2:11" ht="30" customHeight="1" x14ac:dyDescent="0.15">
      <c r="B12" s="110">
        <v>2.2000000000000002</v>
      </c>
      <c r="C12" s="109" t="s">
        <v>151</v>
      </c>
      <c r="D12" s="19" t="s">
        <v>50</v>
      </c>
      <c r="E12" s="18" t="s">
        <v>51</v>
      </c>
      <c r="F12" s="20">
        <f>+CANTIDADES!O25</f>
        <v>20</v>
      </c>
      <c r="G12" s="22">
        <v>198400</v>
      </c>
      <c r="H12" s="22">
        <f t="shared" si="0"/>
        <v>3968000</v>
      </c>
      <c r="K12" s="106"/>
    </row>
    <row r="13" spans="2:11" ht="30" customHeight="1" x14ac:dyDescent="0.15">
      <c r="B13" s="110">
        <v>2.2999999999999998</v>
      </c>
      <c r="C13" s="109" t="s">
        <v>152</v>
      </c>
      <c r="D13" s="111" t="s">
        <v>149</v>
      </c>
      <c r="E13" s="112" t="s">
        <v>44</v>
      </c>
      <c r="F13" s="20">
        <v>44</v>
      </c>
      <c r="G13" s="113">
        <f>+ROUND(4646.136935,2)</f>
        <v>4646.1400000000003</v>
      </c>
      <c r="H13" s="22">
        <f t="shared" si="0"/>
        <v>204430.16</v>
      </c>
      <c r="K13" s="106"/>
    </row>
    <row r="14" spans="2:11" ht="30" customHeight="1" x14ac:dyDescent="0.15">
      <c r="B14" s="110">
        <v>2.4</v>
      </c>
      <c r="C14" s="109" t="s">
        <v>153</v>
      </c>
      <c r="D14" s="19" t="s">
        <v>52</v>
      </c>
      <c r="E14" s="18" t="s">
        <v>51</v>
      </c>
      <c r="F14" s="48">
        <f>+CANTIDADES!D29</f>
        <v>3</v>
      </c>
      <c r="G14" s="22">
        <v>171013</v>
      </c>
      <c r="H14" s="22">
        <f t="shared" si="0"/>
        <v>513039</v>
      </c>
      <c r="K14" s="106"/>
    </row>
    <row r="15" spans="2:11" ht="30" customHeight="1" x14ac:dyDescent="0.15">
      <c r="B15" s="110">
        <v>2.5</v>
      </c>
      <c r="C15" s="109" t="s">
        <v>154</v>
      </c>
      <c r="D15" s="19" t="s">
        <v>53</v>
      </c>
      <c r="E15" s="18" t="s">
        <v>51</v>
      </c>
      <c r="F15" s="48">
        <f>+CANTIDADES!K18</f>
        <v>3</v>
      </c>
      <c r="G15" s="22">
        <v>197452</v>
      </c>
      <c r="H15" s="22">
        <f t="shared" si="0"/>
        <v>592356</v>
      </c>
    </row>
    <row r="16" spans="2:11" ht="18" customHeight="1" x14ac:dyDescent="0.15">
      <c r="B16" s="336" t="s">
        <v>54</v>
      </c>
      <c r="C16" s="336"/>
      <c r="D16" s="336"/>
      <c r="E16" s="336"/>
      <c r="F16" s="336"/>
      <c r="G16" s="336"/>
      <c r="H16" s="23">
        <f>SUM(H11:H15)</f>
        <v>8053614.1600000001</v>
      </c>
    </row>
    <row r="17" spans="2:11" ht="18" customHeight="1" x14ac:dyDescent="0.15">
      <c r="B17" s="17">
        <v>3</v>
      </c>
      <c r="C17" s="17"/>
      <c r="D17" s="337" t="s">
        <v>55</v>
      </c>
      <c r="E17" s="337"/>
      <c r="F17" s="337"/>
      <c r="G17" s="337"/>
      <c r="H17" s="337"/>
    </row>
    <row r="18" spans="2:11" ht="30" customHeight="1" x14ac:dyDescent="0.15">
      <c r="B18" s="110" t="s">
        <v>181</v>
      </c>
      <c r="C18" s="109" t="s">
        <v>155</v>
      </c>
      <c r="D18" s="108" t="s">
        <v>158</v>
      </c>
      <c r="E18" s="18" t="s">
        <v>51</v>
      </c>
      <c r="F18" s="24">
        <f>+CANTIDADES!O21</f>
        <v>197</v>
      </c>
      <c r="G18" s="22">
        <v>28438</v>
      </c>
      <c r="H18" s="22">
        <f t="shared" ref="H18:H25" si="1">F18*G18</f>
        <v>5602286</v>
      </c>
    </row>
    <row r="19" spans="2:11" ht="30" customHeight="1" x14ac:dyDescent="0.15">
      <c r="B19" s="110" t="s">
        <v>180</v>
      </c>
      <c r="C19" s="109" t="s">
        <v>156</v>
      </c>
      <c r="D19" s="108" t="s">
        <v>138</v>
      </c>
      <c r="E19" s="112" t="s">
        <v>51</v>
      </c>
      <c r="F19" s="24">
        <f>+CANTIDADES!R8</f>
        <v>28</v>
      </c>
      <c r="G19" s="113">
        <f>+ROUND(49766,2)</f>
        <v>49766</v>
      </c>
      <c r="H19" s="22">
        <f t="shared" si="1"/>
        <v>1393448</v>
      </c>
    </row>
    <row r="20" spans="2:11" ht="44.25" customHeight="1" x14ac:dyDescent="0.15">
      <c r="B20" s="110" t="s">
        <v>182</v>
      </c>
      <c r="C20" s="109" t="s">
        <v>163</v>
      </c>
      <c r="D20" s="108" t="s">
        <v>159</v>
      </c>
      <c r="E20" s="18" t="s">
        <v>51</v>
      </c>
      <c r="F20" s="24">
        <f>+CANTIDADES!O28</f>
        <v>24</v>
      </c>
      <c r="G20" s="22">
        <v>152243</v>
      </c>
      <c r="H20" s="22">
        <f t="shared" si="1"/>
        <v>3653832</v>
      </c>
    </row>
    <row r="21" spans="2:11" ht="18" customHeight="1" x14ac:dyDescent="0.15">
      <c r="B21" s="110" t="s">
        <v>183</v>
      </c>
      <c r="C21" s="109" t="s">
        <v>162</v>
      </c>
      <c r="D21" s="108" t="s">
        <v>160</v>
      </c>
      <c r="E21" s="18" t="s">
        <v>51</v>
      </c>
      <c r="F21" s="24">
        <f>+CANTIDADES!O23</f>
        <v>86</v>
      </c>
      <c r="G21" s="22">
        <v>33158</v>
      </c>
      <c r="H21" s="22">
        <f t="shared" si="1"/>
        <v>2851588</v>
      </c>
    </row>
    <row r="22" spans="2:11" ht="30" customHeight="1" x14ac:dyDescent="0.15">
      <c r="B22" s="110" t="s">
        <v>184</v>
      </c>
      <c r="C22" s="109" t="s">
        <v>166</v>
      </c>
      <c r="D22" s="108" t="s">
        <v>161</v>
      </c>
      <c r="E22" s="18" t="s">
        <v>51</v>
      </c>
      <c r="F22" s="24">
        <f>+CANTIDADES!O22</f>
        <v>168</v>
      </c>
      <c r="G22" s="22">
        <v>98483</v>
      </c>
      <c r="H22" s="22">
        <f t="shared" si="1"/>
        <v>16545144</v>
      </c>
    </row>
    <row r="23" spans="2:11" ht="30" customHeight="1" x14ac:dyDescent="0.15">
      <c r="B23" s="110" t="s">
        <v>185</v>
      </c>
      <c r="C23" s="109" t="s">
        <v>157</v>
      </c>
      <c r="D23" s="108" t="s">
        <v>164</v>
      </c>
      <c r="E23" s="18" t="s">
        <v>51</v>
      </c>
      <c r="F23" s="24">
        <f>+CANTIDADES!O27</f>
        <v>22</v>
      </c>
      <c r="G23" s="105">
        <v>199665</v>
      </c>
      <c r="H23" s="22">
        <f t="shared" si="1"/>
        <v>4392630</v>
      </c>
    </row>
    <row r="24" spans="2:11" ht="30" customHeight="1" x14ac:dyDescent="0.15">
      <c r="B24" s="110" t="s">
        <v>186</v>
      </c>
      <c r="C24" s="109" t="s">
        <v>167</v>
      </c>
      <c r="D24" s="108" t="s">
        <v>165</v>
      </c>
      <c r="E24" s="18" t="s">
        <v>51</v>
      </c>
      <c r="F24" s="24">
        <f>+CANTIDADES!O29</f>
        <v>156</v>
      </c>
      <c r="G24" s="22">
        <v>63465</v>
      </c>
      <c r="H24" s="22">
        <f t="shared" si="1"/>
        <v>9900540</v>
      </c>
    </row>
    <row r="25" spans="2:11" ht="18" customHeight="1" x14ac:dyDescent="0.15">
      <c r="B25" s="110" t="s">
        <v>187</v>
      </c>
      <c r="C25" s="109" t="s">
        <v>307</v>
      </c>
      <c r="D25" s="108" t="s">
        <v>306</v>
      </c>
      <c r="E25" s="18" t="s">
        <v>56</v>
      </c>
      <c r="F25" s="20">
        <v>18.55</v>
      </c>
      <c r="G25" s="332">
        <v>35261</v>
      </c>
      <c r="H25" s="22">
        <f t="shared" si="1"/>
        <v>654091.55000000005</v>
      </c>
    </row>
    <row r="26" spans="2:11" ht="18" customHeight="1" x14ac:dyDescent="0.15">
      <c r="B26" s="336" t="s">
        <v>57</v>
      </c>
      <c r="C26" s="336"/>
      <c r="D26" s="336"/>
      <c r="E26" s="336"/>
      <c r="F26" s="336"/>
      <c r="G26" s="336"/>
      <c r="H26" s="23">
        <f>SUM(H18:H25)</f>
        <v>44993559.549999997</v>
      </c>
    </row>
    <row r="27" spans="2:11" ht="18" customHeight="1" x14ac:dyDescent="0.15">
      <c r="B27" s="17">
        <v>4</v>
      </c>
      <c r="C27" s="17"/>
      <c r="D27" s="337" t="s">
        <v>58</v>
      </c>
      <c r="E27" s="337"/>
      <c r="F27" s="337"/>
      <c r="G27" s="337"/>
      <c r="H27" s="337"/>
      <c r="K27" s="16">
        <v>653400</v>
      </c>
    </row>
    <row r="28" spans="2:11" ht="18" customHeight="1" x14ac:dyDescent="0.15">
      <c r="B28" s="110" t="s">
        <v>188</v>
      </c>
      <c r="C28" s="109" t="s">
        <v>168</v>
      </c>
      <c r="D28" s="19" t="s">
        <v>59</v>
      </c>
      <c r="E28" s="18" t="s">
        <v>44</v>
      </c>
      <c r="F28" s="25">
        <f>+CANTIDADES!D26</f>
        <v>66</v>
      </c>
      <c r="G28" s="22">
        <v>55889</v>
      </c>
      <c r="H28" s="22">
        <f>F28*G28</f>
        <v>3688674</v>
      </c>
    </row>
    <row r="29" spans="2:11" ht="18" customHeight="1" x14ac:dyDescent="0.15">
      <c r="B29" s="110" t="s">
        <v>189</v>
      </c>
      <c r="C29" s="109" t="s">
        <v>169</v>
      </c>
      <c r="D29" s="19" t="s">
        <v>60</v>
      </c>
      <c r="E29" s="18" t="s">
        <v>44</v>
      </c>
      <c r="F29" s="20">
        <f>+CANTIDADES!E8</f>
        <v>89</v>
      </c>
      <c r="G29" s="22">
        <v>169151</v>
      </c>
      <c r="H29" s="22">
        <f>F29*G29</f>
        <v>15054439</v>
      </c>
      <c r="K29" s="16">
        <v>35261</v>
      </c>
    </row>
    <row r="30" spans="2:11" ht="18" customHeight="1" x14ac:dyDescent="0.15">
      <c r="B30" s="110" t="s">
        <v>190</v>
      </c>
      <c r="C30" s="109" t="s">
        <v>170</v>
      </c>
      <c r="D30" s="114" t="s">
        <v>61</v>
      </c>
      <c r="E30" s="18" t="s">
        <v>46</v>
      </c>
      <c r="F30" s="20">
        <v>11</v>
      </c>
      <c r="G30" s="22">
        <v>219571</v>
      </c>
      <c r="H30" s="22">
        <f>F30*G30</f>
        <v>2415281</v>
      </c>
    </row>
    <row r="31" spans="2:11" ht="18" customHeight="1" x14ac:dyDescent="0.15">
      <c r="B31" s="336" t="s">
        <v>62</v>
      </c>
      <c r="C31" s="336"/>
      <c r="D31" s="336"/>
      <c r="E31" s="336"/>
      <c r="F31" s="336"/>
      <c r="G31" s="336"/>
      <c r="H31" s="23">
        <f>SUM(H28:H30)</f>
        <v>21158394</v>
      </c>
    </row>
    <row r="32" spans="2:11" ht="18" customHeight="1" x14ac:dyDescent="0.15">
      <c r="B32" s="17">
        <v>5</v>
      </c>
      <c r="C32" s="17"/>
      <c r="D32" s="337" t="s">
        <v>63</v>
      </c>
      <c r="E32" s="337"/>
      <c r="F32" s="337"/>
      <c r="G32" s="337"/>
      <c r="H32" s="337"/>
      <c r="K32" s="16">
        <f>+K27/K29</f>
        <v>18.530387680440146</v>
      </c>
    </row>
    <row r="33" spans="2:14" ht="45" customHeight="1" x14ac:dyDescent="0.15">
      <c r="B33" s="110" t="s">
        <v>191</v>
      </c>
      <c r="C33" s="109" t="s">
        <v>198</v>
      </c>
      <c r="D33" s="114" t="s">
        <v>171</v>
      </c>
      <c r="E33" s="26" t="s">
        <v>44</v>
      </c>
      <c r="F33" s="20">
        <f>+CANTIDADES!J18</f>
        <v>5</v>
      </c>
      <c r="G33" s="22">
        <v>1260791</v>
      </c>
      <c r="H33" s="22">
        <f>F33*G33</f>
        <v>6303955</v>
      </c>
    </row>
    <row r="34" spans="2:14" ht="74.25" customHeight="1" x14ac:dyDescent="0.15">
      <c r="B34" s="110" t="s">
        <v>192</v>
      </c>
      <c r="C34" s="109" t="s">
        <v>199</v>
      </c>
      <c r="D34" s="114" t="s">
        <v>308</v>
      </c>
      <c r="E34" s="26" t="s">
        <v>46</v>
      </c>
      <c r="F34" s="20">
        <v>2</v>
      </c>
      <c r="G34" s="22">
        <v>1976903</v>
      </c>
      <c r="H34" s="22">
        <f>F34*G34</f>
        <v>3953806</v>
      </c>
    </row>
    <row r="35" spans="2:14" ht="30" customHeight="1" x14ac:dyDescent="0.15">
      <c r="B35" s="110" t="s">
        <v>193</v>
      </c>
      <c r="C35" s="109" t="s">
        <v>200</v>
      </c>
      <c r="D35" s="114" t="s">
        <v>172</v>
      </c>
      <c r="E35" s="26" t="s">
        <v>46</v>
      </c>
      <c r="F35" s="20">
        <v>2</v>
      </c>
      <c r="G35" s="22">
        <v>490516</v>
      </c>
      <c r="H35" s="22">
        <f>F35*G35</f>
        <v>981032</v>
      </c>
    </row>
    <row r="36" spans="2:14" ht="85" x14ac:dyDescent="0.15">
      <c r="B36" s="110" t="s">
        <v>194</v>
      </c>
      <c r="C36" s="116" t="s">
        <v>202</v>
      </c>
      <c r="D36" s="111" t="s">
        <v>173</v>
      </c>
      <c r="E36" s="18" t="s">
        <v>46</v>
      </c>
      <c r="F36" s="20">
        <v>11</v>
      </c>
      <c r="G36" s="22">
        <v>546087</v>
      </c>
      <c r="H36" s="22">
        <f>F36*G36</f>
        <v>6006957</v>
      </c>
    </row>
    <row r="37" spans="2:14" ht="34" x14ac:dyDescent="0.15">
      <c r="B37" s="110" t="s">
        <v>195</v>
      </c>
      <c r="C37" s="109" t="s">
        <v>201</v>
      </c>
      <c r="D37" s="114" t="s">
        <v>174</v>
      </c>
      <c r="E37" s="18" t="s">
        <v>46</v>
      </c>
      <c r="F37" s="20">
        <v>1</v>
      </c>
      <c r="G37" s="315">
        <v>96736</v>
      </c>
      <c r="H37" s="22">
        <f>F37*G37</f>
        <v>96736</v>
      </c>
    </row>
    <row r="38" spans="2:14" ht="18" customHeight="1" x14ac:dyDescent="0.15">
      <c r="B38" s="336" t="s">
        <v>65</v>
      </c>
      <c r="C38" s="336"/>
      <c r="D38" s="336"/>
      <c r="E38" s="336"/>
      <c r="F38" s="336"/>
      <c r="G38" s="336"/>
      <c r="H38" s="23">
        <f>SUM(H33:H37)</f>
        <v>17342486</v>
      </c>
    </row>
    <row r="39" spans="2:14" ht="18" customHeight="1" x14ac:dyDescent="0.15">
      <c r="B39" s="17">
        <v>6</v>
      </c>
      <c r="C39" s="17"/>
      <c r="D39" s="337" t="s">
        <v>66</v>
      </c>
      <c r="E39" s="337"/>
      <c r="F39" s="337"/>
      <c r="G39" s="337"/>
      <c r="H39" s="337"/>
    </row>
    <row r="40" spans="2:14" ht="18" customHeight="1" x14ac:dyDescent="0.15">
      <c r="B40" s="110" t="s">
        <v>196</v>
      </c>
      <c r="C40" s="109" t="s">
        <v>175</v>
      </c>
      <c r="D40" s="111" t="s">
        <v>177</v>
      </c>
      <c r="E40" s="18" t="s">
        <v>56</v>
      </c>
      <c r="F40" s="20">
        <v>11</v>
      </c>
      <c r="G40" s="22">
        <v>123777</v>
      </c>
      <c r="H40" s="22">
        <f>F40*G40</f>
        <v>1361547</v>
      </c>
    </row>
    <row r="41" spans="2:14" ht="34" x14ac:dyDescent="0.15">
      <c r="B41" s="110" t="s">
        <v>197</v>
      </c>
      <c r="C41" s="109" t="s">
        <v>176</v>
      </c>
      <c r="D41" s="111" t="s">
        <v>178</v>
      </c>
      <c r="E41" s="18" t="s">
        <v>51</v>
      </c>
      <c r="F41" s="20">
        <f>+CANTIDADES!O26</f>
        <v>23</v>
      </c>
      <c r="G41" s="115">
        <v>1016076</v>
      </c>
      <c r="H41" s="22">
        <f>F41*G41</f>
        <v>23369748</v>
      </c>
    </row>
    <row r="42" spans="2:14" ht="18" customHeight="1" x14ac:dyDescent="0.15">
      <c r="B42" s="336" t="s">
        <v>67</v>
      </c>
      <c r="C42" s="336"/>
      <c r="D42" s="336"/>
      <c r="E42" s="336"/>
      <c r="F42" s="336"/>
      <c r="G42" s="336"/>
      <c r="H42" s="23">
        <f>SUM(H40:H41)</f>
        <v>24731295</v>
      </c>
    </row>
    <row r="43" spans="2:14" ht="18" customHeight="1" x14ac:dyDescent="0.15">
      <c r="B43" s="17">
        <v>7</v>
      </c>
      <c r="C43" s="17"/>
      <c r="D43" s="337" t="s">
        <v>68</v>
      </c>
      <c r="E43" s="337"/>
      <c r="F43" s="337"/>
      <c r="G43" s="337"/>
      <c r="H43" s="337"/>
    </row>
    <row r="44" spans="2:14" ht="33.75" customHeight="1" x14ac:dyDescent="0.15">
      <c r="B44" s="110">
        <v>7.1</v>
      </c>
      <c r="C44" s="109" t="s">
        <v>203</v>
      </c>
      <c r="D44" s="114" t="s">
        <v>179</v>
      </c>
      <c r="E44" s="18" t="s">
        <v>44</v>
      </c>
      <c r="F44" s="20">
        <f>+F6</f>
        <v>89</v>
      </c>
      <c r="G44" s="22">
        <v>17257</v>
      </c>
      <c r="H44" s="22">
        <f>F44*G44</f>
        <v>1535873</v>
      </c>
      <c r="N44" s="331">
        <v>121312378.16</v>
      </c>
    </row>
    <row r="45" spans="2:14" ht="18" customHeight="1" x14ac:dyDescent="0.15">
      <c r="B45" s="336" t="s">
        <v>69</v>
      </c>
      <c r="C45" s="336"/>
      <c r="D45" s="336"/>
      <c r="E45" s="336"/>
      <c r="F45" s="336"/>
      <c r="G45" s="336"/>
      <c r="H45" s="23">
        <f>SUM(H44:H44)</f>
        <v>1535873</v>
      </c>
    </row>
    <row r="46" spans="2:14" ht="18" customHeight="1" x14ac:dyDescent="0.15">
      <c r="B46" s="27"/>
      <c r="C46" s="27"/>
      <c r="D46" s="28" t="s">
        <v>70</v>
      </c>
      <c r="E46" s="29"/>
      <c r="F46" s="29"/>
      <c r="G46" s="30"/>
      <c r="H46" s="31">
        <f>H9+H16+H26+H31+H38+H42+H45</f>
        <v>121313069.70999999</v>
      </c>
    </row>
    <row r="47" spans="2:14" ht="18" customHeight="1" x14ac:dyDescent="0.15">
      <c r="B47" s="32"/>
      <c r="C47" s="32"/>
      <c r="D47" s="338" t="s">
        <v>71</v>
      </c>
      <c r="E47" s="338"/>
      <c r="F47" s="338"/>
      <c r="G47" s="33">
        <f>+AIU!H63</f>
        <v>0.28059098939876292</v>
      </c>
      <c r="H47" s="34">
        <v>34040447.359999999</v>
      </c>
    </row>
    <row r="48" spans="2:14" ht="18" customHeight="1" x14ac:dyDescent="0.15">
      <c r="B48" s="32"/>
      <c r="C48" s="32"/>
      <c r="D48" s="338" t="s">
        <v>72</v>
      </c>
      <c r="E48" s="338"/>
      <c r="F48" s="338"/>
      <c r="G48" s="33">
        <f>+AIU!H64</f>
        <v>5.0000000000000001E-3</v>
      </c>
      <c r="H48" s="34">
        <v>606565.34</v>
      </c>
    </row>
    <row r="49" spans="2:9" ht="18" customHeight="1" x14ac:dyDescent="0.15">
      <c r="B49" s="32"/>
      <c r="C49" s="32"/>
      <c r="D49" s="338" t="s">
        <v>73</v>
      </c>
      <c r="E49" s="338"/>
      <c r="F49" s="338"/>
      <c r="G49" s="33">
        <f>+AIU!H65</f>
        <v>0.05</v>
      </c>
      <c r="H49" s="34">
        <v>6065653.4800000004</v>
      </c>
    </row>
    <row r="50" spans="2:9" ht="18" customHeight="1" x14ac:dyDescent="0.15">
      <c r="B50" s="333" t="s">
        <v>74</v>
      </c>
      <c r="C50" s="333"/>
      <c r="D50" s="333"/>
      <c r="E50" s="333"/>
      <c r="F50" s="333"/>
      <c r="G50" s="333"/>
      <c r="H50" s="34">
        <f>SUM(H46:H49)</f>
        <v>162025735.88999999</v>
      </c>
    </row>
    <row r="51" spans="2:9" ht="18" customHeight="1" x14ac:dyDescent="0.15">
      <c r="B51" s="32"/>
      <c r="C51" s="32"/>
      <c r="D51" s="35" t="s">
        <v>75</v>
      </c>
      <c r="E51" s="18"/>
      <c r="F51" s="18"/>
      <c r="G51" s="21"/>
      <c r="H51" s="34"/>
      <c r="I51" s="36"/>
    </row>
    <row r="52" spans="2:9" x14ac:dyDescent="0.15">
      <c r="B52" s="37"/>
      <c r="C52" s="37"/>
      <c r="D52" s="38"/>
      <c r="E52" s="39"/>
      <c r="F52" s="39"/>
      <c r="G52" s="40"/>
      <c r="H52" s="41"/>
    </row>
    <row r="53" spans="2:9" x14ac:dyDescent="0.15">
      <c r="B53" s="37"/>
      <c r="C53" s="37"/>
      <c r="D53" s="38"/>
      <c r="E53" s="39"/>
      <c r="F53" s="39"/>
      <c r="G53" s="40"/>
      <c r="H53" s="41"/>
    </row>
    <row r="54" spans="2:9" x14ac:dyDescent="0.15">
      <c r="B54" s="37"/>
      <c r="C54" s="37"/>
      <c r="D54" s="38"/>
      <c r="E54" s="39"/>
      <c r="F54" s="39"/>
      <c r="G54" s="40"/>
      <c r="H54" s="42"/>
    </row>
    <row r="55" spans="2:9" x14ac:dyDescent="0.15">
      <c r="B55" s="37"/>
      <c r="C55" s="37"/>
      <c r="D55" s="38"/>
      <c r="E55" s="39"/>
      <c r="F55" s="39"/>
      <c r="G55" s="40"/>
      <c r="H55" s="42"/>
    </row>
    <row r="56" spans="2:9" x14ac:dyDescent="0.15">
      <c r="B56" s="37"/>
      <c r="C56" s="37"/>
      <c r="D56" s="38"/>
      <c r="E56" s="39"/>
      <c r="F56" s="39"/>
      <c r="G56" s="40"/>
      <c r="H56" s="42">
        <v>1423500</v>
      </c>
    </row>
    <row r="57" spans="2:9" x14ac:dyDescent="0.15">
      <c r="B57" s="37"/>
      <c r="C57" s="37"/>
      <c r="D57" s="38"/>
      <c r="E57" s="39"/>
      <c r="F57" s="39"/>
      <c r="G57" s="43"/>
      <c r="H57" s="42">
        <f>+H50/H56</f>
        <v>113.8220835194942</v>
      </c>
    </row>
    <row r="58" spans="2:9" x14ac:dyDescent="0.15">
      <c r="B58" s="44"/>
      <c r="C58" s="44"/>
      <c r="D58" s="38"/>
      <c r="E58" s="39"/>
      <c r="F58" s="39"/>
      <c r="G58" s="334">
        <f>+H57*0.75</f>
        <v>85.366562639620653</v>
      </c>
      <c r="H58" s="335"/>
    </row>
    <row r="59" spans="2:9" x14ac:dyDescent="0.15">
      <c r="B59" s="37"/>
      <c r="C59" s="37"/>
      <c r="D59" s="38"/>
      <c r="E59" s="39"/>
      <c r="F59" s="39"/>
      <c r="G59" s="45"/>
      <c r="H59" s="42" t="s">
        <v>309</v>
      </c>
    </row>
  </sheetData>
  <mergeCells count="20">
    <mergeCell ref="B3:H3"/>
    <mergeCell ref="D39:H39"/>
    <mergeCell ref="D5:H5"/>
    <mergeCell ref="B9:G9"/>
    <mergeCell ref="D10:H10"/>
    <mergeCell ref="B16:G16"/>
    <mergeCell ref="D17:H17"/>
    <mergeCell ref="B26:G26"/>
    <mergeCell ref="D27:H27"/>
    <mergeCell ref="B31:G31"/>
    <mergeCell ref="D32:H32"/>
    <mergeCell ref="B38:G38"/>
    <mergeCell ref="B50:G50"/>
    <mergeCell ref="G58:H58"/>
    <mergeCell ref="B42:G42"/>
    <mergeCell ref="D43:H43"/>
    <mergeCell ref="B45:G45"/>
    <mergeCell ref="D47:F47"/>
    <mergeCell ref="D48:F48"/>
    <mergeCell ref="D49:F49"/>
  </mergeCells>
  <phoneticPr fontId="18" type="noConversion"/>
  <pageMargins left="0.7" right="0.7" top="0.75" bottom="0.75" header="0.3" footer="0.3"/>
  <pageSetup scale="5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E5C2F-975D-4FF8-A4DC-B27D45ABAD9A}">
  <sheetPr>
    <tabColor theme="4" tint="-0.499984740745262"/>
  </sheetPr>
  <dimension ref="B1:J66"/>
  <sheetViews>
    <sheetView topLeftCell="A26" workbookViewId="0">
      <selection activeCell="I12" sqref="I12"/>
    </sheetView>
  </sheetViews>
  <sheetFormatPr baseColWidth="10" defaultColWidth="11.5" defaultRowHeight="14" x14ac:dyDescent="0.2"/>
  <cols>
    <col min="1" max="1" width="4.5" style="51" customWidth="1"/>
    <col min="2" max="2" width="11.5" style="51"/>
    <col min="3" max="3" width="20.33203125" style="51" customWidth="1"/>
    <col min="4" max="5" width="11.5" style="51"/>
    <col min="6" max="6" width="19.5" style="51" bestFit="1" customWidth="1"/>
    <col min="7" max="7" width="20.5" style="51" customWidth="1"/>
    <col min="8" max="8" width="15.33203125" style="51" bestFit="1" customWidth="1"/>
    <col min="9" max="9" width="14.6640625" style="51" bestFit="1" customWidth="1"/>
    <col min="10" max="16384" width="11.5" style="51"/>
  </cols>
  <sheetData>
    <row r="1" spans="2:10" x14ac:dyDescent="0.2">
      <c r="B1" s="362" t="str">
        <f>+[1]DATOS!C5</f>
        <v>REPÚBLICA DE COLOMBIA</v>
      </c>
      <c r="C1" s="348"/>
      <c r="D1" s="348"/>
      <c r="E1" s="348"/>
      <c r="F1" s="348"/>
      <c r="G1" s="348"/>
      <c r="H1" s="348"/>
      <c r="I1" s="348"/>
      <c r="J1" s="50"/>
    </row>
    <row r="2" spans="2:10" x14ac:dyDescent="0.2">
      <c r="B2" s="362" t="str">
        <f>+[1]DATOS!C6</f>
        <v>DEPARTAMENTO DEL QUINDÍO</v>
      </c>
      <c r="C2" s="348"/>
      <c r="D2" s="348"/>
      <c r="E2" s="348"/>
      <c r="F2" s="348"/>
      <c r="G2" s="348"/>
      <c r="H2" s="348"/>
      <c r="I2" s="348"/>
      <c r="J2" s="50"/>
    </row>
    <row r="3" spans="2:10" x14ac:dyDescent="0.2">
      <c r="B3" s="362" t="str">
        <f>+[1]DATOS!C7</f>
        <v>SECRETARÍA DE AGUAS E INFRAESTRUCTURA</v>
      </c>
      <c r="C3" s="348"/>
      <c r="D3" s="348"/>
      <c r="E3" s="348"/>
      <c r="F3" s="348"/>
      <c r="G3" s="348"/>
      <c r="H3" s="348"/>
      <c r="I3" s="348"/>
      <c r="J3" s="50"/>
    </row>
    <row r="4" spans="2:10" x14ac:dyDescent="0.2">
      <c r="B4" s="52"/>
      <c r="C4" s="53"/>
      <c r="D4" s="53"/>
      <c r="E4" s="53"/>
      <c r="F4" s="54"/>
      <c r="G4" s="54"/>
      <c r="H4" s="50"/>
      <c r="I4" s="50"/>
      <c r="J4" s="50"/>
    </row>
    <row r="5" spans="2:10" x14ac:dyDescent="0.2">
      <c r="B5" s="55"/>
      <c r="C5" s="346"/>
      <c r="D5" s="348"/>
      <c r="E5" s="348"/>
      <c r="F5" s="348"/>
      <c r="G5" s="348"/>
      <c r="H5" s="56" t="s">
        <v>82</v>
      </c>
      <c r="I5" s="57">
        <v>45862</v>
      </c>
      <c r="J5" s="50"/>
    </row>
    <row r="6" spans="2:10" x14ac:dyDescent="0.2">
      <c r="B6" s="55"/>
      <c r="C6" s="52"/>
      <c r="D6" s="52"/>
      <c r="E6" s="52"/>
      <c r="F6" s="52"/>
      <c r="G6" s="52"/>
      <c r="H6" s="56"/>
      <c r="I6" s="58"/>
      <c r="J6" s="50"/>
    </row>
    <row r="7" spans="2:10" x14ac:dyDescent="0.2">
      <c r="B7" s="363" t="s">
        <v>83</v>
      </c>
      <c r="C7" s="364"/>
      <c r="D7" s="364"/>
      <c r="E7" s="364"/>
      <c r="F7" s="364"/>
      <c r="G7" s="364"/>
      <c r="H7" s="364"/>
      <c r="I7" s="364"/>
      <c r="J7" s="50"/>
    </row>
    <row r="8" spans="2:10" x14ac:dyDescent="0.2">
      <c r="B8" s="365" t="s">
        <v>312</v>
      </c>
      <c r="C8" s="348"/>
      <c r="D8" s="348"/>
      <c r="E8" s="348"/>
      <c r="F8" s="348"/>
      <c r="G8" s="348"/>
      <c r="H8" s="348"/>
      <c r="I8" s="348"/>
      <c r="J8" s="50"/>
    </row>
    <row r="9" spans="2:10" x14ac:dyDescent="0.2">
      <c r="B9" s="59" t="s">
        <v>84</v>
      </c>
      <c r="C9" s="60" t="s">
        <v>85</v>
      </c>
      <c r="D9" s="60"/>
      <c r="E9" s="60"/>
      <c r="F9" s="50"/>
      <c r="G9" s="50"/>
      <c r="H9" s="50"/>
      <c r="I9" s="50"/>
      <c r="J9" s="50"/>
    </row>
    <row r="10" spans="2:10" x14ac:dyDescent="0.2">
      <c r="B10" s="59" t="s">
        <v>86</v>
      </c>
      <c r="C10" s="59" t="s">
        <v>87</v>
      </c>
      <c r="D10" s="59"/>
      <c r="E10" s="59"/>
      <c r="F10" s="50"/>
      <c r="G10" s="50"/>
      <c r="H10" s="50"/>
      <c r="I10" s="50"/>
      <c r="J10" s="50"/>
    </row>
    <row r="11" spans="2:10" x14ac:dyDescent="0.2">
      <c r="B11" s="50"/>
      <c r="C11" s="50"/>
      <c r="D11" s="50"/>
      <c r="E11" s="50"/>
      <c r="F11" s="50"/>
      <c r="G11" s="50"/>
      <c r="H11" s="50"/>
      <c r="I11" s="50"/>
      <c r="J11" s="55"/>
    </row>
    <row r="12" spans="2:10" x14ac:dyDescent="0.2">
      <c r="B12" s="50" t="s">
        <v>88</v>
      </c>
      <c r="C12" s="50"/>
      <c r="D12" s="50"/>
      <c r="E12" s="50"/>
      <c r="F12" s="61">
        <v>30</v>
      </c>
      <c r="G12" s="50" t="s">
        <v>89</v>
      </c>
      <c r="H12" s="50"/>
      <c r="I12" s="50"/>
      <c r="J12" s="55"/>
    </row>
    <row r="13" spans="2:10" x14ac:dyDescent="0.2">
      <c r="B13" s="50" t="s">
        <v>90</v>
      </c>
      <c r="C13" s="50"/>
      <c r="D13" s="50"/>
      <c r="E13" s="50"/>
      <c r="F13" s="62">
        <f>+PRESUPUESTO!H46</f>
        <v>121313069.70999999</v>
      </c>
      <c r="G13" s="50"/>
      <c r="H13" s="50"/>
      <c r="I13" s="50"/>
      <c r="J13" s="55"/>
    </row>
    <row r="14" spans="2:10" x14ac:dyDescent="0.2">
      <c r="B14" s="366" t="s">
        <v>90</v>
      </c>
      <c r="C14" s="366"/>
      <c r="D14" s="50"/>
      <c r="E14" s="50"/>
      <c r="F14" s="50"/>
      <c r="G14" s="50"/>
      <c r="H14" s="50"/>
      <c r="I14" s="50"/>
      <c r="J14" s="55"/>
    </row>
    <row r="15" spans="2:10" x14ac:dyDescent="0.2">
      <c r="B15" s="367" t="s">
        <v>91</v>
      </c>
      <c r="C15" s="351"/>
      <c r="D15" s="63" t="s">
        <v>92</v>
      </c>
      <c r="E15" s="63" t="s">
        <v>40</v>
      </c>
      <c r="F15" s="63" t="s">
        <v>93</v>
      </c>
      <c r="G15" s="63" t="s">
        <v>94</v>
      </c>
      <c r="H15" s="63" t="s">
        <v>95</v>
      </c>
      <c r="I15" s="63" t="s">
        <v>96</v>
      </c>
      <c r="J15" s="55"/>
    </row>
    <row r="16" spans="2:10" x14ac:dyDescent="0.2">
      <c r="B16" s="64" t="s">
        <v>97</v>
      </c>
      <c r="C16" s="65"/>
      <c r="D16" s="65"/>
      <c r="E16" s="65"/>
      <c r="F16" s="65"/>
      <c r="G16" s="65"/>
      <c r="H16" s="65"/>
      <c r="I16" s="66"/>
      <c r="J16" s="55"/>
    </row>
    <row r="17" spans="2:10" x14ac:dyDescent="0.2">
      <c r="B17" s="361" t="s">
        <v>98</v>
      </c>
      <c r="C17" s="351"/>
      <c r="D17" s="67" t="s">
        <v>99</v>
      </c>
      <c r="E17" s="68">
        <v>1</v>
      </c>
      <c r="F17" s="69">
        <v>0.5</v>
      </c>
      <c r="G17" s="70">
        <v>4550000</v>
      </c>
      <c r="H17" s="71">
        <f>G17*F17*E17</f>
        <v>2275000</v>
      </c>
      <c r="I17" s="72">
        <f>H17/$F$13</f>
        <v>1.8753131920892022E-2</v>
      </c>
      <c r="J17" s="55"/>
    </row>
    <row r="18" spans="2:10" x14ac:dyDescent="0.2">
      <c r="B18" s="73" t="s">
        <v>100</v>
      </c>
      <c r="C18" s="73"/>
      <c r="D18" s="67" t="s">
        <v>99</v>
      </c>
      <c r="E18" s="68">
        <v>1</v>
      </c>
      <c r="F18" s="69">
        <v>1</v>
      </c>
      <c r="G18" s="70">
        <v>3753750</v>
      </c>
      <c r="H18" s="71">
        <f>G18*F18*E18</f>
        <v>3753750</v>
      </c>
      <c r="I18" s="72">
        <f>H18/$F$13</f>
        <v>3.0942667669471836E-2</v>
      </c>
      <c r="J18" s="55"/>
    </row>
    <row r="19" spans="2:10" ht="30" customHeight="1" x14ac:dyDescent="0.2">
      <c r="B19" s="368" t="s">
        <v>311</v>
      </c>
      <c r="C19" s="368"/>
      <c r="D19" s="67" t="s">
        <v>99</v>
      </c>
      <c r="E19" s="68">
        <v>0.5</v>
      </c>
      <c r="F19" s="69">
        <v>0.3</v>
      </c>
      <c r="G19" s="70">
        <v>3753750</v>
      </c>
      <c r="H19" s="71">
        <f>G19*F19*E19</f>
        <v>563062.5</v>
      </c>
      <c r="I19" s="72">
        <f>H19/$F$13</f>
        <v>4.6414001504207752E-3</v>
      </c>
      <c r="J19" s="55"/>
    </row>
    <row r="20" spans="2:10" x14ac:dyDescent="0.2">
      <c r="B20" s="361" t="s">
        <v>101</v>
      </c>
      <c r="C20" s="361"/>
      <c r="D20" s="67" t="s">
        <v>99</v>
      </c>
      <c r="E20" s="68">
        <v>1</v>
      </c>
      <c r="F20" s="69">
        <v>0.4</v>
      </c>
      <c r="G20" s="70">
        <v>3071250</v>
      </c>
      <c r="H20" s="71">
        <f>G20*F20*E20</f>
        <v>1228500</v>
      </c>
      <c r="I20" s="72">
        <f>H20/$F$13</f>
        <v>1.0126691237281693E-2</v>
      </c>
      <c r="J20" s="55"/>
    </row>
    <row r="21" spans="2:10" x14ac:dyDescent="0.2">
      <c r="B21" s="361" t="s">
        <v>102</v>
      </c>
      <c r="C21" s="361"/>
      <c r="D21" s="67" t="s">
        <v>99</v>
      </c>
      <c r="E21" s="68">
        <v>0.5</v>
      </c>
      <c r="F21" s="69">
        <v>0.25</v>
      </c>
      <c r="G21" s="70">
        <v>4550000</v>
      </c>
      <c r="H21" s="71">
        <f>G21*F21*E21</f>
        <v>568750</v>
      </c>
      <c r="I21" s="72">
        <f>H21/$F$13</f>
        <v>4.6882829802230054E-3</v>
      </c>
      <c r="J21" s="55"/>
    </row>
    <row r="22" spans="2:10" x14ac:dyDescent="0.2">
      <c r="B22" s="350" t="s">
        <v>103</v>
      </c>
      <c r="C22" s="351"/>
      <c r="D22" s="351"/>
      <c r="E22" s="351"/>
      <c r="F22" s="351"/>
      <c r="G22" s="351"/>
      <c r="H22" s="74">
        <f>+SUM(H17:H21)</f>
        <v>8389062.5</v>
      </c>
      <c r="I22" s="75">
        <f>+SUM(I17:I21)</f>
        <v>6.915217395828932E-2</v>
      </c>
      <c r="J22" s="55"/>
    </row>
    <row r="23" spans="2:10" x14ac:dyDescent="0.2">
      <c r="B23" s="76"/>
      <c r="C23" s="76"/>
      <c r="D23" s="77"/>
      <c r="E23" s="77"/>
      <c r="F23" s="77"/>
      <c r="G23" s="78"/>
      <c r="H23" s="79"/>
      <c r="I23" s="80"/>
      <c r="J23" s="55"/>
    </row>
    <row r="24" spans="2:10" x14ac:dyDescent="0.2">
      <c r="B24" s="81" t="s">
        <v>104</v>
      </c>
      <c r="C24" s="82"/>
      <c r="D24" s="82"/>
      <c r="E24" s="82"/>
      <c r="F24" s="82"/>
      <c r="G24" s="82"/>
      <c r="H24" s="82"/>
      <c r="I24" s="83"/>
      <c r="J24" s="55"/>
    </row>
    <row r="25" spans="2:10" x14ac:dyDescent="0.2">
      <c r="B25" s="352" t="s">
        <v>105</v>
      </c>
      <c r="C25" s="353"/>
      <c r="D25" s="84" t="s">
        <v>99</v>
      </c>
      <c r="E25" s="85">
        <v>1</v>
      </c>
      <c r="F25" s="85">
        <v>1</v>
      </c>
      <c r="G25" s="86">
        <v>1000000</v>
      </c>
      <c r="H25" s="87">
        <f>(G25*F25*E25)</f>
        <v>1000000</v>
      </c>
      <c r="I25" s="88">
        <f>H25/$F$13</f>
        <v>8.2431349102822082E-3</v>
      </c>
      <c r="J25" s="55"/>
    </row>
    <row r="26" spans="2:10" x14ac:dyDescent="0.2">
      <c r="B26" s="354" t="s">
        <v>106</v>
      </c>
      <c r="C26" s="355"/>
      <c r="D26" s="84" t="s">
        <v>107</v>
      </c>
      <c r="E26" s="85">
        <v>1</v>
      </c>
      <c r="F26" s="85">
        <v>1</v>
      </c>
      <c r="G26" s="86">
        <v>1000000</v>
      </c>
      <c r="H26" s="87">
        <f>(G26*F26*E26)</f>
        <v>1000000</v>
      </c>
      <c r="I26" s="88">
        <f>H26/$F$13</f>
        <v>8.2431349102822082E-3</v>
      </c>
      <c r="J26" s="55"/>
    </row>
    <row r="27" spans="2:10" x14ac:dyDescent="0.2">
      <c r="B27" s="354" t="s">
        <v>108</v>
      </c>
      <c r="C27" s="355"/>
      <c r="D27" s="84" t="s">
        <v>107</v>
      </c>
      <c r="E27" s="85">
        <v>1</v>
      </c>
      <c r="F27" s="85">
        <v>1</v>
      </c>
      <c r="G27" s="86">
        <v>1000000</v>
      </c>
      <c r="H27" s="87">
        <f>(G27*F27*E27)</f>
        <v>1000000</v>
      </c>
      <c r="I27" s="88">
        <f>H27/$F$13</f>
        <v>8.2431349102822082E-3</v>
      </c>
      <c r="J27" s="55"/>
    </row>
    <row r="28" spans="2:10" x14ac:dyDescent="0.2">
      <c r="B28" s="354" t="s">
        <v>109</v>
      </c>
      <c r="C28" s="355"/>
      <c r="D28" s="84" t="s">
        <v>107</v>
      </c>
      <c r="E28" s="85">
        <v>1</v>
      </c>
      <c r="F28" s="85">
        <v>1</v>
      </c>
      <c r="G28" s="86">
        <v>450000</v>
      </c>
      <c r="H28" s="87">
        <f>(G28*F28*E28)</f>
        <v>450000</v>
      </c>
      <c r="I28" s="88">
        <f>H28/$F$13</f>
        <v>3.7094107096269932E-3</v>
      </c>
      <c r="J28" s="55"/>
    </row>
    <row r="29" spans="2:10" ht="12.75" customHeight="1" x14ac:dyDescent="0.2">
      <c r="B29" s="356" t="s">
        <v>110</v>
      </c>
      <c r="C29" s="355"/>
      <c r="D29" s="355"/>
      <c r="E29" s="355"/>
      <c r="F29" s="355"/>
      <c r="G29" s="355"/>
      <c r="H29" s="89">
        <f>SUM(H25:H28)</f>
        <v>3450000</v>
      </c>
      <c r="I29" s="90">
        <f>SUM(I25:I28)</f>
        <v>2.8438815440473615E-2</v>
      </c>
      <c r="J29" s="55"/>
    </row>
    <row r="30" spans="2:10" x14ac:dyDescent="0.2">
      <c r="B30" s="50"/>
      <c r="C30" s="50"/>
      <c r="D30" s="50"/>
      <c r="E30" s="50"/>
      <c r="F30" s="50"/>
      <c r="G30" s="50"/>
      <c r="H30" s="50"/>
      <c r="I30" s="50"/>
      <c r="J30" s="55"/>
    </row>
    <row r="31" spans="2:10" x14ac:dyDescent="0.2">
      <c r="B31" s="50"/>
      <c r="C31" s="50"/>
      <c r="D31" s="50"/>
      <c r="E31" s="50"/>
      <c r="F31" s="50"/>
      <c r="G31" s="50"/>
      <c r="H31" s="91"/>
      <c r="I31" s="50"/>
      <c r="J31" s="55"/>
    </row>
    <row r="32" spans="2:10" x14ac:dyDescent="0.2">
      <c r="B32" s="92" t="s">
        <v>111</v>
      </c>
      <c r="C32" s="59" t="s">
        <v>112</v>
      </c>
      <c r="D32" s="59"/>
      <c r="E32" s="59"/>
      <c r="F32" s="50"/>
      <c r="G32" s="50"/>
      <c r="H32" s="50"/>
      <c r="I32" s="50"/>
      <c r="J32" s="55"/>
    </row>
    <row r="33" spans="2:10" x14ac:dyDescent="0.2">
      <c r="B33" s="93"/>
      <c r="C33" s="50"/>
      <c r="D33" s="50"/>
      <c r="E33" s="50"/>
      <c r="F33" s="50"/>
      <c r="G33" s="50"/>
      <c r="H33" s="50"/>
      <c r="I33" s="50"/>
      <c r="J33" s="55"/>
    </row>
    <row r="34" spans="2:10" x14ac:dyDescent="0.2">
      <c r="B34" s="93"/>
      <c r="C34" s="94" t="s">
        <v>113</v>
      </c>
      <c r="D34" s="95"/>
      <c r="E34" s="95"/>
      <c r="F34" s="95"/>
      <c r="G34" s="96"/>
      <c r="H34" s="97">
        <v>8.0000000000000002E-3</v>
      </c>
      <c r="I34" s="50"/>
      <c r="J34" s="55"/>
    </row>
    <row r="35" spans="2:10" ht="15" customHeight="1" x14ac:dyDescent="0.2">
      <c r="B35" s="93"/>
      <c r="C35" s="50"/>
      <c r="D35" s="50"/>
      <c r="E35" s="50"/>
      <c r="F35" s="357" t="s">
        <v>114</v>
      </c>
      <c r="G35" s="358"/>
      <c r="H35" s="98">
        <f>SUM(H34)</f>
        <v>8.0000000000000002E-3</v>
      </c>
      <c r="I35" s="50"/>
      <c r="J35" s="55"/>
    </row>
    <row r="36" spans="2:10" x14ac:dyDescent="0.2">
      <c r="B36" s="93"/>
      <c r="C36" s="50"/>
      <c r="D36" s="50"/>
      <c r="E36" s="50"/>
      <c r="F36" s="50"/>
      <c r="G36" s="50"/>
      <c r="H36" s="50"/>
      <c r="I36" s="50"/>
      <c r="J36" s="55"/>
    </row>
    <row r="37" spans="2:10" x14ac:dyDescent="0.2">
      <c r="B37" s="92" t="s">
        <v>115</v>
      </c>
      <c r="C37" s="99" t="s">
        <v>116</v>
      </c>
      <c r="D37" s="59"/>
      <c r="E37" s="59"/>
      <c r="F37" s="50"/>
      <c r="G37" s="50"/>
      <c r="H37" s="50"/>
      <c r="I37" s="50"/>
      <c r="J37" s="55"/>
    </row>
    <row r="38" spans="2:10" x14ac:dyDescent="0.2">
      <c r="B38" s="92"/>
      <c r="C38" s="99"/>
      <c r="D38" s="59"/>
      <c r="E38" s="59"/>
      <c r="F38" s="50"/>
      <c r="G38" s="50"/>
      <c r="H38" s="50"/>
      <c r="I38" s="50"/>
      <c r="J38" s="55"/>
    </row>
    <row r="39" spans="2:10" x14ac:dyDescent="0.2">
      <c r="B39" s="93"/>
      <c r="C39" s="94" t="str">
        <f>+CONCATENATE("Por Estampilla Pro-desarrollo ",H39*100,"%")</f>
        <v>Por Estampilla Pro-desarrollo 2%</v>
      </c>
      <c r="D39" s="95"/>
      <c r="E39" s="95"/>
      <c r="F39" s="95"/>
      <c r="G39" s="96"/>
      <c r="H39" s="97">
        <v>0.02</v>
      </c>
      <c r="I39" s="50"/>
      <c r="J39" s="55"/>
    </row>
    <row r="40" spans="2:10" x14ac:dyDescent="0.2">
      <c r="B40" s="93"/>
      <c r="C40" s="94" t="str">
        <f>+CONCATENATE("Por Estampilla Pro-Hospital ",H40*100,"%")</f>
        <v>Por Estampilla Pro-Hospital 2%</v>
      </c>
      <c r="D40" s="95"/>
      <c r="E40" s="95"/>
      <c r="F40" s="95"/>
      <c r="G40" s="96"/>
      <c r="H40" s="97">
        <v>0.02</v>
      </c>
      <c r="I40" s="50"/>
      <c r="J40" s="55"/>
    </row>
    <row r="41" spans="2:10" x14ac:dyDescent="0.2">
      <c r="B41" s="93"/>
      <c r="C41" s="94" t="str">
        <f>+CONCATENATE("Por Estampilla Pro-Cultura ",H41*100,"%")</f>
        <v>Por Estampilla Pro-Cultura 1%</v>
      </c>
      <c r="D41" s="95"/>
      <c r="E41" s="95"/>
      <c r="F41" s="95"/>
      <c r="G41" s="96"/>
      <c r="H41" s="97">
        <v>0.01</v>
      </c>
      <c r="I41" s="50"/>
      <c r="J41" s="55"/>
    </row>
    <row r="42" spans="2:10" x14ac:dyDescent="0.2">
      <c r="B42" s="93"/>
      <c r="C42" s="94" t="str">
        <f>+CONCATENATE("Por Estampilla Pro-Adulto mayor ",H42*100,"%")</f>
        <v>Por Estampilla Pro-Adulto mayor 3%</v>
      </c>
      <c r="D42" s="95"/>
      <c r="E42" s="95"/>
      <c r="F42" s="95"/>
      <c r="G42" s="96"/>
      <c r="H42" s="97">
        <v>0.03</v>
      </c>
      <c r="I42" s="50"/>
      <c r="J42" s="55"/>
    </row>
    <row r="43" spans="2:10" x14ac:dyDescent="0.2">
      <c r="B43" s="93"/>
      <c r="C43" s="94" t="s">
        <v>117</v>
      </c>
      <c r="D43" s="95"/>
      <c r="E43" s="95"/>
      <c r="F43" s="95"/>
      <c r="G43" s="96"/>
      <c r="H43" s="97">
        <v>2.5000000000000001E-2</v>
      </c>
      <c r="I43" s="50"/>
      <c r="J43" s="55"/>
    </row>
    <row r="44" spans="2:10" x14ac:dyDescent="0.2">
      <c r="B44" s="93"/>
      <c r="C44" s="94" t="str">
        <f>+CONCATENATE("Por Contribución especial ",H44*100,"%")</f>
        <v>Por Contribución especial 5%</v>
      </c>
      <c r="D44" s="95"/>
      <c r="E44" s="95"/>
      <c r="F44" s="95"/>
      <c r="G44" s="96"/>
      <c r="H44" s="97">
        <v>0.05</v>
      </c>
      <c r="I44" s="50"/>
      <c r="J44" s="55"/>
    </row>
    <row r="45" spans="2:10" x14ac:dyDescent="0.2">
      <c r="B45" s="93"/>
      <c r="C45" s="94" t="s">
        <v>118</v>
      </c>
      <c r="D45" s="95"/>
      <c r="E45" s="95"/>
      <c r="F45" s="95"/>
      <c r="G45" s="96"/>
      <c r="H45" s="97">
        <v>0.02</v>
      </c>
      <c r="I45" s="50"/>
      <c r="J45" s="55"/>
    </row>
    <row r="46" spans="2:10" x14ac:dyDescent="0.2">
      <c r="B46" s="93"/>
      <c r="C46" s="50"/>
      <c r="D46" s="50"/>
      <c r="E46" s="50"/>
      <c r="F46" s="359" t="s">
        <v>119</v>
      </c>
      <c r="G46" s="360"/>
      <c r="H46" s="98">
        <f>SUM(H39:H45)</f>
        <v>0.17500000000000002</v>
      </c>
      <c r="I46" s="50"/>
      <c r="J46" s="55"/>
    </row>
    <row r="47" spans="2:10" x14ac:dyDescent="0.2">
      <c r="B47" s="93"/>
      <c r="C47" s="50"/>
      <c r="D47" s="50"/>
      <c r="E47" s="50"/>
      <c r="F47" s="50"/>
      <c r="G47" s="50"/>
      <c r="H47" s="50"/>
      <c r="I47" s="100"/>
      <c r="J47" s="100"/>
    </row>
    <row r="48" spans="2:10" x14ac:dyDescent="0.2">
      <c r="B48" s="93"/>
      <c r="C48" s="349" t="s">
        <v>120</v>
      </c>
      <c r="D48" s="343"/>
      <c r="E48" s="343"/>
      <c r="F48" s="343"/>
      <c r="G48" s="343"/>
      <c r="H48" s="101" t="s">
        <v>121</v>
      </c>
      <c r="I48" s="50"/>
      <c r="J48" s="50"/>
    </row>
    <row r="49" spans="2:10" x14ac:dyDescent="0.2">
      <c r="B49" s="93"/>
      <c r="C49" s="342" t="s">
        <v>122</v>
      </c>
      <c r="D49" s="343"/>
      <c r="E49" s="343"/>
      <c r="F49" s="343"/>
      <c r="G49" s="344"/>
      <c r="H49" s="88">
        <f>+I22</f>
        <v>6.915217395828932E-2</v>
      </c>
      <c r="I49" s="50"/>
      <c r="J49" s="50"/>
    </row>
    <row r="50" spans="2:10" x14ac:dyDescent="0.2">
      <c r="B50" s="93"/>
      <c r="C50" s="342" t="s">
        <v>123</v>
      </c>
      <c r="D50" s="343"/>
      <c r="E50" s="343"/>
      <c r="F50" s="343"/>
      <c r="G50" s="344"/>
      <c r="H50" s="88">
        <f>+I29</f>
        <v>2.8438815440473615E-2</v>
      </c>
      <c r="I50" s="50"/>
      <c r="J50" s="50"/>
    </row>
    <row r="51" spans="2:10" x14ac:dyDescent="0.2">
      <c r="B51" s="93"/>
      <c r="C51" s="342" t="s">
        <v>112</v>
      </c>
      <c r="D51" s="343"/>
      <c r="E51" s="343"/>
      <c r="F51" s="343"/>
      <c r="G51" s="344"/>
      <c r="H51" s="88">
        <f>+H35</f>
        <v>8.0000000000000002E-3</v>
      </c>
      <c r="I51" s="50"/>
      <c r="J51" s="50"/>
    </row>
    <row r="52" spans="2:10" x14ac:dyDescent="0.2">
      <c r="B52" s="93"/>
      <c r="C52" s="342" t="s">
        <v>124</v>
      </c>
      <c r="D52" s="343"/>
      <c r="E52" s="343"/>
      <c r="F52" s="343"/>
      <c r="G52" s="344"/>
      <c r="H52" s="88">
        <f>H46</f>
        <v>0.17500000000000002</v>
      </c>
      <c r="I52" s="100"/>
      <c r="J52" s="50"/>
    </row>
    <row r="53" spans="2:10" x14ac:dyDescent="0.2">
      <c r="B53" s="93"/>
      <c r="C53" s="345" t="s">
        <v>125</v>
      </c>
      <c r="D53" s="343"/>
      <c r="E53" s="343"/>
      <c r="F53" s="343"/>
      <c r="G53" s="343"/>
      <c r="H53" s="102">
        <f>SUM(H49:H52)</f>
        <v>0.28059098939876292</v>
      </c>
      <c r="I53" s="100"/>
      <c r="J53" s="50"/>
    </row>
    <row r="54" spans="2:10" x14ac:dyDescent="0.2">
      <c r="B54" s="93"/>
      <c r="C54" s="50"/>
      <c r="D54" s="50"/>
      <c r="E54" s="50"/>
      <c r="F54" s="50"/>
      <c r="G54" s="50"/>
      <c r="H54" s="50"/>
      <c r="I54" s="50"/>
      <c r="J54" s="50"/>
    </row>
    <row r="55" spans="2:10" x14ac:dyDescent="0.2">
      <c r="B55" s="92" t="s">
        <v>126</v>
      </c>
      <c r="C55" s="60" t="s">
        <v>127</v>
      </c>
      <c r="D55" s="60"/>
      <c r="E55" s="60"/>
      <c r="F55" s="50"/>
      <c r="G55" s="50"/>
      <c r="H55" s="50"/>
      <c r="I55" s="50"/>
      <c r="J55" s="50"/>
    </row>
    <row r="56" spans="2:10" ht="30" customHeight="1" x14ac:dyDescent="0.2">
      <c r="B56" s="93"/>
      <c r="C56" s="346" t="str">
        <f>+CONCATENATE("Se asigna un valor a los imprevistos del ",H64*100,"% que de acuerdo con la experiencia obtenida en esta clase de obras puede cubrir este factor de riesgo.")</f>
        <v>Se asigna un valor a los imprevistos del 0,5% que de acuerdo con la experiencia obtenida en esta clase de obras puede cubrir este factor de riesgo.</v>
      </c>
      <c r="D56" s="347"/>
      <c r="E56" s="347"/>
      <c r="F56" s="347"/>
      <c r="G56" s="347"/>
      <c r="H56" s="347"/>
      <c r="I56" s="50"/>
      <c r="J56" s="50"/>
    </row>
    <row r="57" spans="2:10" x14ac:dyDescent="0.2">
      <c r="B57" s="93"/>
      <c r="C57" s="50"/>
      <c r="D57" s="50"/>
      <c r="E57" s="50"/>
      <c r="F57" s="50"/>
      <c r="G57" s="50"/>
      <c r="H57" s="50"/>
      <c r="I57" s="50"/>
      <c r="J57" s="50"/>
    </row>
    <row r="58" spans="2:10" x14ac:dyDescent="0.2">
      <c r="B58" s="92" t="s">
        <v>128</v>
      </c>
      <c r="C58" s="60" t="s">
        <v>129</v>
      </c>
      <c r="D58" s="60"/>
      <c r="E58" s="60"/>
      <c r="F58" s="50"/>
      <c r="G58" s="50"/>
      <c r="H58" s="50"/>
      <c r="I58" s="50"/>
      <c r="J58" s="50"/>
    </row>
    <row r="59" spans="2:10" ht="30" customHeight="1" x14ac:dyDescent="0.2">
      <c r="B59" s="93"/>
      <c r="C59" s="346" t="str">
        <f>+CONCATENATE("Se asigna un valor a la utilidad del ",H65*100,"% con el cual se consideran satisfechas las normales pretenciones del contratista en el desarrollo de la actividad.")</f>
        <v>Se asigna un valor a la utilidad del 5% con el cual se consideran satisfechas las normales pretenciones del contratista en el desarrollo de la actividad.</v>
      </c>
      <c r="D59" s="348"/>
      <c r="E59" s="348"/>
      <c r="F59" s="348"/>
      <c r="G59" s="348"/>
      <c r="H59" s="348"/>
      <c r="I59" s="50"/>
      <c r="J59" s="50"/>
    </row>
    <row r="60" spans="2:10" x14ac:dyDescent="0.2">
      <c r="B60" s="50"/>
      <c r="C60" s="50"/>
      <c r="D60" s="50"/>
      <c r="E60" s="50"/>
      <c r="F60" s="50"/>
      <c r="G60" s="50"/>
      <c r="H60" s="50"/>
      <c r="I60" s="50"/>
      <c r="J60" s="50"/>
    </row>
    <row r="61" spans="2:10" x14ac:dyDescent="0.2">
      <c r="B61" s="50"/>
      <c r="C61" s="50"/>
      <c r="D61" s="50"/>
      <c r="E61" s="50"/>
      <c r="F61" s="50"/>
      <c r="G61" s="50"/>
      <c r="H61" s="50"/>
      <c r="I61" s="50"/>
      <c r="J61" s="50"/>
    </row>
    <row r="62" spans="2:10" x14ac:dyDescent="0.2">
      <c r="B62" s="50"/>
      <c r="C62" s="349" t="s">
        <v>130</v>
      </c>
      <c r="D62" s="343"/>
      <c r="E62" s="343"/>
      <c r="F62" s="343"/>
      <c r="G62" s="343"/>
      <c r="H62" s="103" t="s">
        <v>121</v>
      </c>
      <c r="I62" s="50"/>
      <c r="J62" s="50"/>
    </row>
    <row r="63" spans="2:10" x14ac:dyDescent="0.2">
      <c r="B63" s="50"/>
      <c r="C63" s="342" t="s">
        <v>131</v>
      </c>
      <c r="D63" s="343"/>
      <c r="E63" s="343"/>
      <c r="F63" s="343"/>
      <c r="G63" s="344"/>
      <c r="H63" s="90">
        <f>H53</f>
        <v>0.28059098939876292</v>
      </c>
      <c r="I63" s="50"/>
      <c r="J63" s="50"/>
    </row>
    <row r="64" spans="2:10" x14ac:dyDescent="0.2">
      <c r="B64" s="50"/>
      <c r="C64" s="342" t="s">
        <v>132</v>
      </c>
      <c r="D64" s="343"/>
      <c r="E64" s="343"/>
      <c r="F64" s="343"/>
      <c r="G64" s="344"/>
      <c r="H64" s="104">
        <v>5.0000000000000001E-3</v>
      </c>
      <c r="I64" s="50"/>
      <c r="J64" s="50"/>
    </row>
    <row r="65" spans="2:10" x14ac:dyDescent="0.2">
      <c r="B65" s="50"/>
      <c r="C65" s="342" t="s">
        <v>133</v>
      </c>
      <c r="D65" s="343"/>
      <c r="E65" s="343"/>
      <c r="F65" s="343"/>
      <c r="G65" s="344"/>
      <c r="H65" s="104">
        <v>0.05</v>
      </c>
      <c r="I65" s="50"/>
      <c r="J65" s="50"/>
    </row>
    <row r="66" spans="2:10" x14ac:dyDescent="0.2">
      <c r="B66" s="50"/>
      <c r="C66" s="345" t="s">
        <v>125</v>
      </c>
      <c r="D66" s="343"/>
      <c r="E66" s="343"/>
      <c r="F66" s="343"/>
      <c r="G66" s="343"/>
      <c r="H66" s="90">
        <f>SUM(H63:H65)</f>
        <v>0.33559098939876292</v>
      </c>
      <c r="I66" s="50"/>
      <c r="J66" s="50"/>
    </row>
  </sheetData>
  <mergeCells count="33">
    <mergeCell ref="B21:C21"/>
    <mergeCell ref="B1:I1"/>
    <mergeCell ref="B2:I2"/>
    <mergeCell ref="B3:I3"/>
    <mergeCell ref="C5:G5"/>
    <mergeCell ref="B7:I7"/>
    <mergeCell ref="B8:I8"/>
    <mergeCell ref="B14:C14"/>
    <mergeCell ref="B15:C15"/>
    <mergeCell ref="B17:C17"/>
    <mergeCell ref="B19:C19"/>
    <mergeCell ref="B20:C20"/>
    <mergeCell ref="C51:G51"/>
    <mergeCell ref="B22:G22"/>
    <mergeCell ref="B25:C25"/>
    <mergeCell ref="B26:C26"/>
    <mergeCell ref="B27:C27"/>
    <mergeCell ref="B28:C28"/>
    <mergeCell ref="B29:G29"/>
    <mergeCell ref="F35:G35"/>
    <mergeCell ref="F46:G46"/>
    <mergeCell ref="C48:G48"/>
    <mergeCell ref="C49:G49"/>
    <mergeCell ref="C50:G50"/>
    <mergeCell ref="C64:G64"/>
    <mergeCell ref="C65:G65"/>
    <mergeCell ref="C66:G66"/>
    <mergeCell ref="C52:G52"/>
    <mergeCell ref="C53:G53"/>
    <mergeCell ref="C56:H56"/>
    <mergeCell ref="C59:H59"/>
    <mergeCell ref="C62:G62"/>
    <mergeCell ref="C63:G63"/>
  </mergeCells>
  <pageMargins left="0.7" right="0.7" top="0.75" bottom="0.75" header="0.3" footer="0.3"/>
  <pageSetup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37915-D5C4-4B91-B2F8-26D563984E60}">
  <sheetPr>
    <tabColor theme="4" tint="-0.499984740745262"/>
    <pageSetUpPr autoPageBreaks="0"/>
  </sheetPr>
  <dimension ref="B5:S29"/>
  <sheetViews>
    <sheetView zoomScale="81" zoomScaleNormal="70" workbookViewId="0">
      <selection activeCell="E10" sqref="E10"/>
    </sheetView>
  </sheetViews>
  <sheetFormatPr baseColWidth="10" defaultRowHeight="15" x14ac:dyDescent="0.2"/>
  <cols>
    <col min="2" max="2" width="8" customWidth="1"/>
    <col min="3" max="3" width="17.5" customWidth="1"/>
    <col min="4" max="4" width="14.33203125" customWidth="1"/>
    <col min="6" max="6" width="12.5" customWidth="1"/>
    <col min="7" max="7" width="11.83203125" customWidth="1"/>
    <col min="8" max="8" width="14" customWidth="1"/>
    <col min="9" max="9" width="13.6640625" customWidth="1"/>
    <col min="10" max="10" width="14.33203125" customWidth="1"/>
    <col min="12" max="12" width="15.5" customWidth="1"/>
    <col min="14" max="14" width="16.33203125" customWidth="1"/>
    <col min="16" max="18" width="12.33203125" customWidth="1"/>
  </cols>
  <sheetData>
    <row r="5" spans="2:19" x14ac:dyDescent="0.2">
      <c r="B5" s="2" t="s">
        <v>0</v>
      </c>
      <c r="C5" s="2" t="s">
        <v>2</v>
      </c>
      <c r="D5" s="2" t="s">
        <v>3</v>
      </c>
      <c r="E5" s="2" t="s">
        <v>1</v>
      </c>
      <c r="F5" s="2" t="s">
        <v>15</v>
      </c>
      <c r="G5" s="3" t="s">
        <v>16</v>
      </c>
      <c r="H5" s="3" t="s">
        <v>17</v>
      </c>
      <c r="I5" s="3" t="s">
        <v>18</v>
      </c>
      <c r="J5" s="3" t="s">
        <v>19</v>
      </c>
      <c r="K5" s="3" t="s">
        <v>20</v>
      </c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135</v>
      </c>
      <c r="R5" s="3" t="s">
        <v>136</v>
      </c>
    </row>
    <row r="6" spans="2:19" x14ac:dyDescent="0.2">
      <c r="B6" s="4">
        <v>1</v>
      </c>
      <c r="C6" s="5" t="s">
        <v>134</v>
      </c>
      <c r="D6" s="5">
        <v>712</v>
      </c>
      <c r="E6" s="5">
        <v>58.55</v>
      </c>
      <c r="F6" s="5">
        <v>0.9</v>
      </c>
      <c r="G6" s="6">
        <f>+((I15+H16)/2)*F6*E6</f>
        <v>123.56977500000143</v>
      </c>
      <c r="H6" s="6">
        <v>12</v>
      </c>
      <c r="I6" s="6">
        <f>+E6*2</f>
        <v>117.1</v>
      </c>
      <c r="J6" s="6">
        <f>+(I15+H16)/2</f>
        <v>2.3450000000000273</v>
      </c>
      <c r="K6" s="6">
        <v>0</v>
      </c>
      <c r="L6" s="6">
        <f>0.2*F6*E6</f>
        <v>10.539000000000001</v>
      </c>
      <c r="M6" s="6">
        <f>+G6*0.4</f>
        <v>49.427910000000573</v>
      </c>
      <c r="N6" s="6">
        <f>+(G6-M6)</f>
        <v>74.141865000000848</v>
      </c>
      <c r="O6" s="6">
        <f>+E6*2</f>
        <v>117.1</v>
      </c>
      <c r="P6" s="6">
        <f>0.2*F6*E6</f>
        <v>10.539000000000001</v>
      </c>
      <c r="Q6" s="6">
        <f>2*F6*E6</f>
        <v>105.39</v>
      </c>
      <c r="R6" s="6">
        <f>+G6-Q6</f>
        <v>18.179775000001428</v>
      </c>
      <c r="S6" s="1"/>
    </row>
    <row r="7" spans="2:19" x14ac:dyDescent="0.2">
      <c r="B7" s="4">
        <v>2</v>
      </c>
      <c r="C7" s="5">
        <v>712</v>
      </c>
      <c r="D7" s="5">
        <v>620</v>
      </c>
      <c r="E7" s="5">
        <v>29.62</v>
      </c>
      <c r="F7" s="5">
        <v>0.9</v>
      </c>
      <c r="G7" s="6">
        <f>+((I16+H17)/2)*F7*E7</f>
        <v>49.184009999997706</v>
      </c>
      <c r="H7" s="6">
        <v>12</v>
      </c>
      <c r="I7" s="6">
        <f>+E7*2</f>
        <v>59.24</v>
      </c>
      <c r="J7" s="6">
        <f>+(I16+H17)/2</f>
        <v>1.8449999999999136</v>
      </c>
      <c r="K7" s="6">
        <v>0</v>
      </c>
      <c r="L7" s="6">
        <f>0.2*F7*E7</f>
        <v>5.3316000000000008</v>
      </c>
      <c r="M7" s="6">
        <f>+G7*0.4</f>
        <v>19.673603999999084</v>
      </c>
      <c r="N7" s="6">
        <f t="shared" ref="N7" si="0">+(G7-M7)</f>
        <v>29.510405999998621</v>
      </c>
      <c r="O7" s="6">
        <f>+E7*2</f>
        <v>59.24</v>
      </c>
      <c r="P7" s="6">
        <f>0.2*F7*E7</f>
        <v>5.3316000000000008</v>
      </c>
      <c r="Q7" s="6">
        <f>+((2+H17)/2)*F7*E7</f>
        <v>43.58582999999976</v>
      </c>
      <c r="R7" s="6">
        <f>+G7-Q7</f>
        <v>5.5981799999979458</v>
      </c>
      <c r="S7" s="1"/>
    </row>
    <row r="8" spans="2:19" x14ac:dyDescent="0.2">
      <c r="B8" s="4"/>
      <c r="C8" s="4"/>
      <c r="D8" s="4"/>
      <c r="E8" s="2">
        <f>+ROUNDUP(SUM(E6:E7),0)</f>
        <v>89</v>
      </c>
      <c r="F8" s="5"/>
      <c r="G8" s="3">
        <f>+SUM(G6:G7)</f>
        <v>172.75378499999914</v>
      </c>
      <c r="H8" s="5"/>
      <c r="I8" s="3">
        <f>+ROUNDUP(SUM(I6:I7)+6,0)</f>
        <v>183</v>
      </c>
      <c r="J8" s="5"/>
      <c r="K8" s="5"/>
      <c r="L8" s="3">
        <f>+SUM(L6:L7)</f>
        <v>15.870600000000003</v>
      </c>
      <c r="M8" s="3">
        <f>+SUM(M6:M7)</f>
        <v>69.101513999999653</v>
      </c>
      <c r="N8" s="3">
        <f>+SUM(N6:N7)</f>
        <v>103.65227099999947</v>
      </c>
      <c r="O8" s="3">
        <f>+SUM(O6:O7)</f>
        <v>176.34</v>
      </c>
      <c r="P8" s="3">
        <f>+SUM(P6:P7)</f>
        <v>15.870600000000003</v>
      </c>
      <c r="Q8" s="107">
        <f>+ROUNDUP(Q6+Q7,0)</f>
        <v>149</v>
      </c>
      <c r="R8" s="107">
        <f>+ROUNDUP(R6+R7,0)+4</f>
        <v>28</v>
      </c>
      <c r="S8" s="1"/>
    </row>
    <row r="14" spans="2:19" ht="32" x14ac:dyDescent="0.2">
      <c r="C14" s="7" t="s">
        <v>4</v>
      </c>
      <c r="D14" s="8" t="s">
        <v>5</v>
      </c>
      <c r="E14" s="8" t="s">
        <v>7</v>
      </c>
      <c r="F14" s="8" t="s">
        <v>6</v>
      </c>
      <c r="G14" s="8" t="s">
        <v>9</v>
      </c>
      <c r="H14" s="8" t="s">
        <v>13</v>
      </c>
      <c r="I14" s="8" t="s">
        <v>12</v>
      </c>
      <c r="J14" s="49" t="s">
        <v>78</v>
      </c>
      <c r="K14" s="49" t="s">
        <v>79</v>
      </c>
    </row>
    <row r="15" spans="2:19" x14ac:dyDescent="0.2">
      <c r="C15" s="9" t="s">
        <v>134</v>
      </c>
      <c r="D15" s="5">
        <v>1194.9000000000001</v>
      </c>
      <c r="E15" s="5"/>
      <c r="F15" s="5">
        <v>1192.53</v>
      </c>
      <c r="G15" s="5" t="s">
        <v>10</v>
      </c>
      <c r="H15" s="5"/>
      <c r="I15" s="5">
        <f>+D15-F15</f>
        <v>2.3700000000001182</v>
      </c>
      <c r="J15" s="6">
        <f>+I15</f>
        <v>2.3700000000001182</v>
      </c>
      <c r="K15" s="5"/>
    </row>
    <row r="16" spans="2:19" x14ac:dyDescent="0.2">
      <c r="C16" s="9">
        <v>712</v>
      </c>
      <c r="D16" s="5">
        <v>1193.1199999999999</v>
      </c>
      <c r="E16" s="5">
        <v>1190.8</v>
      </c>
      <c r="F16" s="5">
        <v>1190.7</v>
      </c>
      <c r="G16" s="5" t="s">
        <v>11</v>
      </c>
      <c r="H16" s="5">
        <f>+D16-E16</f>
        <v>2.3199999999999363</v>
      </c>
      <c r="I16" s="5">
        <f>+D16-F16</f>
        <v>2.4199999999998454</v>
      </c>
      <c r="J16" s="6">
        <f>+I16</f>
        <v>2.4199999999998454</v>
      </c>
      <c r="K16" s="5">
        <f>+((PI()*0.8*0.8)-(PI()*0.6*0.6))*J16</f>
        <v>2.1287431820723079</v>
      </c>
    </row>
    <row r="17" spans="3:15" x14ac:dyDescent="0.2">
      <c r="C17" s="9">
        <v>620</v>
      </c>
      <c r="D17" s="5">
        <v>1191.0999999999999</v>
      </c>
      <c r="E17" s="5">
        <v>1189.83</v>
      </c>
      <c r="F17" s="5"/>
      <c r="G17" s="5" t="s">
        <v>11</v>
      </c>
      <c r="H17" s="5">
        <f>+D17-E17</f>
        <v>1.2699999999999818</v>
      </c>
      <c r="I17" s="5"/>
      <c r="J17" s="6"/>
      <c r="K17" s="5"/>
    </row>
    <row r="18" spans="3:15" x14ac:dyDescent="0.2">
      <c r="J18" s="5">
        <f>+ROUNDUP(J16+J15,0)</f>
        <v>5</v>
      </c>
      <c r="K18" s="5">
        <f>+ROUNDUP(K16,0)</f>
        <v>3</v>
      </c>
    </row>
    <row r="20" spans="3:15" x14ac:dyDescent="0.2">
      <c r="N20" s="369" t="s">
        <v>31</v>
      </c>
      <c r="O20" s="369"/>
    </row>
    <row r="21" spans="3:15" x14ac:dyDescent="0.2">
      <c r="N21" s="10" t="s">
        <v>137</v>
      </c>
      <c r="O21" s="6">
        <f>+ROUNDUP(Q8+D24,0)+8</f>
        <v>197</v>
      </c>
    </row>
    <row r="22" spans="3:15" x14ac:dyDescent="0.2">
      <c r="C22" s="369" t="s">
        <v>26</v>
      </c>
      <c r="D22" s="369"/>
      <c r="F22" s="369" t="s">
        <v>35</v>
      </c>
      <c r="G22" s="369"/>
      <c r="N22" s="10" t="s">
        <v>23</v>
      </c>
      <c r="O22" s="6">
        <f>+ROUNDUP(N8+D25,0)+24</f>
        <v>168</v>
      </c>
    </row>
    <row r="23" spans="3:15" x14ac:dyDescent="0.2">
      <c r="C23" s="8" t="s">
        <v>27</v>
      </c>
      <c r="D23" s="6">
        <v>11</v>
      </c>
      <c r="F23" s="10" t="s">
        <v>33</v>
      </c>
      <c r="G23" s="5"/>
      <c r="N23" s="10" t="s">
        <v>22</v>
      </c>
      <c r="O23" s="6">
        <f>+ROUNDUP(M8,0)+16</f>
        <v>86</v>
      </c>
    </row>
    <row r="24" spans="3:15" x14ac:dyDescent="0.2">
      <c r="C24" s="8" t="s">
        <v>14</v>
      </c>
      <c r="D24" s="6">
        <f>0.6*6*1*D23</f>
        <v>39.599999999999994</v>
      </c>
      <c r="F24" s="10" t="s">
        <v>34</v>
      </c>
      <c r="G24" s="5"/>
      <c r="N24" s="10" t="s">
        <v>24</v>
      </c>
      <c r="O24" s="6">
        <f>+ROUNDUP(O8+D27+G23,0)</f>
        <v>243</v>
      </c>
    </row>
    <row r="25" spans="3:15" x14ac:dyDescent="0.2">
      <c r="C25" s="8" t="s">
        <v>28</v>
      </c>
      <c r="D25" s="6">
        <f>+D24</f>
        <v>39.599999999999994</v>
      </c>
      <c r="F25" s="10" t="s">
        <v>32</v>
      </c>
      <c r="G25" s="5">
        <v>15</v>
      </c>
      <c r="N25" s="10" t="s">
        <v>25</v>
      </c>
      <c r="O25" s="6">
        <f>+ROUNDUP(P8+D28+G24,0)</f>
        <v>20</v>
      </c>
    </row>
    <row r="26" spans="3:15" x14ac:dyDescent="0.2">
      <c r="C26" s="8" t="s">
        <v>8</v>
      </c>
      <c r="D26" s="6">
        <f>6*D23</f>
        <v>66</v>
      </c>
      <c r="N26" s="10" t="s">
        <v>32</v>
      </c>
      <c r="O26" s="6">
        <f>+ROUNDUP((G25+(3*0.6*D23)+(+F6*E8))*0.2,0)</f>
        <v>23</v>
      </c>
    </row>
    <row r="27" spans="3:15" x14ac:dyDescent="0.2">
      <c r="C27" s="8" t="s">
        <v>29</v>
      </c>
      <c r="D27" s="6">
        <f>3*2*D23</f>
        <v>66</v>
      </c>
      <c r="N27" s="10" t="s">
        <v>76</v>
      </c>
      <c r="O27" s="5">
        <f>+ROUNDUP(E8*0.2*F7+3*0.2*0.6*11+10*0.2,0)</f>
        <v>22</v>
      </c>
    </row>
    <row r="28" spans="3:15" x14ac:dyDescent="0.2">
      <c r="C28" s="8" t="s">
        <v>30</v>
      </c>
      <c r="D28" s="6">
        <f>3*0.2*0.6*D23</f>
        <v>3.9600000000000004</v>
      </c>
      <c r="N28" s="10" t="s">
        <v>80</v>
      </c>
      <c r="O28" s="5">
        <f>ROUNDUP(+L8+0.2*0.6*6*D23,0)</f>
        <v>24</v>
      </c>
    </row>
    <row r="29" spans="3:15" x14ac:dyDescent="0.2">
      <c r="C29" s="47" t="s">
        <v>77</v>
      </c>
      <c r="D29" s="5">
        <f>+ROUNDUP((D23+2)*0.2,0)</f>
        <v>3</v>
      </c>
      <c r="N29" s="46" t="s">
        <v>81</v>
      </c>
      <c r="O29" s="6">
        <f>+ROUNDUP(G8*0.6+8+D24,0)+4</f>
        <v>156</v>
      </c>
    </row>
  </sheetData>
  <mergeCells count="3">
    <mergeCell ref="C22:D22"/>
    <mergeCell ref="N20:O20"/>
    <mergeCell ref="F22:G22"/>
  </mergeCells>
  <phoneticPr fontId="18" type="noConversion"/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5B91B-41DC-490B-9DF5-267150004F52}">
  <sheetPr>
    <tabColor theme="4" tint="-0.499984740745262"/>
  </sheetPr>
  <dimension ref="A3:I209"/>
  <sheetViews>
    <sheetView tabSelected="1" workbookViewId="0">
      <selection activeCell="B112" sqref="B112"/>
    </sheetView>
  </sheetViews>
  <sheetFormatPr baseColWidth="10" defaultRowHeight="15" x14ac:dyDescent="0.2"/>
  <cols>
    <col min="1" max="1" width="41.6640625" customWidth="1"/>
    <col min="2" max="2" width="15.5" customWidth="1"/>
    <col min="3" max="3" width="14" customWidth="1"/>
    <col min="4" max="4" width="15.83203125" customWidth="1"/>
    <col min="5" max="5" width="12.83203125" customWidth="1"/>
    <col min="6" max="6" width="15.5" customWidth="1"/>
    <col min="7" max="7" width="15.6640625" customWidth="1"/>
  </cols>
  <sheetData>
    <row r="3" spans="1:8" x14ac:dyDescent="0.2">
      <c r="A3" s="370" t="s">
        <v>139</v>
      </c>
      <c r="B3" s="370"/>
      <c r="C3" s="117"/>
      <c r="D3" s="118"/>
      <c r="E3" s="119" t="s">
        <v>143</v>
      </c>
      <c r="F3" s="120" t="s">
        <v>204</v>
      </c>
      <c r="G3" s="120" t="s">
        <v>205</v>
      </c>
      <c r="H3" s="121" t="s">
        <v>206</v>
      </c>
    </row>
    <row r="4" spans="1:8" ht="16" thickBot="1" x14ac:dyDescent="0.25">
      <c r="A4" s="122"/>
      <c r="B4" s="123"/>
      <c r="C4" s="124"/>
      <c r="D4" s="125"/>
      <c r="E4" s="125"/>
      <c r="F4" s="125"/>
      <c r="G4" s="125"/>
    </row>
    <row r="5" spans="1:8" ht="16" thickBot="1" x14ac:dyDescent="0.25">
      <c r="A5" s="126" t="s">
        <v>207</v>
      </c>
      <c r="B5" s="127" t="s">
        <v>208</v>
      </c>
      <c r="C5" s="128" t="s">
        <v>209</v>
      </c>
      <c r="D5" s="129" t="s">
        <v>210</v>
      </c>
      <c r="E5" s="129" t="s">
        <v>211</v>
      </c>
      <c r="F5" s="129" t="s">
        <v>212</v>
      </c>
      <c r="G5" s="130" t="s">
        <v>213</v>
      </c>
    </row>
    <row r="6" spans="1:8" x14ac:dyDescent="0.2">
      <c r="A6" s="131" t="s">
        <v>214</v>
      </c>
      <c r="B6" s="132" t="s">
        <v>215</v>
      </c>
      <c r="C6" s="133">
        <v>0.01</v>
      </c>
      <c r="D6" s="134">
        <v>58000</v>
      </c>
      <c r="E6" s="135">
        <v>580</v>
      </c>
      <c r="F6" s="136"/>
      <c r="G6" s="137"/>
    </row>
    <row r="7" spans="1:8" x14ac:dyDescent="0.2">
      <c r="A7" s="138" t="s">
        <v>216</v>
      </c>
      <c r="B7" s="139" t="s">
        <v>217</v>
      </c>
      <c r="C7" s="133">
        <v>0.03</v>
      </c>
      <c r="D7" s="140">
        <v>5933.333333333333</v>
      </c>
      <c r="E7" s="141"/>
      <c r="F7" s="142">
        <v>177.99999999999997</v>
      </c>
      <c r="G7" s="143"/>
    </row>
    <row r="8" spans="1:8" x14ac:dyDescent="0.2">
      <c r="A8" s="138" t="s">
        <v>218</v>
      </c>
      <c r="B8" s="139" t="s">
        <v>219</v>
      </c>
      <c r="C8" s="133">
        <v>7.0000000000000007E-2</v>
      </c>
      <c r="D8" s="140">
        <v>4400</v>
      </c>
      <c r="E8" s="141"/>
      <c r="F8" s="142">
        <v>308.00000000000006</v>
      </c>
      <c r="G8" s="143"/>
    </row>
    <row r="9" spans="1:8" x14ac:dyDescent="0.2">
      <c r="A9" s="138" t="s">
        <v>220</v>
      </c>
      <c r="B9" s="139" t="s">
        <v>221</v>
      </c>
      <c r="C9" s="133">
        <v>0.01</v>
      </c>
      <c r="D9" s="140">
        <v>250000</v>
      </c>
      <c r="E9" s="141"/>
      <c r="F9" s="142"/>
      <c r="G9" s="144">
        <v>2500</v>
      </c>
    </row>
    <row r="10" spans="1:8" x14ac:dyDescent="0.2">
      <c r="A10" s="138" t="s">
        <v>222</v>
      </c>
      <c r="B10" s="139" t="s">
        <v>223</v>
      </c>
      <c r="C10" s="133">
        <v>1</v>
      </c>
      <c r="D10" s="140">
        <v>31</v>
      </c>
      <c r="E10" s="141">
        <v>31</v>
      </c>
      <c r="F10" s="142"/>
      <c r="G10" s="143"/>
    </row>
    <row r="11" spans="1:8" ht="16" thickBot="1" x14ac:dyDescent="0.25">
      <c r="A11" s="145" t="s">
        <v>224</v>
      </c>
      <c r="B11" s="146" t="s">
        <v>225</v>
      </c>
      <c r="C11" s="147">
        <v>0.05</v>
      </c>
      <c r="D11" s="148">
        <v>2800</v>
      </c>
      <c r="E11" s="149">
        <v>140</v>
      </c>
      <c r="F11" s="150"/>
      <c r="G11" s="151"/>
    </row>
    <row r="12" spans="1:8" ht="16" thickBot="1" x14ac:dyDescent="0.25">
      <c r="A12" s="152" t="s">
        <v>226</v>
      </c>
      <c r="B12" s="153"/>
      <c r="C12" s="154"/>
      <c r="D12" s="155"/>
      <c r="E12" s="156">
        <v>751</v>
      </c>
      <c r="F12" s="156">
        <v>486</v>
      </c>
      <c r="G12" s="157">
        <v>2500</v>
      </c>
    </row>
    <row r="13" spans="1:8" ht="16" thickBot="1" x14ac:dyDescent="0.25">
      <c r="A13" s="158" t="s">
        <v>227</v>
      </c>
      <c r="B13" s="159">
        <v>3737</v>
      </c>
      <c r="C13" s="160"/>
      <c r="D13" s="118"/>
      <c r="E13" s="118"/>
      <c r="F13" s="118"/>
      <c r="G13" s="118"/>
    </row>
    <row r="16" spans="1:8" x14ac:dyDescent="0.2">
      <c r="C16" s="160"/>
      <c r="D16" s="118"/>
      <c r="E16" s="118"/>
      <c r="F16" s="118"/>
      <c r="G16" s="118"/>
      <c r="H16" s="5" t="s">
        <v>228</v>
      </c>
    </row>
    <row r="17" spans="1:8" x14ac:dyDescent="0.2">
      <c r="A17" s="371" t="s">
        <v>45</v>
      </c>
      <c r="B17" s="372"/>
      <c r="D17" s="118"/>
      <c r="E17" s="119" t="s">
        <v>145</v>
      </c>
      <c r="F17" s="120" t="s">
        <v>204</v>
      </c>
      <c r="G17" s="120" t="s">
        <v>229</v>
      </c>
      <c r="H17" s="121" t="s">
        <v>206</v>
      </c>
    </row>
    <row r="18" spans="1:8" ht="16" thickBot="1" x14ac:dyDescent="0.25">
      <c r="A18" s="161"/>
      <c r="B18" s="162"/>
      <c r="C18" s="161"/>
      <c r="D18" s="161"/>
      <c r="E18" s="161"/>
      <c r="F18" s="161"/>
      <c r="G18" s="161"/>
    </row>
    <row r="19" spans="1:8" x14ac:dyDescent="0.2">
      <c r="A19" s="126" t="s">
        <v>207</v>
      </c>
      <c r="B19" s="127" t="s">
        <v>208</v>
      </c>
      <c r="C19" s="128" t="s">
        <v>209</v>
      </c>
      <c r="D19" s="129" t="s">
        <v>210</v>
      </c>
      <c r="E19" s="129" t="s">
        <v>211</v>
      </c>
      <c r="F19" s="129" t="s">
        <v>212</v>
      </c>
      <c r="G19" s="130" t="s">
        <v>213</v>
      </c>
    </row>
    <row r="20" spans="1:8" x14ac:dyDescent="0.2">
      <c r="A20" s="163" t="s">
        <v>230</v>
      </c>
      <c r="B20" s="164" t="s">
        <v>231</v>
      </c>
      <c r="C20" s="165">
        <v>1</v>
      </c>
      <c r="D20" s="166">
        <v>4000</v>
      </c>
      <c r="E20" s="166"/>
      <c r="F20" s="166">
        <f>C20*D20</f>
        <v>4000</v>
      </c>
      <c r="G20" s="166"/>
    </row>
    <row r="21" spans="1:8" x14ac:dyDescent="0.2">
      <c r="A21" s="163" t="s">
        <v>232</v>
      </c>
      <c r="B21" s="167" t="s">
        <v>215</v>
      </c>
      <c r="C21" s="165">
        <v>4.9997723754893933E-2</v>
      </c>
      <c r="D21" s="167">
        <f>(10460*8*2)</f>
        <v>167360</v>
      </c>
      <c r="E21" s="167"/>
      <c r="F21" s="167"/>
      <c r="G21" s="167">
        <f>C21*D21</f>
        <v>8367.6190476190495</v>
      </c>
    </row>
    <row r="22" spans="1:8" x14ac:dyDescent="0.2">
      <c r="A22" s="168" t="s">
        <v>224</v>
      </c>
      <c r="B22" s="167" t="s">
        <v>233</v>
      </c>
      <c r="C22" s="165">
        <v>0.05</v>
      </c>
      <c r="D22" s="167">
        <f>C22*G21</f>
        <v>418.38095238095252</v>
      </c>
      <c r="E22" s="167">
        <f>D22</f>
        <v>418.38095238095252</v>
      </c>
      <c r="F22" s="167"/>
      <c r="G22" s="167"/>
    </row>
    <row r="23" spans="1:8" ht="16" thickBot="1" x14ac:dyDescent="0.25">
      <c r="A23" s="169" t="s">
        <v>226</v>
      </c>
      <c r="B23" s="170"/>
      <c r="C23" s="171"/>
      <c r="D23" s="172"/>
      <c r="E23" s="173">
        <f>SUM(E20:E22)</f>
        <v>418.38095238095252</v>
      </c>
      <c r="F23" s="174">
        <f>SUM(F20:F22)</f>
        <v>4000</v>
      </c>
      <c r="G23" s="175">
        <f>SUM(G20:G22)</f>
        <v>8367.6190476190495</v>
      </c>
    </row>
    <row r="24" spans="1:8" ht="16" thickBot="1" x14ac:dyDescent="0.25">
      <c r="A24" s="158" t="s">
        <v>227</v>
      </c>
      <c r="B24" s="159">
        <f>E23+F23+G23</f>
        <v>12786.000000000002</v>
      </c>
      <c r="E24" s="118"/>
      <c r="F24" s="118"/>
      <c r="G24" s="118"/>
    </row>
    <row r="27" spans="1:8" x14ac:dyDescent="0.2">
      <c r="H27" s="5" t="s">
        <v>228</v>
      </c>
    </row>
    <row r="28" spans="1:8" x14ac:dyDescent="0.2">
      <c r="A28" s="373" t="s">
        <v>234</v>
      </c>
      <c r="B28" s="373"/>
      <c r="C28" s="176"/>
      <c r="D28" s="176"/>
      <c r="E28" s="119" t="s">
        <v>150</v>
      </c>
      <c r="F28" s="120" t="s">
        <v>204</v>
      </c>
      <c r="G28" s="120" t="s">
        <v>205</v>
      </c>
      <c r="H28" s="121" t="s">
        <v>206</v>
      </c>
    </row>
    <row r="29" spans="1:8" ht="16" thickBot="1" x14ac:dyDescent="0.25">
      <c r="A29" s="177"/>
      <c r="B29" s="178"/>
      <c r="C29" s="179"/>
      <c r="D29" s="180"/>
      <c r="E29" s="181"/>
      <c r="F29" s="182"/>
      <c r="G29" s="182"/>
    </row>
    <row r="30" spans="1:8" ht="16" thickBot="1" x14ac:dyDescent="0.25">
      <c r="A30" s="126" t="s">
        <v>207</v>
      </c>
      <c r="B30" s="127" t="s">
        <v>208</v>
      </c>
      <c r="C30" s="128" t="s">
        <v>209</v>
      </c>
      <c r="D30" s="129" t="s">
        <v>235</v>
      </c>
      <c r="E30" s="129" t="s">
        <v>211</v>
      </c>
      <c r="F30" s="129" t="s">
        <v>212</v>
      </c>
      <c r="G30" s="130" t="s">
        <v>213</v>
      </c>
    </row>
    <row r="31" spans="1:8" x14ac:dyDescent="0.2">
      <c r="A31" s="183" t="s">
        <v>236</v>
      </c>
      <c r="B31" s="134" t="s">
        <v>237</v>
      </c>
      <c r="C31" s="184">
        <v>1</v>
      </c>
      <c r="D31" s="134">
        <v>7910</v>
      </c>
      <c r="E31" s="185">
        <f>C31*D31</f>
        <v>7910</v>
      </c>
      <c r="F31" s="136"/>
      <c r="G31" s="137"/>
    </row>
    <row r="32" spans="1:8" x14ac:dyDescent="0.2">
      <c r="A32" s="183" t="s">
        <v>238</v>
      </c>
      <c r="B32" s="140" t="s">
        <v>239</v>
      </c>
      <c r="C32" s="133">
        <v>3.9997632648183561E-2</v>
      </c>
      <c r="D32" s="186">
        <f>(10460*8*1)</f>
        <v>83680</v>
      </c>
      <c r="E32" s="187"/>
      <c r="F32" s="142"/>
      <c r="G32" s="143">
        <f>C32*D32</f>
        <v>3347.0019000000002</v>
      </c>
    </row>
    <row r="33" spans="1:8" x14ac:dyDescent="0.2">
      <c r="A33" s="188" t="s">
        <v>240</v>
      </c>
      <c r="B33" s="189" t="s">
        <v>241</v>
      </c>
      <c r="C33" s="190">
        <v>0.1</v>
      </c>
      <c r="D33" s="142">
        <v>0.78100000000000003</v>
      </c>
      <c r="E33" s="187"/>
      <c r="F33" s="142">
        <f>C33*D33</f>
        <v>7.8100000000000003E-2</v>
      </c>
      <c r="G33" s="143"/>
    </row>
    <row r="34" spans="1:8" ht="16" thickBot="1" x14ac:dyDescent="0.25">
      <c r="A34" s="183" t="s">
        <v>242</v>
      </c>
      <c r="B34" s="140" t="s">
        <v>229</v>
      </c>
      <c r="C34" s="133">
        <v>2E-3</v>
      </c>
      <c r="D34" s="191">
        <v>82960</v>
      </c>
      <c r="E34" s="187"/>
      <c r="F34" s="142"/>
      <c r="G34" s="143">
        <f>C34*D34</f>
        <v>165.92000000000002</v>
      </c>
    </row>
    <row r="35" spans="1:8" ht="16" thickBot="1" x14ac:dyDescent="0.25">
      <c r="A35" s="192" t="s">
        <v>226</v>
      </c>
      <c r="B35" s="193"/>
      <c r="C35" s="194"/>
      <c r="D35" s="195"/>
      <c r="E35" s="196">
        <f>SUM(E31:E34)</f>
        <v>7910</v>
      </c>
      <c r="F35" s="197">
        <f>SUM(F31:F34)</f>
        <v>7.8100000000000003E-2</v>
      </c>
      <c r="G35" s="198">
        <f>SUM(G31:G34)</f>
        <v>3512.9219000000003</v>
      </c>
    </row>
    <row r="36" spans="1:8" ht="16" thickBot="1" x14ac:dyDescent="0.25">
      <c r="A36" s="158" t="s">
        <v>227</v>
      </c>
      <c r="B36" s="159">
        <f>E35+F35+G35</f>
        <v>11423</v>
      </c>
      <c r="E36" s="199"/>
      <c r="F36" s="199"/>
      <c r="G36" s="199"/>
    </row>
    <row r="39" spans="1:8" x14ac:dyDescent="0.2">
      <c r="H39" s="5" t="s">
        <v>228</v>
      </c>
    </row>
    <row r="40" spans="1:8" x14ac:dyDescent="0.2">
      <c r="A40" s="371" t="s">
        <v>243</v>
      </c>
      <c r="B40" s="372"/>
      <c r="D40" s="118"/>
      <c r="E40" s="119" t="s">
        <v>152</v>
      </c>
      <c r="F40" s="120" t="s">
        <v>204</v>
      </c>
      <c r="G40" s="120" t="s">
        <v>205</v>
      </c>
      <c r="H40" s="121" t="s">
        <v>244</v>
      </c>
    </row>
    <row r="41" spans="1:8" ht="16" thickBot="1" x14ac:dyDescent="0.25">
      <c r="A41" s="161"/>
      <c r="B41" s="162"/>
      <c r="C41" s="161"/>
      <c r="D41" s="161"/>
      <c r="E41" s="161"/>
      <c r="F41" s="161"/>
      <c r="G41" s="161"/>
    </row>
    <row r="42" spans="1:8" x14ac:dyDescent="0.2">
      <c r="A42" s="126" t="s">
        <v>207</v>
      </c>
      <c r="B42" s="127" t="s">
        <v>208</v>
      </c>
      <c r="C42" s="128" t="s">
        <v>209</v>
      </c>
      <c r="D42" s="129" t="s">
        <v>210</v>
      </c>
      <c r="E42" s="129" t="s">
        <v>211</v>
      </c>
      <c r="F42" s="129" t="s">
        <v>212</v>
      </c>
      <c r="G42" s="130" t="s">
        <v>213</v>
      </c>
    </row>
    <row r="43" spans="1:8" x14ac:dyDescent="0.2">
      <c r="A43" s="200" t="s">
        <v>240</v>
      </c>
      <c r="B43" s="201" t="s">
        <v>245</v>
      </c>
      <c r="C43" s="202">
        <v>5</v>
      </c>
      <c r="D43" s="203">
        <v>2.6164099999999997</v>
      </c>
      <c r="E43" s="166"/>
      <c r="F43" s="166">
        <f>+D43*C43</f>
        <v>13.082049999999999</v>
      </c>
      <c r="G43" s="166"/>
    </row>
    <row r="44" spans="1:8" x14ac:dyDescent="0.2">
      <c r="A44" s="200" t="s">
        <v>246</v>
      </c>
      <c r="B44" s="201" t="s">
        <v>215</v>
      </c>
      <c r="C44" s="202">
        <v>0.02</v>
      </c>
      <c r="D44" s="203">
        <v>107764.62</v>
      </c>
      <c r="E44" s="166">
        <f>+D44*C44</f>
        <v>2155.2923999999998</v>
      </c>
      <c r="F44" s="166"/>
      <c r="G44" s="166"/>
    </row>
    <row r="45" spans="1:8" x14ac:dyDescent="0.2">
      <c r="A45" s="163" t="s">
        <v>232</v>
      </c>
      <c r="B45" s="167" t="s">
        <v>215</v>
      </c>
      <c r="C45" s="165">
        <v>0.1</v>
      </c>
      <c r="D45" s="203">
        <v>21013.16</v>
      </c>
      <c r="E45" s="167"/>
      <c r="F45" s="167"/>
      <c r="G45" s="167">
        <f>C45*D45</f>
        <v>2101.3160000000003</v>
      </c>
    </row>
    <row r="46" spans="1:8" x14ac:dyDescent="0.2">
      <c r="A46" s="163" t="s">
        <v>247</v>
      </c>
      <c r="B46" s="167" t="s">
        <v>248</v>
      </c>
      <c r="C46" s="165">
        <v>5.0000000000000001E-3</v>
      </c>
      <c r="D46" s="203">
        <v>54276.200000000004</v>
      </c>
      <c r="E46" s="167">
        <f>+D46*C46</f>
        <v>271.38100000000003</v>
      </c>
      <c r="F46" s="167"/>
      <c r="G46" s="167"/>
    </row>
    <row r="47" spans="1:8" x14ac:dyDescent="0.2">
      <c r="A47" s="168" t="s">
        <v>224</v>
      </c>
      <c r="B47" s="167" t="s">
        <v>233</v>
      </c>
      <c r="C47" s="165">
        <v>0.05</v>
      </c>
      <c r="D47" s="203">
        <v>2101.3157000000001</v>
      </c>
      <c r="E47" s="167">
        <f>D47*C47</f>
        <v>105.06578500000001</v>
      </c>
      <c r="F47" s="167"/>
      <c r="G47" s="167"/>
    </row>
    <row r="48" spans="1:8" ht="16" thickBot="1" x14ac:dyDescent="0.25">
      <c r="A48" s="169" t="s">
        <v>226</v>
      </c>
      <c r="B48" s="170"/>
      <c r="C48" s="171"/>
      <c r="D48" s="172"/>
      <c r="E48" s="173">
        <f>SUM(E43:E47)</f>
        <v>2531.7391849999995</v>
      </c>
      <c r="F48" s="174">
        <f>SUM(F43:F47)</f>
        <v>13.082049999999999</v>
      </c>
      <c r="G48" s="175">
        <f>SUM(G43:G47)</f>
        <v>2101.3160000000003</v>
      </c>
    </row>
    <row r="49" spans="1:8" ht="16" thickBot="1" x14ac:dyDescent="0.25">
      <c r="A49" s="158" t="s">
        <v>227</v>
      </c>
      <c r="B49" s="159">
        <f>E48+F48+G48</f>
        <v>4646.1372350000001</v>
      </c>
      <c r="E49" s="118"/>
      <c r="F49" s="118"/>
      <c r="G49" s="118"/>
    </row>
    <row r="52" spans="1:8" x14ac:dyDescent="0.2">
      <c r="H52" s="5" t="s">
        <v>228</v>
      </c>
    </row>
    <row r="53" spans="1:8" ht="28.5" customHeight="1" x14ac:dyDescent="0.2">
      <c r="A53" s="374" t="s">
        <v>249</v>
      </c>
      <c r="B53" s="374"/>
      <c r="D53" s="204"/>
      <c r="E53" s="119" t="s">
        <v>153</v>
      </c>
      <c r="F53" s="120" t="s">
        <v>204</v>
      </c>
      <c r="G53" s="120" t="s">
        <v>51</v>
      </c>
      <c r="H53" s="121" t="s">
        <v>206</v>
      </c>
    </row>
    <row r="54" spans="1:8" ht="16" thickBot="1" x14ac:dyDescent="0.25">
      <c r="A54" s="205"/>
      <c r="B54" s="178"/>
      <c r="C54" s="179"/>
      <c r="D54" s="180"/>
      <c r="E54" s="181"/>
      <c r="F54" s="199"/>
      <c r="G54" s="199"/>
    </row>
    <row r="55" spans="1:8" ht="16" thickBot="1" x14ac:dyDescent="0.25">
      <c r="A55" s="206" t="s">
        <v>207</v>
      </c>
      <c r="B55" s="207" t="s">
        <v>208</v>
      </c>
      <c r="C55" s="208" t="s">
        <v>209</v>
      </c>
      <c r="D55" s="209" t="s">
        <v>235</v>
      </c>
      <c r="E55" s="209" t="s">
        <v>211</v>
      </c>
      <c r="F55" s="209" t="s">
        <v>212</v>
      </c>
      <c r="G55" s="210" t="s">
        <v>213</v>
      </c>
    </row>
    <row r="56" spans="1:8" x14ac:dyDescent="0.2">
      <c r="A56" s="211" t="s">
        <v>250</v>
      </c>
      <c r="B56" s="212" t="s">
        <v>248</v>
      </c>
      <c r="C56" s="213">
        <v>2</v>
      </c>
      <c r="D56" s="214">
        <v>29750</v>
      </c>
      <c r="E56" s="214">
        <v>59500</v>
      </c>
      <c r="F56" s="214"/>
      <c r="G56" s="215"/>
    </row>
    <row r="57" spans="1:8" x14ac:dyDescent="0.2">
      <c r="A57" s="216" t="s">
        <v>251</v>
      </c>
      <c r="B57" s="217" t="s">
        <v>252</v>
      </c>
      <c r="C57" s="165">
        <v>1</v>
      </c>
      <c r="D57" s="167">
        <v>48750</v>
      </c>
      <c r="E57" s="167"/>
      <c r="F57" s="167">
        <v>48750</v>
      </c>
      <c r="G57" s="218"/>
    </row>
    <row r="58" spans="1:8" x14ac:dyDescent="0.2">
      <c r="A58" s="219" t="s">
        <v>232</v>
      </c>
      <c r="B58" s="220" t="s">
        <v>215</v>
      </c>
      <c r="C58" s="190">
        <v>0.39638120500189461</v>
      </c>
      <c r="D58" s="142">
        <v>150800</v>
      </c>
      <c r="E58" s="141"/>
      <c r="F58" s="142"/>
      <c r="G58" s="221">
        <v>59774.28571428571</v>
      </c>
    </row>
    <row r="59" spans="1:8" ht="16" thickBot="1" x14ac:dyDescent="0.25">
      <c r="A59" s="222" t="s">
        <v>224</v>
      </c>
      <c r="B59" s="223" t="s">
        <v>225</v>
      </c>
      <c r="C59" s="224">
        <v>0.05</v>
      </c>
      <c r="D59" s="225">
        <v>2988.7142857142858</v>
      </c>
      <c r="E59" s="226">
        <v>2988.7142857142858</v>
      </c>
      <c r="F59" s="227"/>
      <c r="G59" s="228"/>
    </row>
    <row r="60" spans="1:8" ht="16" thickBot="1" x14ac:dyDescent="0.25">
      <c r="A60" s="169" t="s">
        <v>226</v>
      </c>
      <c r="B60" s="170"/>
      <c r="C60" s="171"/>
      <c r="D60" s="172"/>
      <c r="E60" s="173">
        <v>62488.714285714283</v>
      </c>
      <c r="F60" s="173">
        <v>48750</v>
      </c>
      <c r="G60" s="175">
        <v>59774.28571428571</v>
      </c>
    </row>
    <row r="61" spans="1:8" ht="16" thickBot="1" x14ac:dyDescent="0.25">
      <c r="A61" s="158" t="s">
        <v>227</v>
      </c>
      <c r="B61" s="229">
        <v>171013</v>
      </c>
      <c r="C61" s="230"/>
      <c r="D61" s="231"/>
      <c r="E61" s="199"/>
      <c r="F61" s="199"/>
      <c r="G61" s="199"/>
    </row>
    <row r="62" spans="1:8" x14ac:dyDescent="0.2">
      <c r="A62" s="230"/>
      <c r="B62" s="230"/>
      <c r="C62" s="230"/>
      <c r="D62" s="231"/>
      <c r="E62" s="199"/>
      <c r="F62" s="199"/>
      <c r="G62" s="199"/>
    </row>
    <row r="63" spans="1:8" x14ac:dyDescent="0.2">
      <c r="A63" s="230"/>
      <c r="B63" s="230"/>
      <c r="C63" s="230"/>
      <c r="D63" s="231"/>
      <c r="E63" s="199"/>
      <c r="F63" s="199"/>
      <c r="G63" s="199"/>
    </row>
    <row r="64" spans="1:8" x14ac:dyDescent="0.2">
      <c r="A64" s="230"/>
      <c r="B64" s="230"/>
      <c r="C64" s="230"/>
      <c r="D64" s="231"/>
      <c r="E64" s="199"/>
      <c r="F64" s="199"/>
      <c r="G64" s="199"/>
      <c r="H64" s="5" t="s">
        <v>228</v>
      </c>
    </row>
    <row r="65" spans="1:8" ht="30.75" customHeight="1" x14ac:dyDescent="0.2">
      <c r="A65" s="374" t="s">
        <v>295</v>
      </c>
      <c r="B65" s="374"/>
      <c r="E65" s="119" t="s">
        <v>154</v>
      </c>
      <c r="F65" s="120" t="s">
        <v>204</v>
      </c>
      <c r="G65" s="120" t="s">
        <v>252</v>
      </c>
      <c r="H65" s="121" t="s">
        <v>206</v>
      </c>
    </row>
    <row r="66" spans="1:8" ht="16" thickBot="1" x14ac:dyDescent="0.25">
      <c r="A66" s="311"/>
      <c r="B66" s="312"/>
      <c r="C66" s="124"/>
      <c r="D66" s="125"/>
      <c r="E66" s="125"/>
      <c r="F66" s="125"/>
      <c r="G66" s="125"/>
    </row>
    <row r="67" spans="1:8" ht="16" thickBot="1" x14ac:dyDescent="0.25">
      <c r="A67" s="126" t="s">
        <v>207</v>
      </c>
      <c r="B67" s="127" t="s">
        <v>208</v>
      </c>
      <c r="C67" s="128" t="s">
        <v>209</v>
      </c>
      <c r="D67" s="129" t="s">
        <v>235</v>
      </c>
      <c r="E67" s="129" t="s">
        <v>211</v>
      </c>
      <c r="F67" s="129" t="s">
        <v>212</v>
      </c>
      <c r="G67" s="130" t="s">
        <v>213</v>
      </c>
    </row>
    <row r="68" spans="1:8" x14ac:dyDescent="0.2">
      <c r="A68" s="313" t="s">
        <v>296</v>
      </c>
      <c r="B68" s="134" t="s">
        <v>248</v>
      </c>
      <c r="C68" s="184">
        <v>2.2999999999999998</v>
      </c>
      <c r="D68" s="186">
        <v>29750</v>
      </c>
      <c r="E68" s="135">
        <f>C68*D68</f>
        <v>68425</v>
      </c>
      <c r="F68" s="136"/>
      <c r="G68" s="137"/>
    </row>
    <row r="69" spans="1:8" x14ac:dyDescent="0.2">
      <c r="A69" s="289" t="s">
        <v>232</v>
      </c>
      <c r="B69" s="140" t="s">
        <v>215</v>
      </c>
      <c r="C69" s="133">
        <v>0.814873057976506</v>
      </c>
      <c r="D69" s="186">
        <v>150800</v>
      </c>
      <c r="E69" s="141"/>
      <c r="F69" s="142"/>
      <c r="G69" s="143">
        <f>C69*D69</f>
        <v>122882.8571428571</v>
      </c>
    </row>
    <row r="70" spans="1:8" ht="16" thickBot="1" x14ac:dyDescent="0.25">
      <c r="A70" s="289" t="s">
        <v>224</v>
      </c>
      <c r="B70" s="140" t="s">
        <v>225</v>
      </c>
      <c r="C70" s="133">
        <v>0.05</v>
      </c>
      <c r="D70" s="186">
        <f>C70*G69</f>
        <v>6144.1428571428551</v>
      </c>
      <c r="E70" s="141">
        <f>D70</f>
        <v>6144.1428571428551</v>
      </c>
      <c r="F70" s="142"/>
      <c r="G70" s="143"/>
    </row>
    <row r="71" spans="1:8" ht="16" thickBot="1" x14ac:dyDescent="0.25">
      <c r="A71" s="192" t="s">
        <v>226</v>
      </c>
      <c r="B71" s="193"/>
      <c r="C71" s="194"/>
      <c r="D71" s="195"/>
      <c r="E71" s="238">
        <f>SUM(E68:E70)</f>
        <v>74569.142857142855</v>
      </c>
      <c r="F71" s="197">
        <v>0</v>
      </c>
      <c r="G71" s="198">
        <f>SUM(G68:G70)</f>
        <v>122882.8571428571</v>
      </c>
    </row>
    <row r="72" spans="1:8" ht="16" thickBot="1" x14ac:dyDescent="0.25">
      <c r="A72" s="158" t="s">
        <v>227</v>
      </c>
      <c r="B72" s="229">
        <f>E71+G71</f>
        <v>197451.99999999994</v>
      </c>
      <c r="C72" s="230"/>
      <c r="D72" s="314"/>
      <c r="E72" s="199"/>
      <c r="F72" s="199"/>
      <c r="G72" s="199"/>
    </row>
    <row r="76" spans="1:8" ht="43.5" customHeight="1" x14ac:dyDescent="0.2">
      <c r="A76" s="375" t="s">
        <v>159</v>
      </c>
      <c r="B76" s="376"/>
      <c r="E76" s="119" t="s">
        <v>163</v>
      </c>
      <c r="F76" s="120" t="s">
        <v>204</v>
      </c>
      <c r="G76" s="120" t="s">
        <v>252</v>
      </c>
      <c r="H76" s="121" t="s">
        <v>206</v>
      </c>
    </row>
    <row r="77" spans="1:8" ht="16" thickBot="1" x14ac:dyDescent="0.25">
      <c r="E77" s="176"/>
      <c r="F77" s="232"/>
      <c r="G77" s="232"/>
    </row>
    <row r="78" spans="1:8" ht="16" thickBot="1" x14ac:dyDescent="0.25">
      <c r="A78" s="233" t="s">
        <v>207</v>
      </c>
      <c r="B78" s="234" t="s">
        <v>208</v>
      </c>
      <c r="C78" s="235" t="s">
        <v>209</v>
      </c>
      <c r="D78" s="236" t="s">
        <v>210</v>
      </c>
      <c r="E78" s="236" t="s">
        <v>211</v>
      </c>
      <c r="F78" s="236" t="s">
        <v>212</v>
      </c>
      <c r="G78" s="237" t="s">
        <v>213</v>
      </c>
    </row>
    <row r="79" spans="1:8" x14ac:dyDescent="0.2">
      <c r="A79" s="183" t="s">
        <v>253</v>
      </c>
      <c r="B79" s="140" t="s">
        <v>252</v>
      </c>
      <c r="C79" s="133">
        <v>1.2</v>
      </c>
      <c r="D79" s="186">
        <v>109500</v>
      </c>
      <c r="E79" s="141"/>
      <c r="F79" s="142">
        <v>131400</v>
      </c>
      <c r="G79" s="143"/>
    </row>
    <row r="80" spans="1:8" x14ac:dyDescent="0.2">
      <c r="A80" s="183" t="s">
        <v>232</v>
      </c>
      <c r="B80" s="140" t="s">
        <v>254</v>
      </c>
      <c r="C80" s="133">
        <v>0.11425680179627076</v>
      </c>
      <c r="D80" s="186">
        <v>167360</v>
      </c>
      <c r="E80" s="141"/>
      <c r="F80" s="142"/>
      <c r="G80" s="143">
        <v>19122.018348623875</v>
      </c>
    </row>
    <row r="81" spans="1:8" x14ac:dyDescent="0.2">
      <c r="A81" s="183" t="s">
        <v>222</v>
      </c>
      <c r="B81" s="140" t="s">
        <v>225</v>
      </c>
      <c r="C81" s="133">
        <v>0.04</v>
      </c>
      <c r="D81" s="186">
        <v>764.88073394495495</v>
      </c>
      <c r="E81" s="141"/>
      <c r="F81" s="142"/>
      <c r="G81" s="143">
        <v>764.88073394495495</v>
      </c>
    </row>
    <row r="82" spans="1:8" ht="16" thickBot="1" x14ac:dyDescent="0.25">
      <c r="A82" s="183" t="s">
        <v>224</v>
      </c>
      <c r="B82" s="140" t="s">
        <v>225</v>
      </c>
      <c r="C82" s="133">
        <v>0.05</v>
      </c>
      <c r="D82" s="186">
        <v>956.10091743119381</v>
      </c>
      <c r="E82" s="141">
        <v>956.10091743119381</v>
      </c>
      <c r="F82" s="142"/>
      <c r="G82" s="143"/>
    </row>
    <row r="83" spans="1:8" ht="16" thickBot="1" x14ac:dyDescent="0.25">
      <c r="A83" s="192" t="s">
        <v>226</v>
      </c>
      <c r="B83" s="193"/>
      <c r="C83" s="194"/>
      <c r="D83" s="195"/>
      <c r="E83" s="238">
        <v>956.10091743119381</v>
      </c>
      <c r="F83" s="197">
        <v>131400</v>
      </c>
      <c r="G83" s="198">
        <v>19886.899082568831</v>
      </c>
    </row>
    <row r="84" spans="1:8" ht="16" thickBot="1" x14ac:dyDescent="0.25">
      <c r="A84" s="239" t="s">
        <v>227</v>
      </c>
      <c r="B84" s="240">
        <v>152243.00000000003</v>
      </c>
      <c r="F84" s="118"/>
      <c r="G84" s="118"/>
    </row>
    <row r="87" spans="1:8" x14ac:dyDescent="0.2">
      <c r="H87" s="5" t="s">
        <v>228</v>
      </c>
    </row>
    <row r="88" spans="1:8" ht="36" customHeight="1" x14ac:dyDescent="0.2">
      <c r="A88" s="375" t="s">
        <v>161</v>
      </c>
      <c r="B88" s="376"/>
      <c r="D88" s="204"/>
      <c r="E88" s="119" t="s">
        <v>166</v>
      </c>
      <c r="F88" s="120" t="s">
        <v>204</v>
      </c>
      <c r="G88" s="120" t="s">
        <v>252</v>
      </c>
      <c r="H88" s="121" t="s">
        <v>206</v>
      </c>
    </row>
    <row r="89" spans="1:8" ht="16" thickBot="1" x14ac:dyDescent="0.25">
      <c r="A89" s="241"/>
      <c r="B89" s="242"/>
      <c r="C89" s="243"/>
      <c r="D89" s="244"/>
      <c r="E89" s="245"/>
      <c r="F89" s="246"/>
      <c r="G89" s="246"/>
    </row>
    <row r="90" spans="1:8" ht="16" thickBot="1" x14ac:dyDescent="0.25">
      <c r="A90" s="247" t="s">
        <v>207</v>
      </c>
      <c r="B90" s="248" t="s">
        <v>208</v>
      </c>
      <c r="C90" s="249" t="s">
        <v>209</v>
      </c>
      <c r="D90" s="250" t="s">
        <v>210</v>
      </c>
      <c r="E90" s="250" t="s">
        <v>211</v>
      </c>
      <c r="F90" s="250" t="s">
        <v>212</v>
      </c>
      <c r="G90" s="251" t="s">
        <v>213</v>
      </c>
    </row>
    <row r="91" spans="1:8" x14ac:dyDescent="0.2">
      <c r="A91" s="252" t="s">
        <v>255</v>
      </c>
      <c r="B91" s="253" t="s">
        <v>256</v>
      </c>
      <c r="C91" s="254">
        <v>0.03</v>
      </c>
      <c r="D91" s="255">
        <v>90000</v>
      </c>
      <c r="E91" s="255">
        <v>2700</v>
      </c>
      <c r="F91" s="256"/>
      <c r="G91" s="257"/>
    </row>
    <row r="92" spans="1:8" x14ac:dyDescent="0.2">
      <c r="A92" s="258" t="s">
        <v>257</v>
      </c>
      <c r="B92" s="140" t="s">
        <v>252</v>
      </c>
      <c r="C92" s="133">
        <v>1.3</v>
      </c>
      <c r="D92" s="186">
        <v>58097</v>
      </c>
      <c r="E92" s="141"/>
      <c r="F92" s="259">
        <v>75575</v>
      </c>
      <c r="G92" s="260"/>
    </row>
    <row r="93" spans="1:8" x14ac:dyDescent="0.2">
      <c r="A93" s="258" t="s">
        <v>240</v>
      </c>
      <c r="B93" s="140" t="s">
        <v>241</v>
      </c>
      <c r="C93" s="133">
        <v>5</v>
      </c>
      <c r="D93" s="186">
        <v>83</v>
      </c>
      <c r="E93" s="141"/>
      <c r="F93" s="261">
        <v>415</v>
      </c>
      <c r="G93" s="262"/>
    </row>
    <row r="94" spans="1:8" x14ac:dyDescent="0.2">
      <c r="A94" s="263" t="s">
        <v>232</v>
      </c>
      <c r="B94" s="264" t="s">
        <v>254</v>
      </c>
      <c r="C94" s="265">
        <v>0.125</v>
      </c>
      <c r="D94" s="186">
        <v>150800</v>
      </c>
      <c r="E94" s="141"/>
      <c r="F94" s="142"/>
      <c r="G94" s="221">
        <v>18850</v>
      </c>
    </row>
    <row r="95" spans="1:8" ht="16" thickBot="1" x14ac:dyDescent="0.25">
      <c r="A95" s="258" t="s">
        <v>258</v>
      </c>
      <c r="B95" s="140" t="s">
        <v>121</v>
      </c>
      <c r="C95" s="133">
        <v>0.05</v>
      </c>
      <c r="D95" s="186">
        <v>942.5</v>
      </c>
      <c r="E95" s="141">
        <v>942.5</v>
      </c>
      <c r="F95" s="142"/>
      <c r="G95" s="221"/>
    </row>
    <row r="96" spans="1:8" ht="16" thickBot="1" x14ac:dyDescent="0.25">
      <c r="A96" s="266" t="s">
        <v>226</v>
      </c>
      <c r="B96" s="267"/>
      <c r="C96" s="268"/>
      <c r="D96" s="269"/>
      <c r="E96" s="270">
        <v>3642.5</v>
      </c>
      <c r="F96" s="271">
        <v>75990</v>
      </c>
      <c r="G96" s="272">
        <v>18850</v>
      </c>
    </row>
    <row r="97" spans="1:9" ht="16" thickBot="1" x14ac:dyDescent="0.25">
      <c r="A97" s="239" t="s">
        <v>227</v>
      </c>
      <c r="B97" s="273">
        <v>98483</v>
      </c>
      <c r="E97" s="118"/>
      <c r="F97" s="118"/>
      <c r="G97" s="118"/>
    </row>
    <row r="100" spans="1:9" x14ac:dyDescent="0.2">
      <c r="H100" s="5" t="s">
        <v>228</v>
      </c>
    </row>
    <row r="101" spans="1:9" ht="32.25" customHeight="1" x14ac:dyDescent="0.2">
      <c r="A101" s="378" t="s">
        <v>165</v>
      </c>
      <c r="B101" s="378"/>
      <c r="D101" s="274"/>
      <c r="E101" s="275" t="s">
        <v>167</v>
      </c>
      <c r="F101" s="120" t="s">
        <v>204</v>
      </c>
      <c r="G101" s="120" t="s">
        <v>252</v>
      </c>
      <c r="H101" s="121" t="s">
        <v>206</v>
      </c>
    </row>
    <row r="102" spans="1:9" ht="16" thickBot="1" x14ac:dyDescent="0.25">
      <c r="A102" s="199"/>
      <c r="B102" s="276"/>
      <c r="C102" s="276"/>
      <c r="D102" s="276"/>
      <c r="E102" s="230"/>
      <c r="F102" s="182"/>
      <c r="G102" s="277"/>
      <c r="H102" s="125"/>
      <c r="I102" s="125"/>
    </row>
    <row r="103" spans="1:9" ht="16" thickBot="1" x14ac:dyDescent="0.25">
      <c r="A103" s="126" t="s">
        <v>207</v>
      </c>
      <c r="B103" s="127" t="s">
        <v>208</v>
      </c>
      <c r="C103" s="127" t="s">
        <v>209</v>
      </c>
      <c r="D103" s="127" t="s">
        <v>259</v>
      </c>
      <c r="E103" s="128" t="s">
        <v>260</v>
      </c>
      <c r="F103" s="129" t="s">
        <v>235</v>
      </c>
      <c r="G103" s="129" t="s">
        <v>211</v>
      </c>
      <c r="H103" s="129" t="s">
        <v>212</v>
      </c>
      <c r="I103" s="130" t="s">
        <v>213</v>
      </c>
    </row>
    <row r="104" spans="1:9" x14ac:dyDescent="0.2">
      <c r="A104" s="278" t="s">
        <v>261</v>
      </c>
      <c r="B104" s="134" t="s">
        <v>262</v>
      </c>
      <c r="C104" s="134"/>
      <c r="D104" s="184">
        <v>1.3</v>
      </c>
      <c r="E104" s="184">
        <v>25</v>
      </c>
      <c r="F104" s="136">
        <v>1500</v>
      </c>
      <c r="G104" s="135">
        <v>48750</v>
      </c>
      <c r="H104" s="136"/>
      <c r="I104" s="137"/>
    </row>
    <row r="105" spans="1:9" x14ac:dyDescent="0.2">
      <c r="A105" s="183" t="s">
        <v>238</v>
      </c>
      <c r="B105" s="140" t="s">
        <v>239</v>
      </c>
      <c r="C105" s="133">
        <v>0.16747473367932258</v>
      </c>
      <c r="D105" s="140"/>
      <c r="E105" s="133"/>
      <c r="F105" s="186">
        <v>83680</v>
      </c>
      <c r="G105" s="141"/>
      <c r="H105" s="142"/>
      <c r="I105" s="143">
        <v>14014.285714285714</v>
      </c>
    </row>
    <row r="106" spans="1:9" ht="16" thickBot="1" x14ac:dyDescent="0.25">
      <c r="A106" s="183" t="s">
        <v>224</v>
      </c>
      <c r="B106" s="140" t="s">
        <v>225</v>
      </c>
      <c r="C106" s="133">
        <v>0.05</v>
      </c>
      <c r="D106" s="140"/>
      <c r="E106" s="133"/>
      <c r="F106" s="186">
        <v>700.71428571428578</v>
      </c>
      <c r="G106" s="141">
        <v>700.71428571428578</v>
      </c>
      <c r="H106" s="142"/>
      <c r="I106" s="143"/>
    </row>
    <row r="107" spans="1:9" ht="16" thickBot="1" x14ac:dyDescent="0.25">
      <c r="A107" s="192" t="s">
        <v>226</v>
      </c>
      <c r="B107" s="193"/>
      <c r="C107" s="193"/>
      <c r="D107" s="193"/>
      <c r="E107" s="194"/>
      <c r="F107" s="195"/>
      <c r="G107" s="238">
        <v>49450.714285714283</v>
      </c>
      <c r="H107" s="197">
        <v>0</v>
      </c>
      <c r="I107" s="198">
        <v>14014.285714285714</v>
      </c>
    </row>
    <row r="108" spans="1:9" ht="16" thickBot="1" x14ac:dyDescent="0.25">
      <c r="A108" s="158" t="s">
        <v>227</v>
      </c>
      <c r="B108" s="159">
        <v>63465</v>
      </c>
      <c r="G108" s="199"/>
      <c r="H108" s="199"/>
      <c r="I108" s="199"/>
    </row>
    <row r="109" spans="1:9" x14ac:dyDescent="0.2">
      <c r="A109" s="279"/>
      <c r="B109" s="118"/>
      <c r="G109" s="232"/>
    </row>
    <row r="110" spans="1:9" ht="13.5" customHeight="1" x14ac:dyDescent="0.2"/>
    <row r="114" spans="1:8" x14ac:dyDescent="0.2">
      <c r="H114" s="5" t="s">
        <v>228</v>
      </c>
    </row>
    <row r="115" spans="1:8" ht="43.5" customHeight="1" x14ac:dyDescent="0.2">
      <c r="A115" s="375" t="s">
        <v>310</v>
      </c>
      <c r="B115" s="376"/>
      <c r="E115" s="119" t="s">
        <v>168</v>
      </c>
      <c r="F115" s="120" t="s">
        <v>204</v>
      </c>
      <c r="G115" s="120" t="s">
        <v>205</v>
      </c>
      <c r="H115" s="121" t="s">
        <v>206</v>
      </c>
    </row>
    <row r="116" spans="1:8" ht="16" thickBot="1" x14ac:dyDescent="0.25">
      <c r="A116" s="281"/>
      <c r="B116" s="282"/>
      <c r="C116" s="283"/>
      <c r="D116" s="246"/>
      <c r="E116" s="246"/>
      <c r="F116" s="246"/>
      <c r="G116" s="246"/>
    </row>
    <row r="117" spans="1:8" ht="16" thickBot="1" x14ac:dyDescent="0.25">
      <c r="A117" s="284" t="s">
        <v>207</v>
      </c>
      <c r="B117" s="285" t="s">
        <v>208</v>
      </c>
      <c r="C117" s="286" t="s">
        <v>209</v>
      </c>
      <c r="D117" s="287" t="s">
        <v>210</v>
      </c>
      <c r="E117" s="287" t="s">
        <v>211</v>
      </c>
      <c r="F117" s="287" t="s">
        <v>212</v>
      </c>
      <c r="G117" s="288" t="s">
        <v>213</v>
      </c>
    </row>
    <row r="118" spans="1:8" x14ac:dyDescent="0.2">
      <c r="A118" s="289" t="s">
        <v>263</v>
      </c>
      <c r="B118" s="140" t="s">
        <v>205</v>
      </c>
      <c r="C118" s="133">
        <v>1</v>
      </c>
      <c r="D118" s="186">
        <v>36754.67</v>
      </c>
      <c r="E118" s="141"/>
      <c r="F118" s="142">
        <v>36754.67</v>
      </c>
      <c r="G118" s="143"/>
    </row>
    <row r="119" spans="1:8" x14ac:dyDescent="0.2">
      <c r="A119" s="289" t="s">
        <v>264</v>
      </c>
      <c r="B119" s="140" t="s">
        <v>265</v>
      </c>
      <c r="C119" s="133">
        <v>0.02</v>
      </c>
      <c r="D119" s="186">
        <v>45447</v>
      </c>
      <c r="E119" s="141"/>
      <c r="F119" s="142">
        <v>908.94</v>
      </c>
      <c r="G119" s="143"/>
    </row>
    <row r="120" spans="1:8" x14ac:dyDescent="0.2">
      <c r="A120" s="289" t="s">
        <v>266</v>
      </c>
      <c r="B120" s="140" t="s">
        <v>265</v>
      </c>
      <c r="C120" s="133">
        <v>0.03</v>
      </c>
      <c r="D120" s="186">
        <v>94254</v>
      </c>
      <c r="E120" s="141"/>
      <c r="F120" s="142">
        <v>2827.62</v>
      </c>
      <c r="G120" s="143"/>
    </row>
    <row r="121" spans="1:8" x14ac:dyDescent="0.2">
      <c r="A121" s="289" t="s">
        <v>267</v>
      </c>
      <c r="B121" s="140" t="s">
        <v>254</v>
      </c>
      <c r="C121" s="133">
        <v>6.249913119066975E-2</v>
      </c>
      <c r="D121" s="186">
        <v>206632</v>
      </c>
      <c r="E121" s="141"/>
      <c r="F121" s="142"/>
      <c r="G121" s="143">
        <v>12914.320476190473</v>
      </c>
    </row>
    <row r="122" spans="1:8" x14ac:dyDescent="0.2">
      <c r="A122" s="289" t="s">
        <v>268</v>
      </c>
      <c r="B122" s="140" t="s">
        <v>233</v>
      </c>
      <c r="C122" s="133">
        <v>0.05</v>
      </c>
      <c r="D122" s="186">
        <v>645.71602380952368</v>
      </c>
      <c r="E122" s="141">
        <v>645.71602380952368</v>
      </c>
      <c r="F122" s="142"/>
      <c r="G122" s="143"/>
    </row>
    <row r="123" spans="1:8" ht="16" thickBot="1" x14ac:dyDescent="0.25">
      <c r="A123" s="289" t="s">
        <v>269</v>
      </c>
      <c r="B123" s="140" t="s">
        <v>121</v>
      </c>
      <c r="C123" s="133">
        <v>0.05</v>
      </c>
      <c r="D123" s="186">
        <v>36754.67</v>
      </c>
      <c r="E123" s="141"/>
      <c r="F123" s="142">
        <v>1837.7335</v>
      </c>
      <c r="G123" s="143"/>
    </row>
    <row r="124" spans="1:8" ht="16" thickBot="1" x14ac:dyDescent="0.25">
      <c r="A124" s="192" t="s">
        <v>226</v>
      </c>
      <c r="B124" s="193"/>
      <c r="C124" s="194"/>
      <c r="D124" s="195"/>
      <c r="E124" s="238">
        <v>645.71602380952368</v>
      </c>
      <c r="F124" s="197">
        <v>42328.963500000005</v>
      </c>
      <c r="G124" s="198">
        <v>12914.320476190473</v>
      </c>
    </row>
    <row r="125" spans="1:8" ht="16" thickBot="1" x14ac:dyDescent="0.25">
      <c r="A125" s="158" t="s">
        <v>227</v>
      </c>
      <c r="B125" s="159">
        <v>55889</v>
      </c>
      <c r="C125" s="118"/>
      <c r="D125" s="118"/>
      <c r="E125" s="118"/>
      <c r="F125" s="118"/>
      <c r="G125" s="118"/>
    </row>
    <row r="128" spans="1:8" x14ac:dyDescent="0.2">
      <c r="H128" s="5" t="s">
        <v>228</v>
      </c>
    </row>
    <row r="129" spans="1:8" x14ac:dyDescent="0.2">
      <c r="A129" s="280" t="s">
        <v>293</v>
      </c>
      <c r="B129" s="118"/>
      <c r="C129" s="117"/>
      <c r="D129" s="118"/>
      <c r="E129" s="119" t="s">
        <v>170</v>
      </c>
      <c r="F129" s="120" t="s">
        <v>204</v>
      </c>
      <c r="G129" s="120" t="s">
        <v>229</v>
      </c>
      <c r="H129" s="121" t="s">
        <v>206</v>
      </c>
    </row>
    <row r="130" spans="1:8" ht="16" thickBot="1" x14ac:dyDescent="0.25">
      <c r="A130" s="281"/>
      <c r="B130" s="300"/>
      <c r="C130" s="283"/>
      <c r="D130" s="246"/>
      <c r="E130" s="246"/>
      <c r="F130" s="246"/>
      <c r="G130" s="246"/>
    </row>
    <row r="131" spans="1:8" ht="16" thickBot="1" x14ac:dyDescent="0.25">
      <c r="A131" s="284" t="s">
        <v>207</v>
      </c>
      <c r="B131" s="301" t="s">
        <v>208</v>
      </c>
      <c r="C131" s="286" t="s">
        <v>209</v>
      </c>
      <c r="D131" s="287" t="s">
        <v>210</v>
      </c>
      <c r="E131" s="287" t="s">
        <v>211</v>
      </c>
      <c r="F131" s="287" t="s">
        <v>212</v>
      </c>
      <c r="G131" s="288" t="s">
        <v>213</v>
      </c>
    </row>
    <row r="132" spans="1:8" x14ac:dyDescent="0.2">
      <c r="A132" s="289" t="s">
        <v>294</v>
      </c>
      <c r="B132" s="302" t="s">
        <v>229</v>
      </c>
      <c r="C132" s="133">
        <v>1</v>
      </c>
      <c r="D132" s="186">
        <v>198345</v>
      </c>
      <c r="E132" s="141"/>
      <c r="F132" s="142">
        <f>C132*D132</f>
        <v>198345</v>
      </c>
      <c r="G132" s="143"/>
    </row>
    <row r="133" spans="1:8" x14ac:dyDescent="0.2">
      <c r="A133" s="289" t="s">
        <v>264</v>
      </c>
      <c r="B133" s="140" t="s">
        <v>265</v>
      </c>
      <c r="C133" s="133">
        <v>0.02</v>
      </c>
      <c r="D133" s="186">
        <v>45447</v>
      </c>
      <c r="E133" s="141"/>
      <c r="F133" s="142">
        <f>C133*D133</f>
        <v>908.94</v>
      </c>
      <c r="G133" s="143"/>
    </row>
    <row r="134" spans="1:8" x14ac:dyDescent="0.2">
      <c r="A134" s="289" t="s">
        <v>266</v>
      </c>
      <c r="B134" s="186" t="s">
        <v>265</v>
      </c>
      <c r="C134" s="133">
        <v>0.03</v>
      </c>
      <c r="D134" s="186">
        <v>94254</v>
      </c>
      <c r="E134" s="141"/>
      <c r="F134" s="142">
        <f>C134*D134</f>
        <v>2827.62</v>
      </c>
      <c r="G134" s="143"/>
    </row>
    <row r="135" spans="1:8" x14ac:dyDescent="0.2">
      <c r="A135" s="289" t="s">
        <v>267</v>
      </c>
      <c r="B135" s="302" t="s">
        <v>254</v>
      </c>
      <c r="C135" s="133">
        <v>7.9998384521643262E-2</v>
      </c>
      <c r="D135" s="191">
        <f>(15369*8*1)+(10460*8*1)</f>
        <v>206632</v>
      </c>
      <c r="E135" s="141"/>
      <c r="F135" s="142"/>
      <c r="G135" s="143">
        <f>C135*D135</f>
        <v>16530.226190476191</v>
      </c>
    </row>
    <row r="136" spans="1:8" x14ac:dyDescent="0.2">
      <c r="A136" s="289" t="s">
        <v>268</v>
      </c>
      <c r="B136" s="186" t="s">
        <v>233</v>
      </c>
      <c r="C136" s="133">
        <v>0.05</v>
      </c>
      <c r="D136" s="186">
        <f>C136*G135</f>
        <v>826.51130952380959</v>
      </c>
      <c r="E136" s="141">
        <f>D136</f>
        <v>826.51130952380959</v>
      </c>
      <c r="F136" s="142"/>
      <c r="G136" s="143"/>
    </row>
    <row r="137" spans="1:8" ht="16" thickBot="1" x14ac:dyDescent="0.25">
      <c r="A137" s="289" t="s">
        <v>269</v>
      </c>
      <c r="B137" s="186" t="s">
        <v>121</v>
      </c>
      <c r="C137" s="133">
        <v>0.05</v>
      </c>
      <c r="D137" s="186">
        <v>2654.05</v>
      </c>
      <c r="E137" s="141"/>
      <c r="F137" s="142">
        <f>C137*D137</f>
        <v>132.70250000000001</v>
      </c>
      <c r="G137" s="143"/>
    </row>
    <row r="138" spans="1:8" ht="16" thickBot="1" x14ac:dyDescent="0.25">
      <c r="A138" s="192" t="s">
        <v>226</v>
      </c>
      <c r="B138" s="195"/>
      <c r="C138" s="194"/>
      <c r="D138" s="195"/>
      <c r="E138" s="238">
        <f>SUM(E132:E137)</f>
        <v>826.51130952380959</v>
      </c>
      <c r="F138" s="197">
        <f>SUM(F132:F137)</f>
        <v>202214.26250000001</v>
      </c>
      <c r="G138" s="198">
        <f>SUM(G132:G137)</f>
        <v>16530.226190476191</v>
      </c>
    </row>
    <row r="139" spans="1:8" ht="16" thickBot="1" x14ac:dyDescent="0.25">
      <c r="A139" s="158" t="s">
        <v>227</v>
      </c>
      <c r="B139" s="159">
        <f>E138+F138+G138</f>
        <v>219571</v>
      </c>
      <c r="E139" s="118"/>
      <c r="F139" s="118"/>
      <c r="G139" s="118"/>
    </row>
    <row r="142" spans="1:8" ht="57" customHeight="1" x14ac:dyDescent="0.2">
      <c r="A142" s="375" t="s">
        <v>171</v>
      </c>
      <c r="B142" s="376"/>
      <c r="E142" s="119" t="s">
        <v>198</v>
      </c>
      <c r="F142" s="120" t="s">
        <v>204</v>
      </c>
      <c r="G142" s="120" t="s">
        <v>237</v>
      </c>
      <c r="H142" s="121" t="s">
        <v>206</v>
      </c>
    </row>
    <row r="143" spans="1:8" ht="16" thickBot="1" x14ac:dyDescent="0.25"/>
    <row r="144" spans="1:8" ht="16" thickBot="1" x14ac:dyDescent="0.25">
      <c r="A144" s="284" t="s">
        <v>207</v>
      </c>
      <c r="B144" s="285" t="s">
        <v>208</v>
      </c>
      <c r="C144" s="286" t="s">
        <v>209</v>
      </c>
      <c r="D144" s="287" t="s">
        <v>210</v>
      </c>
      <c r="E144" s="287" t="s">
        <v>211</v>
      </c>
      <c r="F144" s="287" t="s">
        <v>212</v>
      </c>
      <c r="G144" s="288" t="s">
        <v>213</v>
      </c>
    </row>
    <row r="145" spans="1:8" x14ac:dyDescent="0.2">
      <c r="A145" s="183" t="s">
        <v>270</v>
      </c>
      <c r="B145" s="140" t="s">
        <v>229</v>
      </c>
      <c r="C145" s="133">
        <v>1</v>
      </c>
      <c r="D145" s="186">
        <v>9773</v>
      </c>
      <c r="E145" s="141"/>
      <c r="F145" s="142">
        <f>C145*D145</f>
        <v>9773</v>
      </c>
      <c r="G145" s="143"/>
    </row>
    <row r="146" spans="1:8" x14ac:dyDescent="0.2">
      <c r="A146" s="183" t="s">
        <v>271</v>
      </c>
      <c r="B146" s="140" t="s">
        <v>229</v>
      </c>
      <c r="C146" s="133">
        <v>1</v>
      </c>
      <c r="D146" s="186">
        <v>25500</v>
      </c>
      <c r="E146" s="141"/>
      <c r="F146" s="142">
        <f>C146*D146</f>
        <v>25500</v>
      </c>
      <c r="G146" s="143"/>
    </row>
    <row r="147" spans="1:8" x14ac:dyDescent="0.2">
      <c r="A147" s="183" t="s">
        <v>272</v>
      </c>
      <c r="B147" s="140" t="s">
        <v>273</v>
      </c>
      <c r="C147" s="133">
        <v>52.5</v>
      </c>
      <c r="D147" s="186">
        <v>5550</v>
      </c>
      <c r="E147" s="141"/>
      <c r="F147" s="142">
        <f>C147*D147</f>
        <v>291375</v>
      </c>
      <c r="G147" s="143"/>
    </row>
    <row r="148" spans="1:8" x14ac:dyDescent="0.2">
      <c r="A148" s="183" t="s">
        <v>274</v>
      </c>
      <c r="B148" s="140" t="s">
        <v>273</v>
      </c>
      <c r="C148" s="133">
        <v>4</v>
      </c>
      <c r="D148" s="186">
        <v>5550</v>
      </c>
      <c r="E148" s="141"/>
      <c r="F148" s="142">
        <f t="shared" ref="F148:F150" si="0">C148*D148</f>
        <v>22200</v>
      </c>
      <c r="G148" s="143"/>
    </row>
    <row r="149" spans="1:8" x14ac:dyDescent="0.2">
      <c r="A149" s="183" t="s">
        <v>275</v>
      </c>
      <c r="B149" s="140" t="s">
        <v>252</v>
      </c>
      <c r="C149" s="133">
        <v>0.88</v>
      </c>
      <c r="D149" s="290">
        <v>600170</v>
      </c>
      <c r="E149" s="141"/>
      <c r="F149" s="142">
        <f t="shared" si="0"/>
        <v>528149.6</v>
      </c>
      <c r="G149" s="143"/>
    </row>
    <row r="150" spans="1:8" x14ac:dyDescent="0.2">
      <c r="A150" s="183" t="s">
        <v>276</v>
      </c>
      <c r="B150" s="140" t="s">
        <v>252</v>
      </c>
      <c r="C150" s="133">
        <v>0.01</v>
      </c>
      <c r="D150" s="191">
        <v>582202</v>
      </c>
      <c r="E150" s="141"/>
      <c r="F150" s="142">
        <f t="shared" si="0"/>
        <v>5822.02</v>
      </c>
      <c r="G150" s="143"/>
    </row>
    <row r="151" spans="1:8" x14ac:dyDescent="0.2">
      <c r="A151" s="183" t="s">
        <v>277</v>
      </c>
      <c r="B151" s="140" t="s">
        <v>215</v>
      </c>
      <c r="C151" s="133">
        <v>0.76999951694294333</v>
      </c>
      <c r="D151" s="186">
        <f>(15369*8*1)+(10460*8*2)</f>
        <v>290312</v>
      </c>
      <c r="E151" s="141"/>
      <c r="F151" s="142"/>
      <c r="G151" s="143">
        <f>D151/C151</f>
        <v>377028.80795639771</v>
      </c>
    </row>
    <row r="152" spans="1:8" ht="16" thickBot="1" x14ac:dyDescent="0.25">
      <c r="A152" s="183" t="s">
        <v>224</v>
      </c>
      <c r="B152" s="140" t="s">
        <v>225</v>
      </c>
      <c r="C152" s="133">
        <v>0.05</v>
      </c>
      <c r="D152" s="186">
        <f>C152*G151</f>
        <v>18851.440397819886</v>
      </c>
      <c r="E152" s="141">
        <f>C152*D152</f>
        <v>942.5720198909944</v>
      </c>
      <c r="F152" s="142"/>
      <c r="G152" s="143"/>
    </row>
    <row r="153" spans="1:8" ht="16" thickBot="1" x14ac:dyDescent="0.25">
      <c r="A153" s="192" t="s">
        <v>226</v>
      </c>
      <c r="B153" s="193"/>
      <c r="C153" s="194"/>
      <c r="D153" s="195"/>
      <c r="E153" s="238">
        <f>SUM(E145:E152)</f>
        <v>942.5720198909944</v>
      </c>
      <c r="F153" s="197">
        <f>SUM(F145:F152)</f>
        <v>882819.62</v>
      </c>
      <c r="G153" s="198">
        <f>SUM(G145:G152)</f>
        <v>377028.80795639771</v>
      </c>
    </row>
    <row r="154" spans="1:8" ht="16" thickBot="1" x14ac:dyDescent="0.25">
      <c r="A154" s="158" t="s">
        <v>227</v>
      </c>
      <c r="B154" s="291">
        <f>E153+F153+G153</f>
        <v>1260790.9999762888</v>
      </c>
      <c r="E154" s="118"/>
      <c r="F154" s="118"/>
      <c r="G154" s="118"/>
    </row>
    <row r="157" spans="1:8" x14ac:dyDescent="0.2">
      <c r="H157" s="5" t="s">
        <v>228</v>
      </c>
    </row>
    <row r="158" spans="1:8" ht="69" customHeight="1" x14ac:dyDescent="0.2">
      <c r="A158" s="375" t="s">
        <v>278</v>
      </c>
      <c r="B158" s="376"/>
      <c r="E158" s="119" t="s">
        <v>199</v>
      </c>
      <c r="F158" s="120" t="s">
        <v>204</v>
      </c>
      <c r="G158" s="120" t="s">
        <v>229</v>
      </c>
      <c r="H158" s="121" t="s">
        <v>206</v>
      </c>
    </row>
    <row r="159" spans="1:8" ht="16" thickBot="1" x14ac:dyDescent="0.25">
      <c r="A159" s="241"/>
      <c r="B159" s="242"/>
      <c r="C159" s="243"/>
      <c r="D159" s="244"/>
      <c r="E159" s="245"/>
      <c r="F159" s="246"/>
      <c r="G159" s="246"/>
    </row>
    <row r="160" spans="1:8" ht="16" thickBot="1" x14ac:dyDescent="0.25">
      <c r="A160" s="284" t="s">
        <v>207</v>
      </c>
      <c r="B160" s="285" t="s">
        <v>208</v>
      </c>
      <c r="C160" s="286" t="s">
        <v>209</v>
      </c>
      <c r="D160" s="287" t="s">
        <v>210</v>
      </c>
      <c r="E160" s="287" t="s">
        <v>211</v>
      </c>
      <c r="F160" s="287" t="s">
        <v>212</v>
      </c>
      <c r="G160" s="288" t="s">
        <v>213</v>
      </c>
    </row>
    <row r="161" spans="1:8" x14ac:dyDescent="0.2">
      <c r="A161" s="183" t="s">
        <v>270</v>
      </c>
      <c r="B161" s="140" t="s">
        <v>229</v>
      </c>
      <c r="C161" s="133">
        <v>2</v>
      </c>
      <c r="D161" s="186">
        <v>9773</v>
      </c>
      <c r="E161" s="141"/>
      <c r="F161" s="142">
        <v>19546</v>
      </c>
      <c r="G161" s="143"/>
    </row>
    <row r="162" spans="1:8" x14ac:dyDescent="0.2">
      <c r="A162" s="183" t="s">
        <v>279</v>
      </c>
      <c r="B162" s="140" t="s">
        <v>229</v>
      </c>
      <c r="C162" s="133">
        <v>1</v>
      </c>
      <c r="D162" s="186">
        <v>9773</v>
      </c>
      <c r="E162" s="141"/>
      <c r="F162" s="142">
        <v>9773</v>
      </c>
      <c r="G162" s="143"/>
    </row>
    <row r="163" spans="1:8" x14ac:dyDescent="0.2">
      <c r="A163" s="183" t="s">
        <v>280</v>
      </c>
      <c r="B163" s="140" t="s">
        <v>273</v>
      </c>
      <c r="C163" s="133">
        <v>54</v>
      </c>
      <c r="D163" s="292">
        <v>6849</v>
      </c>
      <c r="E163" s="141"/>
      <c r="F163" s="142">
        <v>369846</v>
      </c>
      <c r="G163" s="143"/>
    </row>
    <row r="164" spans="1:8" x14ac:dyDescent="0.2">
      <c r="A164" s="289" t="s">
        <v>281</v>
      </c>
      <c r="B164" s="293" t="s">
        <v>252</v>
      </c>
      <c r="C164" s="294">
        <v>0.49</v>
      </c>
      <c r="D164" s="295">
        <v>668143</v>
      </c>
      <c r="E164" s="141"/>
      <c r="F164" s="142">
        <v>327390.07</v>
      </c>
      <c r="G164" s="143"/>
    </row>
    <row r="165" spans="1:8" ht="28" x14ac:dyDescent="0.2">
      <c r="A165" s="296" t="s">
        <v>282</v>
      </c>
      <c r="B165" s="140" t="s">
        <v>229</v>
      </c>
      <c r="C165" s="133">
        <v>1</v>
      </c>
      <c r="D165" s="297">
        <v>1077164</v>
      </c>
      <c r="E165" s="141"/>
      <c r="F165" s="142">
        <v>1077164</v>
      </c>
      <c r="G165" s="143"/>
    </row>
    <row r="166" spans="1:8" x14ac:dyDescent="0.2">
      <c r="A166" s="183" t="s">
        <v>277</v>
      </c>
      <c r="B166" s="140" t="s">
        <v>215</v>
      </c>
      <c r="C166" s="133">
        <v>1.6</v>
      </c>
      <c r="D166" s="186">
        <v>263900</v>
      </c>
      <c r="E166" s="141"/>
      <c r="F166" s="142"/>
      <c r="G166" s="143">
        <v>164937.5</v>
      </c>
    </row>
    <row r="167" spans="1:8" ht="16" thickBot="1" x14ac:dyDescent="0.25">
      <c r="A167" s="183" t="s">
        <v>224</v>
      </c>
      <c r="B167" s="140" t="s">
        <v>225</v>
      </c>
      <c r="C167" s="133">
        <v>0.05</v>
      </c>
      <c r="D167" s="186">
        <v>164937.5</v>
      </c>
      <c r="E167" s="141">
        <v>8246.875</v>
      </c>
      <c r="F167" s="142"/>
      <c r="G167" s="143"/>
    </row>
    <row r="168" spans="1:8" ht="16" thickBot="1" x14ac:dyDescent="0.25">
      <c r="A168" s="192" t="s">
        <v>226</v>
      </c>
      <c r="B168" s="193"/>
      <c r="C168" s="194"/>
      <c r="D168" s="195"/>
      <c r="E168" s="238">
        <v>8246.875</v>
      </c>
      <c r="F168" s="197">
        <v>1803719.07</v>
      </c>
      <c r="G168" s="198">
        <v>164937.5</v>
      </c>
    </row>
    <row r="169" spans="1:8" ht="16" thickBot="1" x14ac:dyDescent="0.25">
      <c r="A169" s="158" t="s">
        <v>227</v>
      </c>
      <c r="B169" s="298">
        <v>1976903</v>
      </c>
      <c r="E169" s="118"/>
      <c r="F169" s="118"/>
      <c r="G169" s="118"/>
    </row>
    <row r="172" spans="1:8" x14ac:dyDescent="0.2">
      <c r="H172" s="5" t="s">
        <v>228</v>
      </c>
    </row>
    <row r="173" spans="1:8" ht="36" customHeight="1" x14ac:dyDescent="0.2">
      <c r="A173" s="375" t="s">
        <v>283</v>
      </c>
      <c r="B173" s="376"/>
      <c r="E173" s="119" t="s">
        <v>200</v>
      </c>
      <c r="F173" s="120" t="s">
        <v>204</v>
      </c>
      <c r="G173" s="120" t="s">
        <v>219</v>
      </c>
      <c r="H173" s="121" t="s">
        <v>206</v>
      </c>
    </row>
    <row r="174" spans="1:8" ht="16" thickBot="1" x14ac:dyDescent="0.25">
      <c r="A174" s="241"/>
      <c r="B174" s="242"/>
      <c r="C174" s="243"/>
      <c r="D174" s="244"/>
      <c r="E174" s="245"/>
      <c r="F174" s="246"/>
      <c r="G174" s="246"/>
    </row>
    <row r="175" spans="1:8" ht="16" thickBot="1" x14ac:dyDescent="0.25">
      <c r="A175" s="284" t="s">
        <v>207</v>
      </c>
      <c r="B175" s="285" t="s">
        <v>208</v>
      </c>
      <c r="C175" s="286" t="s">
        <v>209</v>
      </c>
      <c r="D175" s="287" t="s">
        <v>210</v>
      </c>
      <c r="E175" s="287" t="s">
        <v>211</v>
      </c>
      <c r="F175" s="287" t="s">
        <v>212</v>
      </c>
      <c r="G175" s="288" t="s">
        <v>213</v>
      </c>
    </row>
    <row r="176" spans="1:8" x14ac:dyDescent="0.2">
      <c r="A176" s="289" t="s">
        <v>284</v>
      </c>
      <c r="B176" s="293" t="s">
        <v>252</v>
      </c>
      <c r="C176" s="294">
        <v>0.3</v>
      </c>
      <c r="D176" s="295">
        <v>560816</v>
      </c>
      <c r="E176" s="141"/>
      <c r="F176" s="142">
        <v>168244.8</v>
      </c>
      <c r="G176" s="143"/>
    </row>
    <row r="177" spans="1:8" x14ac:dyDescent="0.2">
      <c r="A177" s="289" t="s">
        <v>285</v>
      </c>
      <c r="B177" s="293" t="s">
        <v>252</v>
      </c>
      <c r="C177" s="294">
        <v>0.1</v>
      </c>
      <c r="D177" s="295">
        <v>784446</v>
      </c>
      <c r="E177" s="141"/>
      <c r="F177" s="142">
        <v>78444.600000000006</v>
      </c>
      <c r="G177" s="143"/>
    </row>
    <row r="178" spans="1:8" x14ac:dyDescent="0.2">
      <c r="A178" s="183" t="s">
        <v>270</v>
      </c>
      <c r="B178" s="140" t="s">
        <v>229</v>
      </c>
      <c r="C178" s="133">
        <v>2</v>
      </c>
      <c r="D178" s="186">
        <v>9773</v>
      </c>
      <c r="E178" s="141"/>
      <c r="F178" s="142">
        <v>19546</v>
      </c>
      <c r="G178" s="143"/>
    </row>
    <row r="179" spans="1:8" x14ac:dyDescent="0.2">
      <c r="A179" s="183" t="s">
        <v>279</v>
      </c>
      <c r="B179" s="140" t="s">
        <v>229</v>
      </c>
      <c r="C179" s="133">
        <v>1</v>
      </c>
      <c r="D179" s="186">
        <v>9773</v>
      </c>
      <c r="E179" s="141"/>
      <c r="F179" s="142">
        <v>9773</v>
      </c>
      <c r="G179" s="143"/>
    </row>
    <row r="180" spans="1:8" x14ac:dyDescent="0.2">
      <c r="A180" s="183" t="s">
        <v>277</v>
      </c>
      <c r="B180" s="140" t="s">
        <v>215</v>
      </c>
      <c r="C180" s="133">
        <v>1.2917737813306471</v>
      </c>
      <c r="D180" s="186">
        <v>263900</v>
      </c>
      <c r="E180" s="141"/>
      <c r="F180" s="142"/>
      <c r="G180" s="143">
        <v>204292.7359372153</v>
      </c>
    </row>
    <row r="181" spans="1:8" ht="16" thickBot="1" x14ac:dyDescent="0.25">
      <c r="A181" s="183" t="s">
        <v>224</v>
      </c>
      <c r="B181" s="140" t="s">
        <v>225</v>
      </c>
      <c r="C181" s="133">
        <v>0.05</v>
      </c>
      <c r="D181" s="186">
        <v>204292.7359372153</v>
      </c>
      <c r="E181" s="141">
        <v>10214.636796860766</v>
      </c>
      <c r="F181" s="142"/>
      <c r="G181" s="143"/>
    </row>
    <row r="182" spans="1:8" ht="16" thickBot="1" x14ac:dyDescent="0.25">
      <c r="A182" s="192" t="s">
        <v>226</v>
      </c>
      <c r="B182" s="193"/>
      <c r="C182" s="194"/>
      <c r="D182" s="195"/>
      <c r="E182" s="238">
        <v>10214.636796860766</v>
      </c>
      <c r="F182" s="197">
        <v>276008.40000000002</v>
      </c>
      <c r="G182" s="198">
        <v>204292.7359372153</v>
      </c>
    </row>
    <row r="183" spans="1:8" ht="16" thickBot="1" x14ac:dyDescent="0.25">
      <c r="A183" s="158" t="s">
        <v>227</v>
      </c>
      <c r="B183" s="299">
        <v>490516</v>
      </c>
      <c r="E183" s="118"/>
      <c r="F183" s="118"/>
      <c r="G183" s="118"/>
    </row>
    <row r="187" spans="1:8" x14ac:dyDescent="0.2">
      <c r="H187" s="5" t="s">
        <v>228</v>
      </c>
    </row>
    <row r="188" spans="1:8" ht="27.75" customHeight="1" x14ac:dyDescent="0.2">
      <c r="A188" s="375" t="s">
        <v>174</v>
      </c>
      <c r="B188" s="377"/>
      <c r="C188" s="376"/>
      <c r="D188" s="118"/>
      <c r="E188" s="119" t="s">
        <v>201</v>
      </c>
      <c r="F188" s="120" t="s">
        <v>204</v>
      </c>
      <c r="G188" s="120" t="s">
        <v>229</v>
      </c>
      <c r="H188" s="121" t="s">
        <v>206</v>
      </c>
    </row>
    <row r="189" spans="1:8" ht="16" thickBot="1" x14ac:dyDescent="0.25">
      <c r="A189" s="281"/>
      <c r="B189" s="300"/>
      <c r="C189" s="283"/>
      <c r="D189" s="246"/>
      <c r="E189" s="246"/>
      <c r="F189" s="246"/>
      <c r="G189" s="246"/>
    </row>
    <row r="190" spans="1:8" ht="16" thickBot="1" x14ac:dyDescent="0.25">
      <c r="A190" s="284" t="s">
        <v>207</v>
      </c>
      <c r="B190" s="301" t="s">
        <v>208</v>
      </c>
      <c r="C190" s="286" t="s">
        <v>209</v>
      </c>
      <c r="D190" s="287" t="s">
        <v>210</v>
      </c>
      <c r="E190" s="287" t="s">
        <v>211</v>
      </c>
      <c r="F190" s="287" t="s">
        <v>212</v>
      </c>
      <c r="G190" s="288" t="s">
        <v>213</v>
      </c>
    </row>
    <row r="191" spans="1:8" x14ac:dyDescent="0.2">
      <c r="A191" s="138" t="s">
        <v>286</v>
      </c>
      <c r="B191" s="302" t="s">
        <v>51</v>
      </c>
      <c r="C191" s="133">
        <v>0.05</v>
      </c>
      <c r="D191" s="295">
        <v>524937</v>
      </c>
      <c r="E191" s="141"/>
      <c r="F191" s="142">
        <v>26246.850000000002</v>
      </c>
      <c r="G191" s="143"/>
    </row>
    <row r="192" spans="1:8" x14ac:dyDescent="0.2">
      <c r="A192" s="138" t="s">
        <v>287</v>
      </c>
      <c r="B192" s="302" t="s">
        <v>288</v>
      </c>
      <c r="C192" s="133">
        <v>0.1</v>
      </c>
      <c r="D192" s="295">
        <v>143900</v>
      </c>
      <c r="E192" s="303"/>
      <c r="F192" s="304">
        <v>14390</v>
      </c>
      <c r="G192" s="143"/>
    </row>
    <row r="193" spans="1:8" x14ac:dyDescent="0.2">
      <c r="A193" s="138" t="s">
        <v>267</v>
      </c>
      <c r="B193" s="302" t="s">
        <v>254</v>
      </c>
      <c r="C193" s="133">
        <v>0.24999952597015249</v>
      </c>
      <c r="D193" s="191">
        <v>206632</v>
      </c>
      <c r="E193" s="141"/>
      <c r="F193" s="142"/>
      <c r="G193" s="143">
        <v>51657.902050264551</v>
      </c>
    </row>
    <row r="194" spans="1:8" x14ac:dyDescent="0.2">
      <c r="A194" s="138" t="s">
        <v>268</v>
      </c>
      <c r="B194" s="186" t="s">
        <v>233</v>
      </c>
      <c r="C194" s="133">
        <v>0.08</v>
      </c>
      <c r="D194" s="186">
        <v>4132.6321640211645</v>
      </c>
      <c r="E194" s="141">
        <v>4132.6321640211645</v>
      </c>
      <c r="F194" s="142"/>
      <c r="G194" s="143"/>
    </row>
    <row r="195" spans="1:8" ht="16" thickBot="1" x14ac:dyDescent="0.25">
      <c r="A195" s="138" t="s">
        <v>269</v>
      </c>
      <c r="B195" s="186" t="s">
        <v>121</v>
      </c>
      <c r="C195" s="133">
        <v>0.02</v>
      </c>
      <c r="D195" s="186">
        <v>15430.789285714285</v>
      </c>
      <c r="E195" s="141"/>
      <c r="F195" s="142">
        <v>308.61578571428572</v>
      </c>
      <c r="G195" s="143"/>
    </row>
    <row r="196" spans="1:8" ht="16" thickBot="1" x14ac:dyDescent="0.25">
      <c r="A196" s="192" t="s">
        <v>226</v>
      </c>
      <c r="B196" s="195"/>
      <c r="C196" s="194"/>
      <c r="D196" s="195"/>
      <c r="E196" s="238">
        <v>4132.6321640211645</v>
      </c>
      <c r="F196" s="197">
        <v>40945.465785714288</v>
      </c>
      <c r="G196" s="198">
        <v>51657.902050264551</v>
      </c>
    </row>
    <row r="197" spans="1:8" ht="16" thickBot="1" x14ac:dyDescent="0.25">
      <c r="A197" s="158" t="s">
        <v>227</v>
      </c>
      <c r="B197" s="291">
        <v>96736</v>
      </c>
      <c r="E197" s="118"/>
      <c r="F197" s="118"/>
      <c r="G197" s="118"/>
    </row>
    <row r="201" spans="1:8" x14ac:dyDescent="0.2">
      <c r="H201" s="5" t="s">
        <v>228</v>
      </c>
    </row>
    <row r="202" spans="1:8" ht="34.5" customHeight="1" x14ac:dyDescent="0.2">
      <c r="A202" s="378" t="s">
        <v>289</v>
      </c>
      <c r="B202" s="378"/>
      <c r="C202" s="117"/>
      <c r="D202" s="118"/>
      <c r="E202" s="119" t="s">
        <v>203</v>
      </c>
      <c r="F202" s="120" t="s">
        <v>204</v>
      </c>
      <c r="G202" s="120" t="s">
        <v>44</v>
      </c>
      <c r="H202" s="121" t="s">
        <v>206</v>
      </c>
    </row>
    <row r="203" spans="1:8" ht="16" thickBot="1" x14ac:dyDescent="0.25">
      <c r="A203" s="281"/>
      <c r="B203" s="282"/>
      <c r="C203" s="283"/>
      <c r="D203" s="246"/>
      <c r="E203" s="246"/>
      <c r="F203" s="246"/>
      <c r="G203" s="246"/>
    </row>
    <row r="204" spans="1:8" ht="16" thickBot="1" x14ac:dyDescent="0.25">
      <c r="A204" s="305" t="s">
        <v>207</v>
      </c>
      <c r="B204" s="285" t="s">
        <v>208</v>
      </c>
      <c r="C204" s="286" t="s">
        <v>209</v>
      </c>
      <c r="D204" s="287" t="s">
        <v>210</v>
      </c>
      <c r="E204" s="129" t="s">
        <v>211</v>
      </c>
      <c r="F204" s="129" t="s">
        <v>212</v>
      </c>
      <c r="G204" s="130" t="s">
        <v>213</v>
      </c>
    </row>
    <row r="205" spans="1:8" x14ac:dyDescent="0.2">
      <c r="A205" s="183" t="s">
        <v>290</v>
      </c>
      <c r="B205" s="140" t="s">
        <v>219</v>
      </c>
      <c r="C205" s="133">
        <v>2.5999999999999999E-2</v>
      </c>
      <c r="D205" s="306">
        <v>415458</v>
      </c>
      <c r="E205" s="167">
        <v>10801.907999999999</v>
      </c>
      <c r="F205" s="307"/>
      <c r="G205" s="167"/>
    </row>
    <row r="206" spans="1:8" x14ac:dyDescent="0.2">
      <c r="A206" s="308" t="s">
        <v>291</v>
      </c>
      <c r="B206" s="140" t="s">
        <v>292</v>
      </c>
      <c r="C206" s="309">
        <v>5.0000867547227115E-2</v>
      </c>
      <c r="D206" s="306">
        <v>122952</v>
      </c>
      <c r="E206" s="167"/>
      <c r="F206" s="167"/>
      <c r="G206" s="167">
        <v>6147.7066666666678</v>
      </c>
    </row>
    <row r="207" spans="1:8" ht="16" thickBot="1" x14ac:dyDescent="0.25">
      <c r="A207" s="308" t="s">
        <v>224</v>
      </c>
      <c r="B207" s="140" t="s">
        <v>233</v>
      </c>
      <c r="C207" s="133">
        <v>0.05</v>
      </c>
      <c r="D207" s="306">
        <v>307.38533333333339</v>
      </c>
      <c r="E207" s="167">
        <v>307.38533333333339</v>
      </c>
      <c r="F207" s="167"/>
      <c r="G207" s="167"/>
    </row>
    <row r="208" spans="1:8" ht="16" thickBot="1" x14ac:dyDescent="0.25">
      <c r="A208" s="310" t="s">
        <v>226</v>
      </c>
      <c r="B208" s="193"/>
      <c r="C208" s="194"/>
      <c r="D208" s="195"/>
      <c r="E208" s="173">
        <v>11109.293333333333</v>
      </c>
      <c r="F208" s="174">
        <v>0</v>
      </c>
      <c r="G208" s="175">
        <v>6147.7066666666678</v>
      </c>
    </row>
    <row r="209" spans="1:7" ht="16" thickBot="1" x14ac:dyDescent="0.25">
      <c r="A209" s="158" t="s">
        <v>227</v>
      </c>
      <c r="B209" s="159">
        <v>17257</v>
      </c>
      <c r="E209" s="118"/>
      <c r="F209" s="118"/>
      <c r="G209" s="118"/>
    </row>
  </sheetData>
  <mergeCells count="15">
    <mergeCell ref="A158:B158"/>
    <mergeCell ref="A173:B173"/>
    <mergeCell ref="A188:C188"/>
    <mergeCell ref="A202:B202"/>
    <mergeCell ref="A65:B65"/>
    <mergeCell ref="A88:B88"/>
    <mergeCell ref="A101:B101"/>
    <mergeCell ref="A115:B115"/>
    <mergeCell ref="A142:B142"/>
    <mergeCell ref="A76:B76"/>
    <mergeCell ref="A3:B3"/>
    <mergeCell ref="A17:B17"/>
    <mergeCell ref="A28:B28"/>
    <mergeCell ref="A40:B40"/>
    <mergeCell ref="A53:B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86D85-533A-40C5-9037-A15A1783F003}">
  <sheetPr>
    <tabColor theme="4" tint="-0.499984740745262"/>
  </sheetPr>
  <dimension ref="B3:G41"/>
  <sheetViews>
    <sheetView topLeftCell="B11" zoomScale="90" zoomScaleNormal="90" workbookViewId="0">
      <selection activeCell="C41" sqref="C41"/>
    </sheetView>
  </sheetViews>
  <sheetFormatPr baseColWidth="10" defaultRowHeight="15" x14ac:dyDescent="0.2"/>
  <cols>
    <col min="2" max="2" width="63" customWidth="1"/>
    <col min="3" max="3" width="13.33203125" customWidth="1"/>
    <col min="4" max="4" width="16" customWidth="1"/>
    <col min="5" max="5" width="17.5" customWidth="1"/>
    <col min="6" max="6" width="17.1640625" customWidth="1"/>
  </cols>
  <sheetData>
    <row r="3" spans="2:7" ht="24" x14ac:dyDescent="0.2">
      <c r="B3" s="316" t="s">
        <v>207</v>
      </c>
      <c r="C3" s="316" t="s">
        <v>208</v>
      </c>
      <c r="D3" s="316" t="s">
        <v>259</v>
      </c>
      <c r="E3" s="317" t="s">
        <v>297</v>
      </c>
      <c r="F3" s="317" t="s">
        <v>298</v>
      </c>
      <c r="G3" s="318" t="s">
        <v>299</v>
      </c>
    </row>
    <row r="4" spans="2:7" x14ac:dyDescent="0.2">
      <c r="B4" s="316" t="s">
        <v>300</v>
      </c>
      <c r="C4" s="316"/>
      <c r="D4" s="316"/>
      <c r="E4" s="316"/>
      <c r="F4" s="324">
        <f>+SUM(F5:F11)</f>
        <v>42073781</v>
      </c>
      <c r="G4" s="325">
        <f>+F4/$F$22</f>
        <v>0.46240495393313102</v>
      </c>
    </row>
    <row r="5" spans="2:7" ht="48" x14ac:dyDescent="0.2">
      <c r="B5" s="320" t="s">
        <v>171</v>
      </c>
      <c r="C5" s="6" t="s">
        <v>44</v>
      </c>
      <c r="D5" s="6">
        <v>5</v>
      </c>
      <c r="E5" s="321">
        <v>1260791</v>
      </c>
      <c r="F5" s="321">
        <f>+E5*D5</f>
        <v>6303955</v>
      </c>
      <c r="G5" s="325">
        <f t="shared" ref="G5:G21" si="0">+F5/$F$22</f>
        <v>6.928257817788068E-2</v>
      </c>
    </row>
    <row r="6" spans="2:7" ht="48" x14ac:dyDescent="0.2">
      <c r="B6" s="320" t="s">
        <v>64</v>
      </c>
      <c r="C6" s="6" t="s">
        <v>46</v>
      </c>
      <c r="D6" s="6">
        <v>2</v>
      </c>
      <c r="E6" s="321">
        <v>1976903</v>
      </c>
      <c r="F6" s="321">
        <f t="shared" ref="F6:F11" si="1">+E6*D6</f>
        <v>3953806</v>
      </c>
      <c r="G6" s="325">
        <f t="shared" si="0"/>
        <v>4.345365303133885E-2</v>
      </c>
    </row>
    <row r="7" spans="2:7" ht="16" x14ac:dyDescent="0.2">
      <c r="B7" s="320" t="s">
        <v>172</v>
      </c>
      <c r="C7" s="6" t="s">
        <v>46</v>
      </c>
      <c r="D7" s="6">
        <v>2</v>
      </c>
      <c r="E7" s="321">
        <v>490516</v>
      </c>
      <c r="F7" s="321">
        <f t="shared" si="1"/>
        <v>981032</v>
      </c>
      <c r="G7" s="325">
        <f t="shared" si="0"/>
        <v>1.0781870466239471E-2</v>
      </c>
    </row>
    <row r="8" spans="2:7" ht="64" x14ac:dyDescent="0.2">
      <c r="B8" s="320" t="s">
        <v>173</v>
      </c>
      <c r="C8" s="6" t="s">
        <v>46</v>
      </c>
      <c r="D8" s="6">
        <v>11</v>
      </c>
      <c r="E8" s="321">
        <v>546087</v>
      </c>
      <c r="F8" s="321">
        <f t="shared" si="1"/>
        <v>6006957</v>
      </c>
      <c r="G8" s="325">
        <f t="shared" si="0"/>
        <v>6.6018470621009767E-2</v>
      </c>
    </row>
    <row r="9" spans="2:7" ht="32" x14ac:dyDescent="0.2">
      <c r="B9" s="320" t="s">
        <v>174</v>
      </c>
      <c r="C9" s="6" t="s">
        <v>46</v>
      </c>
      <c r="D9" s="6">
        <v>1</v>
      </c>
      <c r="E9" s="321">
        <v>96736</v>
      </c>
      <c r="F9" s="321">
        <f t="shared" si="1"/>
        <v>96736</v>
      </c>
      <c r="G9" s="325">
        <f t="shared" si="0"/>
        <v>1.0631610604161144E-3</v>
      </c>
    </row>
    <row r="10" spans="2:7" ht="16" x14ac:dyDescent="0.2">
      <c r="B10" s="320" t="s">
        <v>177</v>
      </c>
      <c r="C10" s="6" t="s">
        <v>56</v>
      </c>
      <c r="D10" s="6">
        <v>11</v>
      </c>
      <c r="E10" s="321">
        <v>123777</v>
      </c>
      <c r="F10" s="321">
        <f t="shared" si="1"/>
        <v>1361547</v>
      </c>
      <c r="G10" s="325">
        <f t="shared" si="0"/>
        <v>1.4963857843268062E-2</v>
      </c>
    </row>
    <row r="11" spans="2:7" ht="32" x14ac:dyDescent="0.2">
      <c r="B11" s="320" t="s">
        <v>178</v>
      </c>
      <c r="C11" s="6" t="s">
        <v>51</v>
      </c>
      <c r="D11" s="6">
        <v>23</v>
      </c>
      <c r="E11" s="321">
        <v>1016076</v>
      </c>
      <c r="F11" s="321">
        <f t="shared" si="1"/>
        <v>23369748</v>
      </c>
      <c r="G11" s="325">
        <f t="shared" si="0"/>
        <v>0.25684136273297808</v>
      </c>
    </row>
    <row r="12" spans="2:7" x14ac:dyDescent="0.2">
      <c r="B12" s="316" t="s">
        <v>301</v>
      </c>
      <c r="C12" s="316"/>
      <c r="D12" s="316"/>
      <c r="E12" s="316"/>
      <c r="F12" s="324">
        <f>+SUM(F13:F15)</f>
        <v>21158394</v>
      </c>
      <c r="G12" s="325">
        <f t="shared" si="0"/>
        <v>0.23253784115264173</v>
      </c>
    </row>
    <row r="13" spans="2:7" x14ac:dyDescent="0.2">
      <c r="B13" s="4" t="s">
        <v>59</v>
      </c>
      <c r="C13" s="6" t="s">
        <v>44</v>
      </c>
      <c r="D13" s="6">
        <v>66</v>
      </c>
      <c r="E13" s="321">
        <v>55889</v>
      </c>
      <c r="F13" s="322">
        <f>+E13*D13</f>
        <v>3688674</v>
      </c>
      <c r="G13" s="325">
        <f t="shared" si="0"/>
        <v>4.0539763494142303E-2</v>
      </c>
    </row>
    <row r="14" spans="2:7" x14ac:dyDescent="0.2">
      <c r="B14" s="4" t="s">
        <v>60</v>
      </c>
      <c r="C14" s="6" t="s">
        <v>44</v>
      </c>
      <c r="D14" s="6">
        <v>89</v>
      </c>
      <c r="E14" s="321">
        <v>169151</v>
      </c>
      <c r="F14" s="322">
        <f t="shared" ref="F14:F15" si="2">+E14*D14</f>
        <v>15054439</v>
      </c>
      <c r="G14" s="325">
        <f t="shared" si="0"/>
        <v>0.16545333000340831</v>
      </c>
    </row>
    <row r="15" spans="2:7" x14ac:dyDescent="0.2">
      <c r="B15" s="4" t="s">
        <v>61</v>
      </c>
      <c r="C15" s="6" t="s">
        <v>46</v>
      </c>
      <c r="D15" s="6">
        <v>11</v>
      </c>
      <c r="E15" s="321">
        <v>219571</v>
      </c>
      <c r="F15" s="322">
        <f t="shared" si="2"/>
        <v>2415281</v>
      </c>
      <c r="G15" s="325">
        <f t="shared" si="0"/>
        <v>2.6544747655091103E-2</v>
      </c>
    </row>
    <row r="16" spans="2:7" x14ac:dyDescent="0.2">
      <c r="B16" s="316" t="s">
        <v>302</v>
      </c>
      <c r="C16" s="316"/>
      <c r="D16" s="316"/>
      <c r="E16" s="316"/>
      <c r="F16" s="324">
        <f>+SUM(F17:F21)</f>
        <v>27756861</v>
      </c>
      <c r="G16" s="325">
        <f t="shared" si="0"/>
        <v>0.30505720491422728</v>
      </c>
    </row>
    <row r="17" spans="2:7" x14ac:dyDescent="0.2">
      <c r="B17" s="319" t="s">
        <v>141</v>
      </c>
      <c r="C17" s="18" t="s">
        <v>44</v>
      </c>
      <c r="D17" s="20">
        <v>183</v>
      </c>
      <c r="E17" s="22">
        <v>17017</v>
      </c>
      <c r="F17" s="323">
        <f>+E17*D17</f>
        <v>3114111</v>
      </c>
      <c r="G17" s="325">
        <f t="shared" si="0"/>
        <v>3.4225123563238979E-2</v>
      </c>
    </row>
    <row r="18" spans="2:7" x14ac:dyDescent="0.2">
      <c r="B18" s="319" t="s">
        <v>142</v>
      </c>
      <c r="C18" s="18" t="s">
        <v>46</v>
      </c>
      <c r="D18" s="20">
        <v>4</v>
      </c>
      <c r="E18" s="22">
        <v>12786</v>
      </c>
      <c r="F18" s="323">
        <f t="shared" ref="F18:F21" si="3">+E18*D18</f>
        <v>51144</v>
      </c>
      <c r="G18" s="325">
        <f t="shared" si="0"/>
        <v>5.620897005656813E-4</v>
      </c>
    </row>
    <row r="19" spans="2:7" ht="32" x14ac:dyDescent="0.2">
      <c r="B19" s="320" t="s">
        <v>159</v>
      </c>
      <c r="C19" s="6" t="s">
        <v>51</v>
      </c>
      <c r="D19" s="6">
        <v>24</v>
      </c>
      <c r="E19" s="321">
        <v>152243</v>
      </c>
      <c r="F19" s="323">
        <f t="shared" si="3"/>
        <v>3653832</v>
      </c>
      <c r="G19" s="325">
        <f t="shared" si="0"/>
        <v>4.015683823708166E-2</v>
      </c>
    </row>
    <row r="20" spans="2:7" ht="16" x14ac:dyDescent="0.2">
      <c r="B20" s="320" t="s">
        <v>161</v>
      </c>
      <c r="C20" s="6" t="s">
        <v>51</v>
      </c>
      <c r="D20" s="6">
        <v>168</v>
      </c>
      <c r="E20" s="321">
        <v>98483</v>
      </c>
      <c r="F20" s="323">
        <f t="shared" si="3"/>
        <v>16545144</v>
      </c>
      <c r="G20" s="325">
        <f t="shared" si="0"/>
        <v>0.18183667755310651</v>
      </c>
    </row>
    <row r="21" spans="2:7" ht="32" x14ac:dyDescent="0.2">
      <c r="B21" s="320" t="s">
        <v>164</v>
      </c>
      <c r="C21" s="6" t="s">
        <v>51</v>
      </c>
      <c r="D21" s="6">
        <v>22</v>
      </c>
      <c r="E21" s="321">
        <v>199665</v>
      </c>
      <c r="F21" s="323">
        <f t="shared" si="3"/>
        <v>4392630</v>
      </c>
      <c r="G21" s="325">
        <f t="shared" si="0"/>
        <v>4.8276475860234411E-2</v>
      </c>
    </row>
    <row r="22" spans="2:7" x14ac:dyDescent="0.2">
      <c r="B22">
        <v>3</v>
      </c>
      <c r="F22" s="326">
        <f>+F16+F12+F4</f>
        <v>90989036</v>
      </c>
    </row>
    <row r="24" spans="2:7" x14ac:dyDescent="0.2">
      <c r="B24" t="s">
        <v>304</v>
      </c>
    </row>
    <row r="26" spans="2:7" ht="36" x14ac:dyDescent="0.2">
      <c r="B26" s="316" t="s">
        <v>207</v>
      </c>
      <c r="C26" s="327" t="s">
        <v>299</v>
      </c>
      <c r="D26" s="327" t="s">
        <v>303</v>
      </c>
    </row>
    <row r="27" spans="2:7" x14ac:dyDescent="0.2">
      <c r="B27" s="316" t="s">
        <v>300</v>
      </c>
      <c r="C27" s="328">
        <v>0.46240495393313102</v>
      </c>
      <c r="D27" s="329">
        <f>+C27</f>
        <v>0.46240495393313102</v>
      </c>
    </row>
    <row r="28" spans="2:7" x14ac:dyDescent="0.2">
      <c r="B28" s="316" t="s">
        <v>301</v>
      </c>
      <c r="C28" s="328">
        <v>0.23253784115264173</v>
      </c>
      <c r="D28" s="329">
        <f>+D27+C28</f>
        <v>0.69494279508577272</v>
      </c>
    </row>
    <row r="29" spans="2:7" ht="16" x14ac:dyDescent="0.2">
      <c r="B29" s="320" t="s">
        <v>161</v>
      </c>
      <c r="C29" s="328">
        <v>0.18183667755310651</v>
      </c>
      <c r="D29" s="329">
        <f t="shared" ref="D29:D33" si="4">+D28+C29</f>
        <v>0.87677947263887923</v>
      </c>
    </row>
    <row r="30" spans="2:7" ht="32" x14ac:dyDescent="0.2">
      <c r="B30" s="320" t="s">
        <v>164</v>
      </c>
      <c r="C30" s="328">
        <v>4.8276475860234411E-2</v>
      </c>
      <c r="D30" s="329">
        <f t="shared" si="4"/>
        <v>0.92505594849911366</v>
      </c>
    </row>
    <row r="31" spans="2:7" ht="32" x14ac:dyDescent="0.2">
      <c r="B31" s="320" t="s">
        <v>159</v>
      </c>
      <c r="C31" s="328">
        <v>4.015683823708166E-2</v>
      </c>
      <c r="D31" s="329">
        <f t="shared" si="4"/>
        <v>0.96521278673619526</v>
      </c>
    </row>
    <row r="32" spans="2:7" x14ac:dyDescent="0.2">
      <c r="B32" s="319" t="s">
        <v>141</v>
      </c>
      <c r="C32" s="328">
        <v>3.4225123563238979E-2</v>
      </c>
      <c r="D32" s="329">
        <f t="shared" si="4"/>
        <v>0.99943791029943418</v>
      </c>
    </row>
    <row r="33" spans="2:4" x14ac:dyDescent="0.2">
      <c r="B33" s="319" t="s">
        <v>142</v>
      </c>
      <c r="C33" s="328">
        <v>5.620897005656813E-4</v>
      </c>
      <c r="D33" s="329">
        <f t="shared" si="4"/>
        <v>0.99999999999999989</v>
      </c>
    </row>
    <row r="36" spans="2:4" x14ac:dyDescent="0.2">
      <c r="B36" s="316" t="s">
        <v>300</v>
      </c>
      <c r="C36" s="328">
        <v>0.46240495393313102</v>
      </c>
    </row>
    <row r="37" spans="2:4" x14ac:dyDescent="0.2">
      <c r="B37" s="316" t="s">
        <v>301</v>
      </c>
      <c r="C37" s="328">
        <v>0.23253784115264173</v>
      </c>
    </row>
    <row r="38" spans="2:4" x14ac:dyDescent="0.2">
      <c r="C38" s="329">
        <f>+AVERAGE(C36:C37)</f>
        <v>0.34747139754288636</v>
      </c>
    </row>
    <row r="40" spans="2:4" x14ac:dyDescent="0.2">
      <c r="B40" s="5" t="s">
        <v>305</v>
      </c>
    </row>
    <row r="41" spans="2:4" x14ac:dyDescent="0.2">
      <c r="B41" s="330" t="s">
        <v>300</v>
      </c>
      <c r="C41" s="5">
        <v>46.24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PRESUPUESTO</vt:lpstr>
      <vt:lpstr>AIU</vt:lpstr>
      <vt:lpstr>CANTIDADES</vt:lpstr>
      <vt:lpstr>APUs</vt:lpstr>
      <vt:lpstr>BIENES RELEVANTES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ocoro</dc:creator>
  <cp:lastModifiedBy>Sebastian Pelaez</cp:lastModifiedBy>
  <cp:lastPrinted>2025-08-11T14:52:31Z</cp:lastPrinted>
  <dcterms:created xsi:type="dcterms:W3CDTF">2025-06-18T15:50:09Z</dcterms:created>
  <dcterms:modified xsi:type="dcterms:W3CDTF">2025-09-01T20:11:01Z</dcterms:modified>
</cp:coreProperties>
</file>