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F:\MINISTERIO 2025\OBRA VILLA ADELAIDA\DOC PARA PUBLICAR\"/>
    </mc:Choice>
  </mc:AlternateContent>
  <xr:revisionPtr revIDLastSave="0" documentId="8_{0445F825-C953-4A40-8DEB-03313E7D293F}" xr6:coauthVersionLast="47" xr6:coauthVersionMax="47" xr10:uidLastSave="{00000000-0000-0000-0000-000000000000}"/>
  <bookViews>
    <workbookView xWindow="-108" yWindow="-108" windowWidth="23256" windowHeight="12456" activeTab="2" xr2:uid="{C8AB44DD-8FC8-4B3B-8823-7F63C795EB48}"/>
  </bookViews>
  <sheets>
    <sheet name="PRESUPUESTO" sheetId="1" r:id="rId1"/>
    <sheet name="AIU" sheetId="2" r:id="rId2"/>
    <sheet name="FORMULARIO OFERTA ECONOMICA" sheetId="3" r:id="rId3"/>
  </sheets>
  <definedNames>
    <definedName name="\0" localSheetId="1">#REF!</definedName>
    <definedName name="\0">#REF!</definedName>
    <definedName name="\00" localSheetId="1">#REF!</definedName>
    <definedName name="\00">#REF!</definedName>
    <definedName name="\a" localSheetId="1">#REF!</definedName>
    <definedName name="\a">#REF!</definedName>
    <definedName name="\AA" localSheetId="1">#REF!</definedName>
    <definedName name="\AA">#REF!</definedName>
    <definedName name="\b" localSheetId="1">#REF!</definedName>
    <definedName name="\b">#REF!</definedName>
    <definedName name="\bb" localSheetId="1">#REF!</definedName>
    <definedName name="\bb">#REF!</definedName>
    <definedName name="\c">#REF!</definedName>
    <definedName name="\E" localSheetId="1">#REF!</definedName>
    <definedName name="\E">#REF!</definedName>
    <definedName name="\EE" localSheetId="1">#REF!</definedName>
    <definedName name="\EE">#REF!</definedName>
    <definedName name="\G" localSheetId="1">#REF!</definedName>
    <definedName name="\G">#REF!</definedName>
    <definedName name="\i">#REF!</definedName>
    <definedName name="\k" localSheetId="1">#REF!</definedName>
    <definedName name="\k">#REF!</definedName>
    <definedName name="\l" localSheetId="1">#REF!</definedName>
    <definedName name="\l">#REF!</definedName>
    <definedName name="\M" localSheetId="1">#REF!</definedName>
    <definedName name="\M">#REF!</definedName>
    <definedName name="\ñ" localSheetId="1">#REF!</definedName>
    <definedName name="\ñ">#REF!</definedName>
    <definedName name="\P" localSheetId="1">#REF!</definedName>
    <definedName name="\P">#REF!</definedName>
    <definedName name="\R" localSheetId="1">#REF!</definedName>
    <definedName name="\R">#REF!</definedName>
    <definedName name="\s" localSheetId="1">#REF!</definedName>
    <definedName name="\s">#REF!</definedName>
    <definedName name="\t">#REF!</definedName>
    <definedName name="\V">#REF!</definedName>
    <definedName name="\X" localSheetId="1">AIU!ERR</definedName>
    <definedName name="\X">[0]!ERR</definedName>
    <definedName name="\Z" localSheetId="1">AIU!ERR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 localSheetId="1">IF([0]!Values_Entered,[0]!Header_Row+[0]!Number_of_Payments,[0]!Header_Row)</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G1">#N/A</definedName>
    <definedName name="__________________i1">#REF!</definedName>
    <definedName name="__________________MA2">#REF!</definedName>
    <definedName name="__________________PJ50">#REF!</definedName>
    <definedName name="__________________SBC1">#REF!</definedName>
    <definedName name="__________________SBC3">#REF!</definedName>
    <definedName name="__________________SBC5">#REF!</definedName>
    <definedName name="__________________v1" localSheetId="1">IF(__________________v8,[0]!Header_Row+__________________v4,[0]!Header_Row)</definedName>
    <definedName name="__________________v1">IF(__________________v8,[0]!Header_Row+__________________v4,[0]!Header_Row)</definedName>
    <definedName name="__________________v2" localSheetId="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1">Scheduled_Payment+Extra_Payment</definedName>
    <definedName name="__________________v7" localSheetId="2">Scheduled_Payment+Extra_Payment</definedName>
    <definedName name="__________________v7">Scheduled_Payment+Extra_Payment</definedName>
    <definedName name="__________________v8">#N/A</definedName>
    <definedName name="__________________w1" localSheetId="1">IF(__________________w7,[0]!Header_Row+__________________w3,[0]!Header_Row)</definedName>
    <definedName name="__________________w1">IF(__________________w7,[0]!Header_Row+__________________w3,[0]!Header_Row)</definedName>
    <definedName name="__________________w2" localSheetId="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1">Scheduled_Payment+Extra_Payment</definedName>
    <definedName name="__________________w6" localSheetId="2">Scheduled_Payment+Extra_Payment</definedName>
    <definedName name="__________________w6">Scheduled_Payment+Extra_Payment</definedName>
    <definedName name="__________________w7">#N/A</definedName>
    <definedName name="__________________X1" localSheetId="1">IF(__________________X7,[0]!Header_Row+__________________X3,[0]!Header_Row)</definedName>
    <definedName name="__________________X1">IF(__________________X7,[0]!Header_Row+__________________X3,[0]!Header_Row)</definedName>
    <definedName name="__________________X2" localSheetId="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1">Scheduled_Payment+Extra_Payment</definedName>
    <definedName name="__________________X6" localSheetId="2">Scheduled_Payment+Extra_Payment</definedName>
    <definedName name="__________________X6">Scheduled_Payment+Extra_Payment</definedName>
    <definedName name="__________________X7">#N/A</definedName>
    <definedName name="__________________y2" localSheetId="1">IF(__________________y7,[0]!Header_Row+__________________y3,[0]!Header_Row)</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1">Scheduled_Payment+Extra_Payment</definedName>
    <definedName name="__________________y6" localSheetId="2">Scheduled_Payment+Extra_Payment</definedName>
    <definedName name="__________________y6">Scheduled_Payment+Extra_Payment</definedName>
    <definedName name="__________________y7">#N/A</definedName>
    <definedName name="__________________z1" localSheetId="1">IF(__________________z7,[0]!Header_Row+__________________z3,[0]!Header_Row)</definedName>
    <definedName name="__________________z1">IF(__________________z7,[0]!Header_Row+__________________z3,[0]!Header_Row)</definedName>
    <definedName name="__________________z2" localSheetId="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1">Scheduled_Payment+Extra_Payment</definedName>
    <definedName name="__________________z6" localSheetId="2">Scheduled_Payment+Extra_Payment</definedName>
    <definedName name="__________________z6">Scheduled_Payment+Extra_Payment</definedName>
    <definedName name="__________________z7">#N/A</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i1">#REF!</definedName>
    <definedName name="_________________IPC2002">#REF!</definedName>
    <definedName name="_________________MA2">#REF!</definedName>
    <definedName name="_________________SBC1">#REF!</definedName>
    <definedName name="_________________SBC3">#REF!</definedName>
    <definedName name="_________________SBC5">#REF!</definedName>
    <definedName name="________________A1" localSheetId="1">IF([0]!Values_Entered,[0]!Header_Row+[0]!Number_of_Payments,[0]!Header_Row)</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G1">#N/A</definedName>
    <definedName name="________________i1">#REF!</definedName>
    <definedName name="________________MA2">#REF!</definedName>
    <definedName name="________________PJ50">#REF!</definedName>
    <definedName name="________________SBC1">#REF!</definedName>
    <definedName name="________________SBC3">#REF!</definedName>
    <definedName name="________________SBC5">#REF!</definedName>
    <definedName name="________________v1" localSheetId="1">IF(________________v8,[0]!Header_Row+________________v4,[0]!Header_Row)</definedName>
    <definedName name="________________v1">IF(________________v8,[0]!Header_Row+________________v4,[0]!Header_Row)</definedName>
    <definedName name="________________v2" localSheetId="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1">Scheduled_Payment+Extra_Payment</definedName>
    <definedName name="________________v7" localSheetId="2">Scheduled_Payment+Extra_Payment</definedName>
    <definedName name="________________v7">Scheduled_Payment+Extra_Payment</definedName>
    <definedName name="________________v8">#N/A</definedName>
    <definedName name="________________w1" localSheetId="1">IF(________________w7,[0]!Header_Row+________________w3,[0]!Header_Row)</definedName>
    <definedName name="________________w1">IF(________________w7,[0]!Header_Row+________________w3,[0]!Header_Row)</definedName>
    <definedName name="________________w2" localSheetId="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1">Scheduled_Payment+Extra_Payment</definedName>
    <definedName name="________________w6" localSheetId="2">Scheduled_Payment+Extra_Payment</definedName>
    <definedName name="________________w6">Scheduled_Payment+Extra_Payment</definedName>
    <definedName name="________________w7">#N/A</definedName>
    <definedName name="________________X1" localSheetId="1">IF(________________X7,[0]!Header_Row+________________X3,[0]!Header_Row)</definedName>
    <definedName name="________________X1">IF(________________X7,[0]!Header_Row+________________X3,[0]!Header_Row)</definedName>
    <definedName name="________________X2" localSheetId="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1">Scheduled_Payment+Extra_Payment</definedName>
    <definedName name="________________X6" localSheetId="2">Scheduled_Payment+Extra_Payment</definedName>
    <definedName name="________________X6">Scheduled_Payment+Extra_Payment</definedName>
    <definedName name="________________X7">#N/A</definedName>
    <definedName name="________________y1" localSheetId="1">IF(__________________y7,[0]!Header_Row+__________________y3,[0]!Header_Row)</definedName>
    <definedName name="________________y1">IF(__________________y7,[0]!Header_Row+__________________y3,[0]!Header_Row)</definedName>
    <definedName name="________________y2" localSheetId="1">IF(________________y7,[0]!Header_Row+________________y3,[0]!Header_Row)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1">Scheduled_Payment+Extra_Payment</definedName>
    <definedName name="________________y6" localSheetId="2">Scheduled_Payment+Extra_Payment</definedName>
    <definedName name="________________y6">Scheduled_Payment+Extra_Payment</definedName>
    <definedName name="________________y7">#N/A</definedName>
    <definedName name="________________z1" localSheetId="1">IF(________________z7,[0]!Header_Row+________________z3,[0]!Header_Row)</definedName>
    <definedName name="________________z1">IF(________________z7,[0]!Header_Row+________________z3,[0]!Header_Row)</definedName>
    <definedName name="________________z2" localSheetId="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1">Scheduled_Payment+Extra_Payment</definedName>
    <definedName name="________________z6" localSheetId="2">Scheduled_Payment+Extra_Payment</definedName>
    <definedName name="________________z6">Scheduled_Payment+Extra_Payment</definedName>
    <definedName name="________________z7">#N/A</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i1">#REF!</definedName>
    <definedName name="_______________IPC2002">#REF!</definedName>
    <definedName name="_______________MA2">#REF!</definedName>
    <definedName name="_______________oa55">#REF!</definedName>
    <definedName name="_______________SBC1">#REF!</definedName>
    <definedName name="_______________SBC3">#REF!</definedName>
    <definedName name="_______________SBC5">#REF!</definedName>
    <definedName name="______________A1" localSheetId="1">IF([0]!Values_Entered,[0]!Header_Row+[0]!Number_of_Payments,[0]!Header_Row)</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#REF!</definedName>
    <definedName name="______________SBC3">#REF!</definedName>
    <definedName name="______________SBC5">#REF!</definedName>
    <definedName name="______________v1" localSheetId="1">IF(______________v8,[0]!Header_Row+______________v4,[0]!Header_Row)</definedName>
    <definedName name="______________v1">IF(______________v8,[0]!Header_Row+______________v4,[0]!Header_Row)</definedName>
    <definedName name="______________v2" localSheetId="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1">Scheduled_Payment+Extra_Payment</definedName>
    <definedName name="______________v7" localSheetId="2">Scheduled_Payment+Extra_Payment</definedName>
    <definedName name="______________v7">Scheduled_Payment+Extra_Payment</definedName>
    <definedName name="______________v8">#N/A</definedName>
    <definedName name="______________w1" localSheetId="1">IF(______________w7,[0]!Header_Row+______________w3,[0]!Header_Row)</definedName>
    <definedName name="______________w1">IF(______________w7,[0]!Header_Row+______________w3,[0]!Header_Row)</definedName>
    <definedName name="______________w2" localSheetId="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1">Scheduled_Payment+Extra_Payment</definedName>
    <definedName name="______________w6" localSheetId="2">Scheduled_Payment+Extra_Payment</definedName>
    <definedName name="______________w6">Scheduled_Payment+Extra_Payment</definedName>
    <definedName name="______________w7">#N/A</definedName>
    <definedName name="______________X1" localSheetId="1">IF(______________X7,[0]!Header_Row+______________X3,[0]!Header_Row)</definedName>
    <definedName name="______________X1">IF(______________X7,[0]!Header_Row+______________X3,[0]!Header_Row)</definedName>
    <definedName name="______________X2" localSheetId="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1">Scheduled_Payment+Extra_Payment</definedName>
    <definedName name="______________X6" localSheetId="2">Scheduled_Payment+Extra_Payment</definedName>
    <definedName name="______________X6">Scheduled_Payment+Extra_Payment</definedName>
    <definedName name="______________X7">#N/A</definedName>
    <definedName name="______________y1" localSheetId="1">IF(________________y7,[0]!Header_Row+________________y3,[0]!Header_Row)</definedName>
    <definedName name="______________y1">IF(________________y7,[0]!Header_Row+________________y3,[0]!Header_Row)</definedName>
    <definedName name="______________y2" localSheetId="1">IF(______________y7,[0]!Header_Row+______________y3,[0]!Header_Row)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1">Scheduled_Payment+Extra_Payment</definedName>
    <definedName name="______________y6" localSheetId="2">Scheduled_Payment+Extra_Payment</definedName>
    <definedName name="______________y6">Scheduled_Payment+Extra_Payment</definedName>
    <definedName name="______________y7">#N/A</definedName>
    <definedName name="______________z1" localSheetId="1">IF(______________z7,[0]!Header_Row+______________z3,[0]!Header_Row)</definedName>
    <definedName name="______________z1">IF(______________z7,[0]!Header_Row+______________z3,[0]!Header_Row)</definedName>
    <definedName name="______________z2" localSheetId="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1">Scheduled_Payment+Extra_Payment</definedName>
    <definedName name="______________z6" localSheetId="2">Scheduled_Payment+Extra_Payment</definedName>
    <definedName name="______________z6">Scheduled_Payment+Extra_Payment</definedName>
    <definedName name="______________z7">#N/A</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i1">#REF!</definedName>
    <definedName name="_____________IPC2002">#REF!</definedName>
    <definedName name="_____________MA2">#REF!</definedName>
    <definedName name="_____________oa55">#REF!</definedName>
    <definedName name="_____________SBC1">#REF!</definedName>
    <definedName name="_____________SBC3">#REF!</definedName>
    <definedName name="_____________SBC5">#REF!</definedName>
    <definedName name="____________A1" localSheetId="1">IF([0]!Values_Entered,[0]!Header_Row+[0]!Number_of_Payments,[0]!Header_Row)</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G1">#N/A</definedName>
    <definedName name="____________i1">#REF!</definedName>
    <definedName name="____________MA2">#REF!</definedName>
    <definedName name="____________oa55">#REF!</definedName>
    <definedName name="____________PJ50">#REF!</definedName>
    <definedName name="____________SBC1">#REF!</definedName>
    <definedName name="____________SBC3">#REF!</definedName>
    <definedName name="____________SBC5">#REF!</definedName>
    <definedName name="____________v1" localSheetId="1">IF(____________v8,[0]!Header_Row+____________v4,[0]!Header_Row)</definedName>
    <definedName name="____________v1">IF(____________v8,[0]!Header_Row+____________v4,[0]!Header_Row)</definedName>
    <definedName name="____________v2" localSheetId="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1">Scheduled_Payment+Extra_Payment</definedName>
    <definedName name="____________v7" localSheetId="2">Scheduled_Payment+Extra_Payment</definedName>
    <definedName name="____________v7">Scheduled_Payment+Extra_Payment</definedName>
    <definedName name="____________v8">#N/A</definedName>
    <definedName name="____________w1" localSheetId="1">IF(____________w7,[0]!Header_Row+____________w3,[0]!Header_Row)</definedName>
    <definedName name="____________w1">IF(____________w7,[0]!Header_Row+____________w3,[0]!Header_Row)</definedName>
    <definedName name="____________w2" localSheetId="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1">Scheduled_Payment+Extra_Payment</definedName>
    <definedName name="____________w6" localSheetId="2">Scheduled_Payment+Extra_Payment</definedName>
    <definedName name="____________w6">Scheduled_Payment+Extra_Payment</definedName>
    <definedName name="____________w7">#N/A</definedName>
    <definedName name="____________X1" localSheetId="1">IF(____________X7,[0]!Header_Row+____________X3,[0]!Header_Row)</definedName>
    <definedName name="____________X1">IF(____________X7,[0]!Header_Row+____________X3,[0]!Header_Row)</definedName>
    <definedName name="____________X2" localSheetId="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1">Scheduled_Payment+Extra_Payment</definedName>
    <definedName name="____________X6" localSheetId="2">Scheduled_Payment+Extra_Payment</definedName>
    <definedName name="____________X6">Scheduled_Payment+Extra_Payment</definedName>
    <definedName name="____________X7">#N/A</definedName>
    <definedName name="____________y1" localSheetId="1">IF(______________y7,[0]!Header_Row+______________y3,[0]!Header_Row)</definedName>
    <definedName name="____________y1">IF(______________y7,[0]!Header_Row+______________y3,[0]!Header_Row)</definedName>
    <definedName name="____________y2" localSheetId="1">IF(____________y7,[0]!Header_Row+____________y3,[0]!Header_Row)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1">Scheduled_Payment+Extra_Payment</definedName>
    <definedName name="____________y6" localSheetId="2">Scheduled_Payment+Extra_Payment</definedName>
    <definedName name="____________y6">Scheduled_Payment+Extra_Payment</definedName>
    <definedName name="____________y7">#N/A</definedName>
    <definedName name="____________z1" localSheetId="1">IF(____________z7,[0]!Header_Row+____________z3,[0]!Header_Row)</definedName>
    <definedName name="____________z1">IF(____________z7,[0]!Header_Row+____________z3,[0]!Header_Row)</definedName>
    <definedName name="____________z2" localSheetId="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1">Scheduled_Payment+Extra_Payment</definedName>
    <definedName name="____________z6" localSheetId="2">Scheduled_Payment+Extra_Payment</definedName>
    <definedName name="____________z6">Scheduled_Payment+Extra_Payment</definedName>
    <definedName name="____________z7">#N/A</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i1">#REF!</definedName>
    <definedName name="___________IPC2002">#REF!</definedName>
    <definedName name="___________MA2">#REF!</definedName>
    <definedName name="___________oa55">#REF!</definedName>
    <definedName name="___________PJ50">#REF!</definedName>
    <definedName name="___________SBC1">#REF!</definedName>
    <definedName name="___________SBC3">#REF!</definedName>
    <definedName name="___________SBC5">#REF!</definedName>
    <definedName name="__________A1" localSheetId="1">IF([0]!Values_Entered,[0]!Header_Row+[0]!Number_of_Payments,[0]!Header_Row)</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#REF!</definedName>
    <definedName name="__________AFC3">#REF!</definedName>
    <definedName name="__________AFC5">#REF!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#REF!</definedName>
    <definedName name="__________SBC3">#REF!</definedName>
    <definedName name="__________SBC5">#REF!</definedName>
    <definedName name="__________v1" localSheetId="1">IF(__________v8,[0]!Header_Row+__________v4,[0]!Header_Row)</definedName>
    <definedName name="__________v1">IF(__________v8,[0]!Header_Row+__________v4,[0]!Header_Row)</definedName>
    <definedName name="__________v2" localSheetId="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1">Scheduled_Payment+Extra_Payment</definedName>
    <definedName name="__________v7" localSheetId="2">Scheduled_Payment+Extra_Payment</definedName>
    <definedName name="__________v7">Scheduled_Payment+Extra_Payment</definedName>
    <definedName name="__________v8">#N/A</definedName>
    <definedName name="__________w1" localSheetId="1">IF(__________w7,[0]!Header_Row+__________w3,[0]!Header_Row)</definedName>
    <definedName name="__________w1">IF(__________w7,[0]!Header_Row+__________w3,[0]!Header_Row)</definedName>
    <definedName name="__________w2" localSheetId="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1">Scheduled_Payment+Extra_Payment</definedName>
    <definedName name="__________w6" localSheetId="2">Scheduled_Payment+Extra_Payment</definedName>
    <definedName name="__________w6">Scheduled_Payment+Extra_Payment</definedName>
    <definedName name="__________w7">#N/A</definedName>
    <definedName name="__________X1" localSheetId="1">IF(__________X7,[0]!Header_Row+__________X3,[0]!Header_Row)</definedName>
    <definedName name="__________X1">IF(__________X7,[0]!Header_Row+__________X3,[0]!Header_Row)</definedName>
    <definedName name="__________X2" localSheetId="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1">Scheduled_Payment+Extra_Payment</definedName>
    <definedName name="__________X6" localSheetId="2">Scheduled_Payment+Extra_Payment</definedName>
    <definedName name="__________X6">Scheduled_Payment+Extra_Payment</definedName>
    <definedName name="__________X7">#N/A</definedName>
    <definedName name="__________y1" localSheetId="1">IF(____________y7,[0]!Header_Row+____________y3,[0]!Header_Row)</definedName>
    <definedName name="__________y1">IF(____________y7,[0]!Header_Row+____________y3,[0]!Header_Row)</definedName>
    <definedName name="__________y2" localSheetId="1">IF(__________y7,[0]!Header_Row+__________y3,[0]!Header_Row)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1">Scheduled_Payment+Extra_Payment</definedName>
    <definedName name="__________y6" localSheetId="2">Scheduled_Payment+Extra_Payment</definedName>
    <definedName name="__________y6">Scheduled_Payment+Extra_Payment</definedName>
    <definedName name="__________y7">#N/A</definedName>
    <definedName name="__________z1" localSheetId="1">IF(__________z7,[0]!Header_Row+__________z3,[0]!Header_Row)</definedName>
    <definedName name="__________z1">IF(__________z7,[0]!Header_Row+__________z3,[0]!Header_Row)</definedName>
    <definedName name="__________z2" localSheetId="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1">Scheduled_Payment+Extra_Payment</definedName>
    <definedName name="__________z6" localSheetId="2">Scheduled_Payment+Extra_Payment</definedName>
    <definedName name="__________z6">Scheduled_Payment+Extra_Payment</definedName>
    <definedName name="__________z7">#N/A</definedName>
    <definedName name="_________AFC1">#REF!</definedName>
    <definedName name="_________AFC3">#REF!</definedName>
    <definedName name="_________AFC5">#REF!</definedName>
    <definedName name="_________APU221">#REF!</definedName>
    <definedName name="_________APU46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6">#REF!</definedName>
    <definedName name="_________i1">#REF!</definedName>
    <definedName name="_________IPC2002">#REF!</definedName>
    <definedName name="_________key2" hidden="1">#REF!</definedName>
    <definedName name="_________MA2">#REF!</definedName>
    <definedName name="_________oa55">#REF!</definedName>
    <definedName name="_________PJ50" localSheetId="1">#REF!</definedName>
    <definedName name="_________PJ50">#REF!</definedName>
    <definedName name="_________pj51">#REF!</definedName>
    <definedName name="_________SBC1">#REF!</definedName>
    <definedName name="_________SBC3">#REF!</definedName>
    <definedName name="_________SBC5">#REF!</definedName>
    <definedName name="________A1" localSheetId="1">IF([0]!Values_Entered,[0]!Header_Row+[0]!Number_of_Payments,[0]!Header_Row)</definedName>
    <definedName name="________A1">IF([0]!Values_Entered,[0]!Header_Row+[0]!Number_of_Payments,[0]!Header_Row)</definedName>
    <definedName name="________A17000">#REF!</definedName>
    <definedName name="________A20000">#REF!</definedName>
    <definedName name="________A30000">#REF!</definedName>
    <definedName name="________AFC1">#REF!</definedName>
    <definedName name="________AFC3">#REF!</definedName>
    <definedName name="________AFC5">#REF!</definedName>
    <definedName name="________APU221">#REF!</definedName>
    <definedName name="________APU46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key2" hidden="1">#REF!</definedName>
    <definedName name="________key3" localSheetId="1" hidden="1">#REF!</definedName>
    <definedName name="________key3" hidden="1">#REF!</definedName>
    <definedName name="________MA2" localSheetId="1">#REF!</definedName>
    <definedName name="________MA2">#REF!</definedName>
    <definedName name="________oa55">#REF!</definedName>
    <definedName name="________PJ50" localSheetId="1">#REF!</definedName>
    <definedName name="________PJ50">#REF!</definedName>
    <definedName name="________pj51">#REF!</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hidden="1">{"via1",#N/A,TRUE,"general";"via2",#N/A,TRUE,"general";"via3",#N/A,TRUE,"general"}</definedName>
    <definedName name="________rc">#REF!</definedName>
    <definedName name="________SBC1">#REF!</definedName>
    <definedName name="________SBC3">#REF!</definedName>
    <definedName name="________SBC5">#REF!</definedName>
    <definedName name="________v1" localSheetId="1">IF(________v8,[0]!Header_Row+________v4,[0]!Header_Row)</definedName>
    <definedName name="________v1">IF(________v8,[0]!Header_Row+________v4,[0]!Header_Row)</definedName>
    <definedName name="________v2" localSheetId="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1">Scheduled_Payment+Extra_Payment</definedName>
    <definedName name="________v7" localSheetId="2">Scheduled_Payment+Extra_Payment</definedName>
    <definedName name="________v7">Scheduled_Payment+Extra_Payment</definedName>
    <definedName name="________v8">#N/A</definedName>
    <definedName name="________w1" localSheetId="1">IF(________w7,[0]!Header_Row+________w3,[0]!Header_Row)</definedName>
    <definedName name="________w1">IF(________w7,[0]!Header_Row+________w3,[0]!Header_Row)</definedName>
    <definedName name="________w2" localSheetId="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1">Scheduled_Payment+Extra_Payment</definedName>
    <definedName name="________w6" localSheetId="2">Scheduled_Payment+Extra_Payment</definedName>
    <definedName name="________w6">Scheduled_Payment+Extra_Payment</definedName>
    <definedName name="________w7">#N/A</definedName>
    <definedName name="________X1" localSheetId="1">IF(________X7,[0]!Header_Row+________X3,[0]!Header_Row)</definedName>
    <definedName name="________X1">IF(________X7,[0]!Header_Row+________X3,[0]!Header_Row)</definedName>
    <definedName name="________X2" localSheetId="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1">Scheduled_Payment+Extra_Payment</definedName>
    <definedName name="________X6" localSheetId="2">Scheduled_Payment+Extra_Payment</definedName>
    <definedName name="________X6">Scheduled_Payment+Extra_Payment</definedName>
    <definedName name="________X7">#N/A</definedName>
    <definedName name="________y1" localSheetId="1">IF(__________y7,[0]!Header_Row+__________y3,[0]!Header_Row)</definedName>
    <definedName name="________y1">IF(__________y7,[0]!Header_Row+__________y3,[0]!Header_Row)</definedName>
    <definedName name="________y2" localSheetId="1">IF(________y7,[0]!Header_Row+________y3,[0]!Header_Row)</definedName>
    <definedName name="________y2">IF(________y7,[0]!Header_Row+________y3,[0]!Header_Row)</definedName>
    <definedName name="________y3">#N/A</definedName>
    <definedName name="________y4">#N/A</definedName>
    <definedName name="________y5">#N/A</definedName>
    <definedName name="________y6" localSheetId="1">Scheduled_Payment+Extra_Payment</definedName>
    <definedName name="________y6" localSheetId="2">Scheduled_Payment+Extra_Payment</definedName>
    <definedName name="________y6">Scheduled_Payment+Extra_Payment</definedName>
    <definedName name="________y7">#N/A</definedName>
    <definedName name="________z1" localSheetId="1">IF(________z7,[0]!Header_Row+________z3,[0]!Header_Row)</definedName>
    <definedName name="________z1">IF(________z7,[0]!Header_Row+________z3,[0]!Header_Row)</definedName>
    <definedName name="________z2" localSheetId="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1">Scheduled_Payment+Extra_Payment</definedName>
    <definedName name="________z6" localSheetId="2">Scheduled_Payment+Extra_Payment</definedName>
    <definedName name="________z6">Scheduled_Payment+Extra_Payment</definedName>
    <definedName name="________z7">#N/A</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PU221">#REF!</definedName>
    <definedName name="_______APU465">#REF!</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1">#REF!</definedName>
    <definedName name="_______i4" localSheetId="1"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IPC2002">#REF!</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MA2" localSheetId="1">#REF!</definedName>
    <definedName name="_______MA2">#REF!</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1"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PJ50" localSheetId="1">#REF!</definedName>
    <definedName name="_______PJ50">#REF!</definedName>
    <definedName name="_______pj51">#REF!</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hidden="1">{"via1",#N/A,TRUE,"general";"via2",#N/A,TRUE,"general";"via3",#N/A,TRUE,"general"}</definedName>
    <definedName name="_______rc">#REF!</definedName>
    <definedName name="_______rtu6" localSheetId="1"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hidden="1">{"via1",#N/A,TRUE,"general";"via2",#N/A,TRUE,"general";"via3",#N/A,TRUE,"general"}</definedName>
    <definedName name="_______SBC1">#REF!</definedName>
    <definedName name="_______SBC3">#REF!</definedName>
    <definedName name="_______SBC5">#REF!</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1" localSheetId="1">IF(________y7,[0]!Header_Row+________y3,[0]!Header_Row)</definedName>
    <definedName name="_______y1">IF(________y7,[0]!Header_Row+________y3,[0]!Header_Row)</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1"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APU221">#REF!</definedName>
    <definedName name="______APU465">#REF!</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1">#REF!</definedName>
    <definedName name="______i4" localSheetId="1"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IPC2002">#REF!</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MA2" localSheetId="1">#REF!</definedName>
    <definedName name="______MA2">#REF!</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1"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PJ50" localSheetId="1">#REF!</definedName>
    <definedName name="______PJ50">#REF!</definedName>
    <definedName name="______pj51">#REF!</definedName>
    <definedName name="______pr01" localSheetId="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hidden="1">{"via1",#N/A,TRUE,"general";"via2",#N/A,TRUE,"general";"via3",#N/A,TRUE,"general"}</definedName>
    <definedName name="______rc">#REF!</definedName>
    <definedName name="______rtu6" localSheetId="1"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hidden="1">{"via1",#N/A,TRUE,"general";"via2",#N/A,TRUE,"general";"via3",#N/A,TRUE,"general"}</definedName>
    <definedName name="______SBC1">#REF!</definedName>
    <definedName name="______SBC3">#REF!</definedName>
    <definedName name="______SBC5">#REF!</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1" localSheetId="1">IF(AIU!______v8,[0]!Header_Row+AIU!______v4,[0]!Header_Row)</definedName>
    <definedName name="______v1">IF([0]!______v8,[0]!Header_Row+[0]!______v4,[0]!Header_Row)</definedName>
    <definedName name="______v2" localSheetId="1"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hidden="1">{"via1",#N/A,TRUE,"general";"via2",#N/A,TRUE,"general";"via3",#N/A,TRUE,"general"}</definedName>
    <definedName name="______w1" localSheetId="1">IF(______w7,[0]!Header_Row+______w3,[0]!Header_Row)</definedName>
    <definedName name="______w1">IF(______w7,[0]!Header_Row+______w3,[0]!Header_Row)</definedName>
    <definedName name="______w2" localSheetId="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1">Scheduled_Payment+Extra_Payment</definedName>
    <definedName name="______w6" localSheetId="2">Scheduled_Payment+Extra_Payment</definedName>
    <definedName name="______w6">Scheduled_Payment+Extra_Payment</definedName>
    <definedName name="______w7">#N/A</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_z7">#N/A</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1"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adi1">#REF!</definedName>
    <definedName name="_____adi2">#REF!</definedName>
    <definedName name="_____AFC1">#REF!</definedName>
    <definedName name="_____AFC3">#REF!</definedName>
    <definedName name="_____AFC5">#REF!</definedName>
    <definedName name="_____ane7">#REF!</definedName>
    <definedName name="_____ane8">#REF!</definedName>
    <definedName name="_____APU221">#REF!</definedName>
    <definedName name="_____APU465">#REF!</definedName>
    <definedName name="_____Atp2">#REF!</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1">#REF!</definedName>
    <definedName name="_____i4" localSheetId="1"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ICP1">#REF!</definedName>
    <definedName name="_____IPC2002">#REF!</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MA2" localSheetId="1">#REF!</definedName>
    <definedName name="_____MA2">#REF!</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CD1" localSheetId="1">#REF!</definedName>
    <definedName name="_____OCD1">#REF!</definedName>
    <definedName name="_____OCI1" localSheetId="1">#REF!</definedName>
    <definedName name="_____OCI1">#REF!</definedName>
    <definedName name="_____p6" localSheetId="1"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PJ50" localSheetId="1">#REF!</definedName>
    <definedName name="_____PJ50">#REF!</definedName>
    <definedName name="_____pj51">#REF!</definedName>
    <definedName name="_____pr01" localSheetId="1">#REF!</definedName>
    <definedName name="_____pr01">#REF!</definedName>
    <definedName name="_____pr02" localSheetId="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hidden="1">{"via1",#N/A,TRUE,"general";"via2",#N/A,TRUE,"general";"via3",#N/A,TRUE,"general"}</definedName>
    <definedName name="_____rc">#REF!</definedName>
    <definedName name="_____rtu6" localSheetId="1"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hidden="1">{"via1",#N/A,TRUE,"general";"via2",#N/A,TRUE,"general";"via3",#N/A,TRUE,"general"}</definedName>
    <definedName name="_____SBC1">#REF!</definedName>
    <definedName name="_____SBC3">#REF!</definedName>
    <definedName name="_____SBC5">#REF!</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1" localSheetId="1">IF(AIU!_____v8,[0]!Header_Row+AIU!_____v4,[0]!Header_Row)</definedName>
    <definedName name="_____v1">IF([0]!_____v8,[0]!Header_Row+[0]!_____v4,[0]!Header_Row)</definedName>
    <definedName name="_____v2" localSheetId="1"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localSheetId="1" hidden="1">{"via1",#N/A,TRUE,"general";"via2",#N/A,TRUE,"general";"via3",#N/A,TRUE,"general"}</definedName>
    <definedName name="_____vfv4" hidden="1">{"via1",#N/A,TRUE,"general";"via2",#N/A,TRUE,"general";"via3",#N/A,TRUE,"general"}</definedName>
    <definedName name="_____VIT1">#REF!</definedName>
    <definedName name="_____VPR1">#REF!</definedName>
    <definedName name="_____VPR2">#REF!</definedName>
    <definedName name="_____VRP1">#REF!</definedName>
    <definedName name="_____VSM1">#REF!</definedName>
    <definedName name="_____w1" localSheetId="1">IF(_____w7,[0]!Header_Row+_____w3,[0]!Header_Row)</definedName>
    <definedName name="_____w1">IF(_____w7,[0]!Header_Row+_____w3,[0]!Header_Row)</definedName>
    <definedName name="_____w2" localSheetId="1">IF(_____w7,[0]!Header_Row+_____w3,[0]!Header_Row)</definedName>
    <definedName name="_____w2">IF(_____w7,[0]!Header_Row+_____w3,[0]!Header_Row)</definedName>
    <definedName name="_____w3">#N/A</definedName>
    <definedName name="_____w4">#N/A</definedName>
    <definedName name="_____w5">#N/A</definedName>
    <definedName name="_____w6" localSheetId="1">Scheduled_Payment+Extra_Payment</definedName>
    <definedName name="_____w6" localSheetId="2">Scheduled_Payment+Extra_Payment</definedName>
    <definedName name="_____w6">Scheduled_Payment+Extra_Payment</definedName>
    <definedName name="_____w7">#N/A</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1" localSheetId="1">IF(AIU!______y7,[0]!Header_Row+AIU!______y3,[0]!Header_Row)</definedName>
    <definedName name="_____y1">IF([0]!______y7,[0]!Header_Row+[0]!______y3,[0]!Header_Row)</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_z7">#N/A</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1"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adi1">#REF!</definedName>
    <definedName name="____adi2">#REF!</definedName>
    <definedName name="____AFC1">#REF!</definedName>
    <definedName name="____AFC3">#REF!</definedName>
    <definedName name="____AFC5">#REF!</definedName>
    <definedName name="____ane7">#REF!</definedName>
    <definedName name="____ane8">#REF!</definedName>
    <definedName name="____APU221">#REF!</definedName>
    <definedName name="____APU465">#REF!</definedName>
    <definedName name="____Atp2">#REF!</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CAC1">#REF!</definedName>
    <definedName name="____CAC3">#REF!</definedName>
    <definedName name="____CAC5">#REF!</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1">#REF!</definedName>
    <definedName name="____i4" localSheetId="1"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ICP1">#REF!</definedName>
    <definedName name="____INF1">#REF!</definedName>
    <definedName name="____IPC2002">#REF!</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LEY80" localSheetId="1">#REF!</definedName>
    <definedName name="____LEY80">#REF!</definedName>
    <definedName name="____m3" localSheetId="1"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MA2" localSheetId="1">#REF!</definedName>
    <definedName name="____MA2">#REF!</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CD1" localSheetId="1">#REF!</definedName>
    <definedName name="____OCD1">#REF!</definedName>
    <definedName name="____OCI1" localSheetId="1">#REF!</definedName>
    <definedName name="____OCI1">#REF!</definedName>
    <definedName name="____p6" localSheetId="1"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PJ50" localSheetId="1">#REF!</definedName>
    <definedName name="____PJ50">#REF!</definedName>
    <definedName name="____pj51" localSheetId="1">#REF!</definedName>
    <definedName name="____pj51">#REF!</definedName>
    <definedName name="____pr01" localSheetId="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hidden="1">{"via1",#N/A,TRUE,"general";"via2",#N/A,TRUE,"general";"via3",#N/A,TRUE,"general"}</definedName>
    <definedName name="____rc">#REF!</definedName>
    <definedName name="____rtu6" localSheetId="1"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hidden="1">{"via1",#N/A,TRUE,"general";"via2",#N/A,TRUE,"general";"via3",#N/A,TRUE,"general"}</definedName>
    <definedName name="____SBC1">#REF!</definedName>
    <definedName name="____SBC3">#REF!</definedName>
    <definedName name="____SBC5">#REF!</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hidden="1">{"via1",#N/A,TRUE,"general";"via2",#N/A,TRUE,"general";"via3",#N/A,TRUE,"general"}</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1" localSheetId="1">IF(AIU!____v8,[0]!Header_Row+AIU!____v4,[0]!Header_Row)</definedName>
    <definedName name="____v1">IF([0]!____v8,[0]!Header_Row+[0]!____v4,[0]!Header_Row)</definedName>
    <definedName name="____v2" localSheetId="1"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localSheetId="1" hidden="1">{"via1",#N/A,TRUE,"general";"via2",#N/A,TRUE,"general";"via3",#N/A,TRUE,"general"}</definedName>
    <definedName name="____vfv4" hidden="1">{"via1",#N/A,TRUE,"general";"via2",#N/A,TRUE,"general";"via3",#N/A,TRUE,"general"}</definedName>
    <definedName name="____VIT1">#REF!</definedName>
    <definedName name="____VPR1">#REF!</definedName>
    <definedName name="____VPR2" localSheetId="1">#REF!</definedName>
    <definedName name="____VPR2">#REF!</definedName>
    <definedName name="____VRP1" localSheetId="1">#REF!</definedName>
    <definedName name="____VRP1">#REF!</definedName>
    <definedName name="____VSM1" localSheetId="1">#REF!</definedName>
    <definedName name="____VSM1">#REF!</definedName>
    <definedName name="____w1" localSheetId="1">IF(____w7,[0]!Header_Row+____w3,[0]!Header_Row)</definedName>
    <definedName name="____w1">IF(____w7,[0]!Header_Row+____w3,[0]!Header_Row)</definedName>
    <definedName name="____w2" localSheetId="1">IF(____w7,[0]!Header_Row+____w3,[0]!Header_Row)</definedName>
    <definedName name="____w2">IF(____w7,[0]!Header_Row+____w3,[0]!Header_Row)</definedName>
    <definedName name="____w3">#N/A</definedName>
    <definedName name="____w4">#N/A</definedName>
    <definedName name="____w5">#N/A</definedName>
    <definedName name="____w6" localSheetId="1">Scheduled_Payment+Extra_Payment</definedName>
    <definedName name="____w6" localSheetId="2">Scheduled_Payment+Extra_Payment</definedName>
    <definedName name="____w6">Scheduled_Payment+Extra_Payment</definedName>
    <definedName name="____w7">#N/A</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1" localSheetId="1">IF(AIU!____y7,[0]!Header_Row+AIU!____y3,[0]!Header_Row)</definedName>
    <definedName name="____y1">IF([0]!____y7,[0]!Header_Row+[0]!____y3,[0]!Header_Row)</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_z7">#N/A</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di1">#REF!</definedName>
    <definedName name="___adi2">#REF!</definedName>
    <definedName name="___AFC1">#REF!</definedName>
    <definedName name="___AFC3">#REF!</definedName>
    <definedName name="___AFC5">#REF!</definedName>
    <definedName name="___ane7">#REF!</definedName>
    <definedName name="___ane8">#REF!</definedName>
    <definedName name="___APU221">#REF!</definedName>
    <definedName name="___APU465">#REF!</definedName>
    <definedName name="___Atp2">#REF!</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CAC1">#REF!</definedName>
    <definedName name="___CAC3">#REF!</definedName>
    <definedName name="___CAC5">#REF!</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1" hidden="1">{"via1",#N/A,TRUE,"general";"via2",#N/A,TRUE,"general";"via3",#N/A,TRUE,"general"}</definedName>
    <definedName name="___hfh7" hidden="1">{"via1",#N/A,TRUE,"general";"via2",#N/A,TRUE,"general";"via3",#N/A,TRUE,"general"}</definedName>
    <definedName name="___i1">#REF!</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ICP1">#REF!</definedName>
    <definedName name="___INF1">#REF!</definedName>
    <definedName name="___IPC2002">#REF!</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ey2" hidden="1">#REF!</definedName>
    <definedName name="___key3" localSheetId="1" hidden="1">#REF!</definedName>
    <definedName name="___key3" hidden="1">#REF!</definedName>
    <definedName name="___key31" localSheetId="1" hidden="1">#REF!</definedName>
    <definedName name="___key31" hidden="1">#REF!</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LEY80" localSheetId="1">#REF!</definedName>
    <definedName name="___LEY80">#REF!</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MA2">#REF!</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#REF!</definedName>
    <definedName name="___OCI1">#REF!</definedName>
    <definedName name="___OCT2">#REF!</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PJ50" localSheetId="1">#REF!</definedName>
    <definedName name="___PJ50">#REF!</definedName>
    <definedName name="___pj51" localSheetId="1">#REF!</definedName>
    <definedName name="___pj51">#REF!</definedName>
    <definedName name="___pr01" localSheetId="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hidden="1">{"via1",#N/A,TRUE,"general";"via2",#N/A,TRUE,"general";"via3",#N/A,TRUE,"general"}</definedName>
    <definedName name="___rc">#REF!</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SBC1">#REF!</definedName>
    <definedName name="___SBC3">#REF!</definedName>
    <definedName name="___SBC5">#REF!</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1" hidden="1">{"via1",#N/A,TRUE,"general";"via2",#N/A,TRUE,"general";"via3",#N/A,TRUE,"general"}</definedName>
    <definedName name="___v2" hidden="1">{"via1",#N/A,TRUE,"general";"via2",#N/A,TRUE,"general";"via3",#N/A,TRUE,"general"}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1" hidden="1">{"via1",#N/A,TRUE,"general";"via2",#N/A,TRUE,"general";"via3",#N/A,TRUE,"general"}</definedName>
    <definedName name="___v7" hidden="1">{"via1",#N/A,TRUE,"general";"via2",#N/A,TRUE,"general";"via3",#N/A,TRUE,"general"}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localSheetId="1" hidden="1">{"via1",#N/A,TRUE,"general";"via2",#N/A,TRUE,"general";"via3",#N/A,TRUE,"general"}</definedName>
    <definedName name="___vfv4" hidden="1">{"via1",#N/A,TRUE,"general";"via2",#N/A,TRUE,"general";"via3",#N/A,TRUE,"general"}</definedName>
    <definedName name="___VIT1">#REF!</definedName>
    <definedName name="___VPR1">#REF!</definedName>
    <definedName name="___VPR2" localSheetId="1">#REF!</definedName>
    <definedName name="___VPR2">#REF!</definedName>
    <definedName name="___VRP1" localSheetId="1">#REF!</definedName>
    <definedName name="___VRP1">#REF!</definedName>
    <definedName name="___VSM1" localSheetId="1">#REF!</definedName>
    <definedName name="___VSM1">#REF!</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 localSheetId="2">Scheduled_Payment+Extra_Payment</definedName>
    <definedName name="___w6">Scheduled_Payment+Extra_Payment</definedName>
    <definedName name="___w7">#N/A</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1" hidden="1">{"via1",#N/A,TRUE,"general";"via2",#N/A,TRUE,"general";"via3",#N/A,TRUE,"general"}</definedName>
    <definedName name="___x2"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1" hidden="1">{"via1",#N/A,TRUE,"general";"via2",#N/A,TRUE,"general";"via3",#N/A,TRUE,"general"}</definedName>
    <definedName name="___y3"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1" hidden="1">{"via1",#N/A,TRUE,"general";"via2",#N/A,TRUE,"general";"via3",#N/A,TRUE,"general"}</definedName>
    <definedName name="___y6"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1" hidden="1">{"via1",#N/A,TRUE,"general";"via2",#N/A,TRUE,"general";"via3",#N/A,TRUE,"general"}</definedName>
    <definedName name="___z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1" hidden="1">{"via1",#N/A,TRUE,"general";"via2",#N/A,TRUE,"general";"via3",#N/A,TRUE,"general"}</definedName>
    <definedName name="___z5" hidden="1">{"via1",#N/A,TRUE,"general";"via2",#N/A,TRUE,"general";"via3",#N/A,TRUE,"general"}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_z7">#N/A</definedName>
    <definedName name="__123Graph_A" localSheetId="1" hidden="1">#REF!</definedName>
    <definedName name="__123Graph_A" hidden="1">#REF!</definedName>
    <definedName name="__123Graph_B" localSheetId="1" hidden="1">#REF!</definedName>
    <definedName name="__123Graph_B" hidden="1">#REF!</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di1">#REF!</definedName>
    <definedName name="__adi2">#REF!</definedName>
    <definedName name="__AFC1">#REF!</definedName>
    <definedName name="__AFC3">#REF!</definedName>
    <definedName name="__AFC5">#REF!</definedName>
    <definedName name="__ane7">#REF!</definedName>
    <definedName name="__ane8">#REF!</definedName>
    <definedName name="__APU221">#REF!</definedName>
    <definedName name="__APU465">#REF!</definedName>
    <definedName name="__Atp2">#REF!</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AIU!ERR</definedName>
    <definedName name="__F">[0]!ERR</definedName>
    <definedName name="__FS01" localSheetId="1">AIU!ERR</definedName>
    <definedName name="__FS01">[0]!ERR</definedName>
    <definedName name="__G1">#N/A</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1" hidden="1">{"via1",#N/A,TRUE,"general";"via2",#N/A,TRUE,"general";"via3",#N/A,TRUE,"general"}</definedName>
    <definedName name="__hfh7" hidden="1">{"via1",#N/A,TRUE,"general";"via2",#N/A,TRUE,"general";"via3",#N/A,TRUE,"general"}</definedName>
    <definedName name="__i1">#REF!</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ICP1" localSheetId="1">#REF!</definedName>
    <definedName name="__ICP1">#REF!</definedName>
    <definedName name="__inf1">#REF!</definedName>
    <definedName name="__IPC2002">#REF!</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ey2" localSheetId="1" hidden="1">#REF!</definedName>
    <definedName name="__key2" hidden="1">#REF!</definedName>
    <definedName name="__key21" localSheetId="1" hidden="1">#REF!</definedName>
    <definedName name="__key21" hidden="1">#REF!</definedName>
    <definedName name="__key3" localSheetId="1" hidden="1">#REF!</definedName>
    <definedName name="__key3" hidden="1">#REF!</definedName>
    <definedName name="__key31" localSheetId="1" hidden="1">#REF!</definedName>
    <definedName name="__key31" hidden="1">#REF!</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LEY80" localSheetId="1">#REF!</definedName>
    <definedName name="__LEY80">#REF!</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MA2">#REF!</definedName>
    <definedName name="__mun2">#REF!</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O">IF(#REF!*#REF!*#REF!*#REF!&gt;0,1,0)</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D1">#REF!</definedName>
    <definedName name="__OCI1">#REF!</definedName>
    <definedName name="__OCT2">#REF!</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 localSheetId="1">#REF!</definedName>
    <definedName name="__PJ50">#REF!</definedName>
    <definedName name="__pj51" localSheetId="1">#REF!</definedName>
    <definedName name="__pj51">#REF!</definedName>
    <definedName name="__pr01" localSheetId="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c">#REF!</definedName>
    <definedName name="__ref4">#REF!</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1"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localSheetId="1" hidden="1">{"via1",#N/A,TRUE,"general";"via2",#N/A,TRUE,"general";"via3",#N/A,TRUE,"general"}</definedName>
    <definedName name="__vfv4" hidden="1">{"via1",#N/A,TRUE,"general";"via2",#N/A,TRUE,"general";"via3",#N/A,TRUE,"general"}</definedName>
    <definedName name="__VIT1">#REF!</definedName>
    <definedName name="__VPR1">#REF!</definedName>
    <definedName name="__VPR2">#REF!</definedName>
    <definedName name="__VRP1">#REF!</definedName>
    <definedName name="__VSM1">#REF!</definedName>
    <definedName name="__w1">#N/A</definedName>
    <definedName name="__w2">#N/A</definedName>
    <definedName name="__w3">#N/A</definedName>
    <definedName name="__w4">#N/A</definedName>
    <definedName name="__w5">#N/A</definedName>
    <definedName name="__w6" localSheetId="1">Scheduled_Payment+Extra_Payment</definedName>
    <definedName name="__w6" localSheetId="2">Scheduled_Payment+Extra_Payment</definedName>
    <definedName name="__w6">Scheduled_Payment+Extra_Payment</definedName>
    <definedName name="__w7">#N/A</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 localSheetId="1">#REF!</definedName>
    <definedName name="_1">#REF!</definedName>
    <definedName name="_1_25" localSheetId="1">#REF!</definedName>
    <definedName name="_1_25">#REF!</definedName>
    <definedName name="_10_PR64_500_–_PR_69_541.49">#REF!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di1">#REF!</definedName>
    <definedName name="_adi2">#REF!</definedName>
    <definedName name="_AFC1">#REF!</definedName>
    <definedName name="_AFC3">#REF!</definedName>
    <definedName name="_AFC5">#REF!</definedName>
    <definedName name="_ALM1" localSheetId="1">#REF!</definedName>
    <definedName name="_ALM1">#REF!</definedName>
    <definedName name="_AND1" localSheetId="1">#REF!</definedName>
    <definedName name="_AND1">#REF!</definedName>
    <definedName name="_ane7">#REF!</definedName>
    <definedName name="_ane8">#REF!</definedName>
    <definedName name="_APU221" localSheetId="1">#REF!</definedName>
    <definedName name="_APU221">#REF!</definedName>
    <definedName name="_APU3">#REF!</definedName>
    <definedName name="_APU465">#REF!</definedName>
    <definedName name="_Atp2">#REF!</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hc1">#REF!</definedName>
    <definedName name="_dhc2">#REF!</definedName>
    <definedName name="_dhc3">#REF!</definedName>
    <definedName name="_dhc4">#REF!</definedName>
    <definedName name="_dhc5">#REF!</definedName>
    <definedName name="_DIJ1">#REF!</definedName>
    <definedName name="_DPI1">#REF!</definedName>
    <definedName name="_DPY1">#REF!</definedName>
    <definedName name="_DRI1">#REF!</definedName>
    <definedName name="_DRL1">#REF!</definedName>
    <definedName name="_DSP1">#REF!</definedName>
    <definedName name="_dvc1">#REF!</definedName>
    <definedName name="_dvc2">#REF!</definedName>
    <definedName name="_dvc3">#REF!</definedName>
    <definedName name="_dvc4">#REF!</definedName>
    <definedName name="_dvc5">#REF!</definedName>
    <definedName name="_eac1">#REF!</definedName>
    <definedName name="_eac2">#REF!</definedName>
    <definedName name="_eac3">#REF!</definedName>
    <definedName name="_eac4">#REF!</definedName>
    <definedName name="_eac5">#REF!</definedName>
    <definedName name="_ECP1">#REF!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AIU!ERR</definedName>
    <definedName name="_F">[0]!ERR</definedName>
    <definedName name="_F10" localSheetId="1">#REF!</definedName>
    <definedName name="_F10">#REF!</definedName>
    <definedName name="_FC" localSheetId="1">#REF!</definedName>
    <definedName name="_FC">#REF!</definedName>
    <definedName name="_Fill" localSheetId="1">#REF!</definedName>
    <definedName name="_Fill" hidden="1">#REF!</definedName>
    <definedName name="_xlnm._FilterDatabase" localSheetId="2" hidden="1">'FORMULARIO OFERTA ECONOMICA'!$A$10:$N$10</definedName>
    <definedName name="_xlnm._FilterDatabase" localSheetId="0" hidden="1">PRESUPUESTO!$A$10:$M$10</definedName>
    <definedName name="_FS01" localSheetId="1">AIU!ERR</definedName>
    <definedName name="_FS01">[0]!ERR</definedName>
    <definedName name="_G1">#N/A</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1">#REF!</definedName>
    <definedName name="_GoBack">#REF!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1"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i1">#REF!</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 localSheetId="1">#REF!</definedName>
    <definedName name="_IMP1">#REF!</definedName>
    <definedName name="_INF1">#REF!</definedName>
    <definedName name="_IPC2002" localSheetId="1">#REF!</definedName>
    <definedName name="_IPC2002">#REF!</definedName>
    <definedName name="_IVA1" localSheetId="1">#REF!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#REF!</definedName>
    <definedName name="_Key1" hidden="1">#REF!</definedName>
    <definedName name="_Key11" localSheetId="1" hidden="1">#REF!</definedName>
    <definedName name="_Key11" hidden="1">#REF!</definedName>
    <definedName name="_Key2" localSheetId="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c1">#REF!</definedName>
    <definedName name="_lac2">#REF!</definedName>
    <definedName name="_lac3">#REF!</definedName>
    <definedName name="_lac4">#REF!</definedName>
    <definedName name="_lac5">#REF!</definedName>
    <definedName name="_lar03" localSheetId="1">#REF!</definedName>
    <definedName name="_lar03">#REF!</definedName>
    <definedName name="_LEY80" localSheetId="1">#REF!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1">#REF!</definedName>
    <definedName name="_mun2">#REF!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EC1">#REF!</definedName>
    <definedName name="_nrf10">#REF!</definedName>
    <definedName name="_NUEVO">#REF!</definedName>
    <definedName name="_num10" localSheetId="1">#REF!</definedName>
    <definedName name="_num10">#REF!</definedName>
    <definedName name="_num2" localSheetId="1">#REF!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#REF!</definedName>
    <definedName name="_OCD1">#REF!</definedName>
    <definedName name="_OCI1">#REF!</definedName>
    <definedName name="_OCT2">#REF!</definedName>
    <definedName name="_OF">#REF!</definedName>
    <definedName name="_Order1" localSheetId="1">255</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L">#REF!</definedName>
    <definedName name="_Parse_Out" hidden="1">#REF!</definedName>
    <definedName name="_PJ50" localSheetId="1">#REF!</definedName>
    <definedName name="_PJ50">#REF!</definedName>
    <definedName name="_pj51" localSheetId="1">#REF!</definedName>
    <definedName name="_pj51">#REF!</definedName>
    <definedName name="_pr01" localSheetId="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1">#REF!</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AS">#REF!</definedName>
    <definedName name="_rc">#REF!</definedName>
    <definedName name="_REC1">"Rectángulo 31"</definedName>
    <definedName name="_ref4" localSheetId="1">#REF!</definedName>
    <definedName name="_ref4">#REF!</definedName>
    <definedName name="_RET1" localSheetId="1">#REF!</definedName>
    <definedName name="_RET1">#REF!</definedName>
    <definedName name="_RET2" localSheetId="1">#REF!</definedName>
    <definedName name="_RET2">#REF!</definedName>
    <definedName name="_RET3" localSheetId="1">#REF!</definedName>
    <definedName name="_RET3">#REF!</definedName>
    <definedName name="_RET4" localSheetId="1">#REF!</definedName>
    <definedName name="_RET4">#REF!</definedName>
    <definedName name="_RET5" localSheetId="1">#REF!</definedName>
    <definedName name="_RET5">#REF!</definedName>
    <definedName name="_RET6">#REF!</definedName>
    <definedName name="_rf8">#REF!</definedName>
    <definedName name="_RF9">#REF!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1">#REF!</definedName>
    <definedName name="_Sort" hidden="1">#REF!</definedName>
    <definedName name="_srn001" localSheetId="1">#REF!</definedName>
    <definedName name="_srn001">#REF!</definedName>
    <definedName name="_SUM1" localSheetId="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1"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w1">#N/A</definedName>
    <definedName name="_w2">#N/A</definedName>
    <definedName name="_w3">#N/A</definedName>
    <definedName name="_w4">#N/A</definedName>
    <definedName name="_w5">#N/A</definedName>
    <definedName name="_w6" localSheetId="1">Scheduled_Payment+Extra_Payment</definedName>
    <definedName name="_w6" localSheetId="2">Scheduled_Payment+Extra_Payment</definedName>
    <definedName name="_w6">Scheduled_Payment+Extra_Payment</definedName>
    <definedName name="_w7">#N/A</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vtas.cim">#REF!</definedName>
    <definedName name="A_1" localSheetId="1">#REF!</definedName>
    <definedName name="A_1">#REF!</definedName>
    <definedName name="A_impresión_IM" localSheetId="1">#REF!</definedName>
    <definedName name="A_impresión_IM">#REF!</definedName>
    <definedName name="A_nuevo">#REF!</definedName>
    <definedName name="A000">#REF!</definedName>
    <definedName name="A18A200" localSheetId="1">#REF!</definedName>
    <definedName name="A18A200">#REF!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AIU!ERR</definedName>
    <definedName name="aa">[0]!ERR</definedName>
    <definedName name="AAA" localSheetId="1">AIU!ERR</definedName>
    <definedName name="AAA">[0]!ERR</definedName>
    <definedName name="aaaa">#REF!</definedName>
    <definedName name="AAAAA">#REF!</definedName>
    <definedName name="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RIL">#REF!</definedName>
    <definedName name="absc">#REF!</definedName>
    <definedName name="absc_">#REF!</definedName>
    <definedName name="absc_1">#REF!</definedName>
    <definedName name="absc1">#REF!</definedName>
    <definedName name="ac" localSheetId="1">#REF!</definedName>
    <definedName name="ac">#REF!</definedName>
    <definedName name="Acarreo">#REF!</definedName>
    <definedName name="Accesorios_de_1_2">#REF!</definedName>
    <definedName name="Accesorios_de_3_4">#REF!</definedName>
    <definedName name="Accesorios_Galvanizados">#REF!</definedName>
    <definedName name="AccessDatabase" hidden="1">"C:\C-314\VOLUMENES\volfin4.mdb"</definedName>
    <definedName name="acci">#REF!</definedName>
    <definedName name="Acero_de_Refuerzo_Figurado_de_60.000_P.S.I.">#REF!</definedName>
    <definedName name="Acero_Figurado_en_Obra">#REF!</definedName>
    <definedName name="Acero_Para_Transferencias">#REF!</definedName>
    <definedName name="ACFG">#REF!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m">5000</definedName>
    <definedName name="ACT">#REF!</definedName>
    <definedName name="ACT_COMP">#REF!</definedName>
    <definedName name="ACT_COMP2">#REF!</definedName>
    <definedName name="ACT_CONT">#REF!</definedName>
    <definedName name="ACT_CONT2">#REF!</definedName>
    <definedName name="ACTA1">#REF!</definedName>
    <definedName name="ACTA2">#REF!</definedName>
    <definedName name="ACTAAJUSTE3" localSheetId="1" hidden="1">{"via1",#N/A,TRUE,"general";"via2",#N/A,TRUE,"general";"via3",#N/A,TRUE,"general"}</definedName>
    <definedName name="ACTAAJUSTE3" hidden="1">{"via1",#N/A,TRUE,"general";"via2",#N/A,TRUE,"general";"via3",#N/A,TRUE,"general"}</definedName>
    <definedName name="ACTAPARCIAL">#REF!</definedName>
    <definedName name="Actividades">#REF!</definedName>
    <definedName name="ACTV">#REF!</definedName>
    <definedName name="acumulado">#REF!,#REF!,#REF!,#REF!</definedName>
    <definedName name="ad" localSheetId="1">#REF!</definedName>
    <definedName name="ad">#REF!</definedName>
    <definedName name="adasd" localSheetId="1">#REF!</definedName>
    <definedName name="adasd">#REF!</definedName>
    <definedName name="ADFGSDB" localSheetId="1" hidden="1">{"via1",#N/A,TRUE,"general";"via2",#N/A,TRUE,"general";"via3",#N/A,TRUE,"general"}</definedName>
    <definedName name="ADFGSDB" hidden="1">{"via1",#N/A,TRUE,"general";"via2",#N/A,TRUE,"general";"via3",#N/A,TRUE,"general"}</definedName>
    <definedName name="ADI">#REF!</definedName>
    <definedName name="ADM">#REF!</definedName>
    <definedName name="ADMINISTRACION">#REF!</definedName>
    <definedName name="administrador">#REF!</definedName>
    <definedName name="ADMINISTRADOR_VIAL__ARMANDO_SANCHEZ_SANCHEZ">#REF!</definedName>
    <definedName name="ADMON" localSheetId="1">#REF!</definedName>
    <definedName name="ADMON">#REF!</definedName>
    <definedName name="ADMON1" localSheetId="1">#REF!</definedName>
    <definedName name="ADMON1">#REF!</definedName>
    <definedName name="adoc1">#REF!</definedName>
    <definedName name="ADOC125">#REF!</definedName>
    <definedName name="adoq">#REF!</definedName>
    <definedName name="ads">#REF!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gua">#REF!</definedName>
    <definedName name="ah">#REF!</definedName>
    <definedName name="ahe">#REF!</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#REF!</definedName>
    <definedName name="AjustDelAIU">#REF!</definedName>
    <definedName name="alam">#REF!</definedName>
    <definedName name="Alambre_Negro_No.18">#REF!</definedName>
    <definedName name="alambre14">#REF!</definedName>
    <definedName name="alambrecal14">#REF!</definedName>
    <definedName name="alc">#REF!</definedName>
    <definedName name="AlcanceProyecto" localSheetId="1">#REF!</definedName>
    <definedName name="AlcanceProyecto">#REF!</definedName>
    <definedName name="Alcaparro_2.00_m">#REF!</definedName>
    <definedName name="ALM" localSheetId="1">#REF!</definedName>
    <definedName name="ALM">#REF!</definedName>
    <definedName name="Almacenista">#REF!</definedName>
    <definedName name="ALTO">#REF!</definedName>
    <definedName name="Amount" localSheetId="1">#REF!</definedName>
    <definedName name="Amount">#REF!</definedName>
    <definedName name="Analis">#REF!</definedName>
    <definedName name="ANALISIS">#REF!</definedName>
    <definedName name="ANCLAJE" localSheetId="1">#REF!</definedName>
    <definedName name="ANCLAJE">#REF!</definedName>
    <definedName name="AND" localSheetId="1">#REF!</definedName>
    <definedName name="AND">#REF!</definedName>
    <definedName name="Andamio_Sección">#REF!</definedName>
    <definedName name="Andamios">#REF!</definedName>
    <definedName name="Andres123">#REF!</definedName>
    <definedName name="ANE">#REF!</definedName>
    <definedName name="anex7" localSheetId="1">#REF!</definedName>
    <definedName name="anex7">#REF!</definedName>
    <definedName name="anex8" localSheetId="1">#REF!</definedName>
    <definedName name="anex8">#REF!</definedName>
    <definedName name="ANEXO">#REF!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gulo_en_aluminio_1_2__x_1_2__x_1_16">#REF!</definedName>
    <definedName name="Angulo_hierro_2_1_2__x_3_13">#REF!</definedName>
    <definedName name="anscount" hidden="1">1</definedName>
    <definedName name="Antic">#REF!</definedName>
    <definedName name="ANTICIPO">#REF!</definedName>
    <definedName name="Anticorrosivo_Rojo_Claro">#REF!</definedName>
    <definedName name="AÑO">#REF!</definedName>
    <definedName name="AÑOWUIE">#REF!</definedName>
    <definedName name="ao">#REF!</definedName>
    <definedName name="apaiy" localSheetId="1">#REF!</definedName>
    <definedName name="apaiy">#REF!</definedName>
    <definedName name="Aparatos_Telefonicos_para_extensiones">#REF!</definedName>
    <definedName name="Aparatos_Telefonicos_secretariales">#REF!</definedName>
    <definedName name="APELLIDOS" localSheetId="1">#REF!</definedName>
    <definedName name="APELLIDOS">#REF!</definedName>
    <definedName name="API" localSheetId="1">#REF!</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 localSheetId="1">#REF!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PU5P">#REF!</definedName>
    <definedName name="aq" localSheetId="1">AIU!ERR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Area_canal">#REF!</definedName>
    <definedName name="_xlnm.Extract">#REF!</definedName>
    <definedName name="_xlnm.Print_Area" localSheetId="1">AIU!$B$1:$J$52</definedName>
    <definedName name="_xlnm.Print_Area" localSheetId="2">'FORMULARIO OFERTA ECONOMICA'!$A$1:$I$241</definedName>
    <definedName name="_xlnm.Print_Area" localSheetId="0">PRESUPUESTO!$A$1:$H$231</definedName>
    <definedName name="_xlnm.Print_Area">#REF!</definedName>
    <definedName name="AreaLimpiar">#REF!,#REF!,#REF!,#REF!,#REF!,#REF!,#REF!,#REF!,#REF!,#REF!</definedName>
    <definedName name="Areatotal" localSheetId="1">#REF!</definedName>
    <definedName name="Areatotal">#REF!</definedName>
    <definedName name="Aref" localSheetId="1">#REF!</definedName>
    <definedName name="Aref">#REF!</definedName>
    <definedName name="ARENA">#REF!</definedName>
    <definedName name="Arenag">#REF!</definedName>
    <definedName name="armuve" localSheetId="1">AIU!ERR</definedName>
    <definedName name="armuve">[0]!ERR</definedName>
    <definedName name="ARP" localSheetId="1">#REF!</definedName>
    <definedName name="ARP">#REF!</definedName>
    <definedName name="ARS" localSheetId="1">#REF!</definedName>
    <definedName name="ARS">#REF!</definedName>
    <definedName name="articulos">#REF!</definedName>
    <definedName name="ARTURO">#REF!</definedName>
    <definedName name="as" localSheetId="1">AIU!ERR</definedName>
    <definedName name="as">[0]!ERR</definedName>
    <definedName name="asasdasd">#N/A</definedName>
    <definedName name="ASB">#REF!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AIU!ERR</definedName>
    <definedName name="ASDFGHJKLÑ">[0]!ERR</definedName>
    <definedName name="asdfñk">#N/A</definedName>
    <definedName name="ASFALTO">#REF!</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p">#REF!</definedName>
    <definedName name="au">#REF!</definedName>
    <definedName name="aur">#REF!</definedName>
    <definedName name="_xlnm.Auto_Open" localSheetId="1">MODULO10.auto_abrir</definedName>
    <definedName name="_xlnm.Auto_Open" localSheetId="2">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2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#REF!</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1">#REF!</definedName>
    <definedName name="AW">#REF!</definedName>
    <definedName name="ax">#REF!</definedName>
    <definedName name="Ay">#REF!</definedName>
    <definedName name="ayudante">#REF!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_impresión_IM">#REF!</definedName>
    <definedName name="Bajo_L">#REF!</definedName>
    <definedName name="BANCO">#REF!</definedName>
    <definedName name="BARA">#REF!</definedName>
    <definedName name="Base" localSheetId="1">#REF!</definedName>
    <definedName name="Base">#REF!</definedName>
    <definedName name="Base_datos_IM" localSheetId="1">#REF!</definedName>
    <definedName name="Base_datos_IM">#REF!</definedName>
    <definedName name="base_VaR">#REF!</definedName>
    <definedName name="base1" localSheetId="1">#REF!</definedName>
    <definedName name="base1">#REF!</definedName>
    <definedName name="base2">#REF!</definedName>
    <definedName name="basedatos">#REF!</definedName>
    <definedName name="_xlnm.Database" localSheetId="1">#REF!</definedName>
    <definedName name="_xlnm.Database">#REF!</definedName>
    <definedName name="BaseDeDatos1" localSheetId="1">#REF!</definedName>
    <definedName name="BaseDeDatos1">#REF!</definedName>
    <definedName name="basep">#REF!</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#REF!</definedName>
    <definedName name="BB" localSheetId="1">AIU!ERR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T">#REF!</definedName>
    <definedName name="bgvfcdx" localSheetId="1"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 localSheetId="1">#REF!</definedName>
    <definedName name="blReferenciaInforme">#REF!</definedName>
    <definedName name="bn" localSheetId="1">#REF!</definedName>
    <definedName name="bn">#REF!</definedName>
    <definedName name="bnm">#REF!</definedName>
    <definedName name="BOBCAT">#REF!</definedName>
    <definedName name="Bombas" localSheetId="1">#REF!</definedName>
    <definedName name="Bombas">#REF!</definedName>
    <definedName name="BONO">#REF!</definedName>
    <definedName name="BORDE1">#REF!</definedName>
    <definedName name="BORDE2">#REF!</definedName>
    <definedName name="BORDE3">#REF!</definedName>
    <definedName name="BORDER1">#REF!</definedName>
    <definedName name="BORDET" localSheetId="1">#REF!</definedName>
    <definedName name="BORDET">#REF!</definedName>
    <definedName name="BORSHE" localSheetId="1">#REF!</definedName>
    <definedName name="BORSHE">#REF!</definedName>
    <definedName name="BORSUM" localSheetId="1">#REF!</definedName>
    <definedName name="BORSUM">#REF!</definedName>
    <definedName name="boxes" localSheetId="1">#REF!</definedName>
    <definedName name="boxes">#REF!</definedName>
    <definedName name="BQ" localSheetId="1">#REF!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ENO">#REF!&lt;2.5</definedName>
    <definedName name="BuiltIn_Print_Area">#REF!</definedName>
    <definedName name="BuiltIn_Print_Area___0">#REF!</definedName>
    <definedName name="BuiltIn_Print_Titles">#REF!</definedName>
    <definedName name="BULL">#REF!</definedName>
    <definedName name="Bulld50">#REF!</definedName>
    <definedName name="Bulld65e">#REF!</definedName>
    <definedName name="bulld65er">#REF!</definedName>
    <definedName name="Bulldozer">#REF!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 localSheetId="1">#REF!</definedName>
    <definedName name="CA">#REF!</definedName>
    <definedName name="CAB">#REF!</definedName>
    <definedName name="Cableado">#REF!</definedName>
    <definedName name="cadener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GURO">#REF!</definedName>
    <definedName name="CANT">#REF!</definedName>
    <definedName name="cantidad" localSheetId="1">#REF!,#REF!,#REF!,#REF!,#REF!,#REF!,#REF!,#REF!,#REF!,#REF!,#REF!,#REF!,#REF!,#REF!,#REF!,#REF!</definedName>
    <definedName name="cantidad">#REF!,#REF!,#REF!,#REF!,#REF!,#REF!,#REF!,#REF!,#REF!,#REF!,#REF!,#REF!,#REF!,#REF!,#REF!,#REF!</definedName>
    <definedName name="CAP" localSheetId="1">#REF!</definedName>
    <definedName name="CAP">#REF!</definedName>
    <definedName name="CAPAC._HSE" localSheetId="1">#REF!</definedName>
    <definedName name="CAPAC._HSE">#REF!</definedName>
    <definedName name="Car">#REF!</definedName>
    <definedName name="CARGA" localSheetId="1">#REF!</definedName>
    <definedName name="CARGA">#REF!</definedName>
    <definedName name="CARGADOR">#REF!</definedName>
    <definedName name="CARGO">#REF!</definedName>
    <definedName name="CARGOS">#REF!</definedName>
    <definedName name="carlos" localSheetId="1">MODULO10.auto_abrir</definedName>
    <definedName name="carlos" localSheetId="2">MODULO10.auto_abrir</definedName>
    <definedName name="carlos">MODULO10.auto_abrir</definedName>
    <definedName name="CARRETERA">#REF!</definedName>
    <definedName name="CARRO">#REF!</definedName>
    <definedName name="CASA">#REF!</definedName>
    <definedName name="CASITA">#REF!</definedName>
    <definedName name="CATD8">#REF!</definedName>
    <definedName name="CATEGORIA">#REF!</definedName>
    <definedName name="causa">#REF!</definedName>
    <definedName name="CBLES" localSheetId="1">#REF!</definedName>
    <definedName name="CBLES">#REF!</definedName>
    <definedName name="CBLES1" localSheetId="1">#REF!</definedName>
    <definedName name="CBLES1">#REF!</definedName>
    <definedName name="CBRDISEÑO">#REF!</definedName>
    <definedName name="CBWorkbookPriority" hidden="1">-1602700874</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 localSheetId="1">#REF!</definedName>
    <definedName name="CCT">#REF!</definedName>
    <definedName name="ccto210" localSheetId="1">#REF!</definedName>
    <definedName name="ccto210">#REF!</definedName>
    <definedName name="cd">#REF!</definedName>
    <definedName name="cdcdc" localSheetId="1" hidden="1">{"via1",#N/A,TRUE,"general";"via2",#N/A,TRUE,"general";"via3",#N/A,TRUE,"general"}</definedName>
    <definedName name="cdcdc" hidden="1">{"via1",#N/A,TRUE,"general";"via2",#N/A,TRUE,"general";"via3",#N/A,TRUE,"general"}</definedName>
    <definedName name="CDctrl">#REF!</definedName>
    <definedName name="CDE" localSheetId="1">#REF!</definedName>
    <definedName name="CDE">#REF!</definedName>
    <definedName name="cdfgrtfd" localSheetId="1" hidden="1">#REF!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#REF!</definedName>
    <definedName name="Cemento_Gris">#REF!</definedName>
    <definedName name="cesped">#REF!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 localSheetId="1">#REF!</definedName>
    <definedName name="Ch">#REF!</definedName>
    <definedName name="CHK_PU" localSheetId="1">#REF!</definedName>
    <definedName name="CHK_PU">#REF!</definedName>
    <definedName name="CHP" localSheetId="1">#REF!</definedName>
    <definedName name="CHP">#REF!</definedName>
    <definedName name="CIRCUITOS">#REF!</definedName>
    <definedName name="CISNEROS" localSheetId="1">#REF!</definedName>
    <definedName name="CISNEROS">#REF!</definedName>
    <definedName name="cjsa" localSheetId="1" hidden="1">#REF!</definedName>
    <definedName name="cjsa" hidden="1">#REF!</definedName>
    <definedName name="CL">#REF!</definedName>
    <definedName name="clase">#REF!</definedName>
    <definedName name="cmf">#REF!</definedName>
    <definedName name="CMIBLE" localSheetId="1">#REF!</definedName>
    <definedName name="CMIBLE">#REF!</definedName>
    <definedName name="CMIBLE1" localSheetId="1">#REF!</definedName>
    <definedName name="CMIBLE1">#REF!</definedName>
    <definedName name="CN">#REF!</definedName>
    <definedName name="co">#REF!</definedName>
    <definedName name="Cod" localSheetId="1">#REF!</definedName>
    <definedName name="Cod">#REF!</definedName>
    <definedName name="CodActEco">#REF!</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#REF!</definedName>
    <definedName name="cogvsiruj">#REF!</definedName>
    <definedName name="COLON" localSheetId="1">#REF!</definedName>
    <definedName name="COLON">#REF!</definedName>
    <definedName name="ColTap">#REF!</definedName>
    <definedName name="Com">#REF!</definedName>
    <definedName name="COMIDA" localSheetId="1">#REF!</definedName>
    <definedName name="COMIDA">#REF!</definedName>
    <definedName name="CompanyAddress">#REF!</definedName>
    <definedName name="CompanyCity">#REF!</definedName>
    <definedName name="CompanyContactsHeader">#REF!</definedName>
    <definedName name="CompanyCountry">#REF!</definedName>
    <definedName name="CompanyName">#REF!</definedName>
    <definedName name="CompanyState">#REF!</definedName>
    <definedName name="CompanyZip">#REF!</definedName>
    <definedName name="COMPRE">#REF!</definedName>
    <definedName name="COMPRESOR">#REF!</definedName>
    <definedName name="Compresores" localSheetId="1">#REF!</definedName>
    <definedName name="Compresores">#REF!</definedName>
    <definedName name="COMPROBANTE_DE_PAGO">#REF!</definedName>
    <definedName name="concreto">#REF!</definedName>
    <definedName name="Concreto1_m">#REF!</definedName>
    <definedName name="Concreto2_m">#REF!</definedName>
    <definedName name="Concreto3_m">#REF!</definedName>
    <definedName name="Concreto4_m">#REF!</definedName>
    <definedName name="Concreto5_m">#REF!</definedName>
    <definedName name="conductor">#REF!</definedName>
    <definedName name="ConseqCat">0</definedName>
    <definedName name="ConseqForMitRisk">3</definedName>
    <definedName name="Consultor">#N/A</definedName>
    <definedName name="CONT">#REF!</definedName>
    <definedName name="contra">#REF!</definedName>
    <definedName name="Contratante">#REF!</definedName>
    <definedName name="contratista">#REF!</definedName>
    <definedName name="CONTRATO">#REF!</definedName>
    <definedName name="COPIA" localSheetId="1">AIU!ERR</definedName>
    <definedName name="COPIA">[0]!ERR</definedName>
    <definedName name="COPIA1" localSheetId="1">#REF!</definedName>
    <definedName name="COPIA1">#REF!</definedName>
    <definedName name="COPIA2" localSheetId="1">#REF!</definedName>
    <definedName name="COPIA2">#REF!</definedName>
    <definedName name="copiao4" localSheetId="1">AIU!ERR</definedName>
    <definedName name="copiao4">[0]!ERR</definedName>
    <definedName name="corri" localSheetId="1">AIU!ERR</definedName>
    <definedName name="corri">[0]!ERR</definedName>
    <definedName name="COSTO_FRENTE">#REF!</definedName>
    <definedName name="COSTO_TRANSPORTE">#REF!</definedName>
    <definedName name="costo2" localSheetId="1" hidden="1">#REF!</definedName>
    <definedName name="costo2" hidden="1">#REF!</definedName>
    <definedName name="COSTODIRECTO" localSheetId="1">#REF!</definedName>
    <definedName name="COSTODIRECTO">#REF!</definedName>
    <definedName name="COSTOS" localSheetId="1">#REF!</definedName>
    <definedName name="COSTOS">#REF!</definedName>
    <definedName name="cp">#REF!</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#REF!</definedName>
    <definedName name="Criticidad">#REF!</definedName>
    <definedName name="Criticos">#REF!</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#REF!</definedName>
    <definedName name="CTE">#REF!</definedName>
    <definedName name="ctoin">#REF!</definedName>
    <definedName name="CTR">#REF!</definedName>
    <definedName name="CTRPAG">#REF!</definedName>
    <definedName name="cuad1">#REF!</definedName>
    <definedName name="cuad2">#REF!</definedName>
    <definedName name="cuad3">#REF!</definedName>
    <definedName name="cuad4">#REF!</definedName>
    <definedName name="CUAD5">#REF!</definedName>
    <definedName name="cuado">#REF!</definedName>
    <definedName name="CUAL" localSheetId="1">AIU!ERR</definedName>
    <definedName name="CUAL">[0]!ERR</definedName>
    <definedName name="CUBS" localSheetId="1">#REF!</definedName>
    <definedName name="CUBS">#REF!</definedName>
    <definedName name="CUENTA">#REF!</definedName>
    <definedName name="CUNET" localSheetId="1" hidden="1">{"via1",#N/A,TRUE,"general";"via2",#N/A,TRUE,"general";"via3",#N/A,TRUE,"general"}</definedName>
    <definedName name="CUNET" hidden="1">{"via1",#N/A,TRUE,"general";"via2",#N/A,TRUE,"general";"via3",#N/A,TRUE,"general"}</definedName>
    <definedName name="curva">"Chart 11"</definedName>
    <definedName name="Customize">#REF!</definedName>
    <definedName name="cv" localSheetId="1">#REF!</definedName>
    <definedName name="cv">#REF!</definedName>
    <definedName name="cv_51">#REF!</definedName>
    <definedName name="CVa">#REF!</definedName>
    <definedName name="cvbcvbf" localSheetId="1"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cx">#REF!</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_percápita">#REF!</definedName>
    <definedName name="DAFT">#REF!</definedName>
    <definedName name="DANODO">#REF!</definedName>
    <definedName name="DANODOF">#REF!</definedName>
    <definedName name="DANODOFT">#REF!</definedName>
    <definedName name="dario">#REF!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aDisplayed">"Ejemplo"</definedName>
    <definedName name="DATO1">#REF!</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 localSheetId="1">#REF!</definedName>
    <definedName name="dc">#REF!</definedName>
    <definedName name="Dcacm" localSheetId="1">#REF!</definedName>
    <definedName name="Dcacm">#REF!</definedName>
    <definedName name="DCF">#REF!</definedName>
    <definedName name="DCI" localSheetId="1">#REF!</definedName>
    <definedName name="DCI">#REF!</definedName>
    <definedName name="DCI1_1" localSheetId="1">#REF!</definedName>
    <definedName name="DCI1_1">#REF!</definedName>
    <definedName name="DCI1_1_1" localSheetId="1">#REF!</definedName>
    <definedName name="DCI1_1_1">#REF!</definedName>
    <definedName name="DCI1_1_2" localSheetId="1">#REF!</definedName>
    <definedName name="DCI1_1_2">#REF!</definedName>
    <definedName name="DCI1_1_3">#REF!</definedName>
    <definedName name="DCI1_1_4">#REF!</definedName>
    <definedName name="DCI1_2">#REF!</definedName>
    <definedName name="DCI1_3">#REF!</definedName>
    <definedName name="DCI1_4">#REF!</definedName>
    <definedName name="DCorriente" localSheetId="1">#REF!</definedName>
    <definedName name="DCorriente">#REF!</definedName>
    <definedName name="Dcorriente1" localSheetId="1">#REF!</definedName>
    <definedName name="Dcorriente1">#REF!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 hidden="1">#REF!</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D">#REF!</definedName>
    <definedName name="ddddt" localSheetId="1" hidden="1">{"via1",#N/A,TRUE,"general";"via2",#N/A,TRUE,"general";"via3",#N/A,TRUE,"general"}</definedName>
    <definedName name="ddddt" hidden="1">{"via1",#N/A,TRUE,"general";"via2",#N/A,TRUE,"general";"via3",#N/A,TRUE,"general"}</definedName>
    <definedName name="ddee">#REF!</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1">TRUNC(60*(ABS(#REF!)-DEFLEXION_GG))</definedName>
    <definedName name="DEFLEXION_MM">TRUNC(60*(ABS(#REF!)-DEFLEXION_GG))</definedName>
    <definedName name="DEFLEXION_SS" localSheetId="1">ROUND(3600*(ABS(#REF!)-DEFLEXION_GG-AIU!DEFLEXION_MM/60),0)</definedName>
    <definedName name="DEFLEXION_SS">ROUND(3600*(ABS(#REF!)-DEFLEXION_GG-DEFLEXION_MM/60),0)</definedName>
    <definedName name="demanto" localSheetId="1">#REF!</definedName>
    <definedName name="demanto">#REF!</definedName>
    <definedName name="demanto_51">#REF!</definedName>
    <definedName name="DEMOLICIÓN">#REF!</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#N/A</definedName>
    <definedName name="DERFE" localSheetId="1">#REF!</definedName>
    <definedName name="DERFE">#REF!</definedName>
    <definedName name="DERRUMBES111">#REF!</definedName>
    <definedName name="desarrolladas">#REF!,#REF!,#REF!,#REF!</definedName>
    <definedName name="DESCUNMI" localSheetId="1">#REF!</definedName>
    <definedName name="DESCUNMI">#REF!</definedName>
    <definedName name="DEST_ART" localSheetId="1">#REF!</definedName>
    <definedName name="DEST_ART">#REF!</definedName>
    <definedName name="DESTCOD" localSheetId="1">#REF!</definedName>
    <definedName name="DESTCOD">#REF!</definedName>
    <definedName name="DESTFG" localSheetId="1">#REF!</definedName>
    <definedName name="DESTFG">#REF!</definedName>
    <definedName name="DESTQTY" localSheetId="1">#REF!</definedName>
    <definedName name="DESTQTY">#REF!</definedName>
    <definedName name="DETAIL" localSheetId="1">#REF!</definedName>
    <definedName name="DETAIL">#REF!</definedName>
    <definedName name="Detalle_Reserva" localSheetId="1">#REF!</definedName>
    <definedName name="Detalle_Reserva">#REF!</definedName>
    <definedName name="DEX" localSheetId="1">#REF!</definedName>
    <definedName name="DEX">#REF!</definedName>
    <definedName name="DF" localSheetId="1">#REF!</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ER">#REF!</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gsdggh">#REF!</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#REF!</definedName>
    <definedName name="DIA">#REF!</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ego">#REF!</definedName>
    <definedName name="diego1">#REF!</definedName>
    <definedName name="diferencia" localSheetId="1">#REF!,#REF!,#REF!,#REF!,#REF!,#REF!,#REF!,#REF!,#REF!,#REF!</definedName>
    <definedName name="diferencia">#REF!,#REF!,#REF!,#REF!,#REF!,#REF!,#REF!,#REF!,#REF!,#REF!</definedName>
    <definedName name="DIJ" localSheetId="1">#REF!</definedName>
    <definedName name="DIJ">#REF!</definedName>
    <definedName name="DIJ1_1" localSheetId="1">#REF!</definedName>
    <definedName name="DIJ1_1">#REF!</definedName>
    <definedName name="DIJ1_1_1" localSheetId="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 localSheetId="1">#REF!</definedName>
    <definedName name="display_area_2">#REF!</definedName>
    <definedName name="DistanciasPRS7801">#REF!</definedName>
    <definedName name="DistanciasPRS9003">#REF!</definedName>
    <definedName name="DistanciasPRS9004">#REF!</definedName>
    <definedName name="dj">#REF!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lar">#REF!</definedName>
    <definedName name="DOLLAR">#REF!</definedName>
    <definedName name="DOR">#REF!</definedName>
    <definedName name="DOTACIÓN" localSheetId="1">#REF!</definedName>
    <definedName name="DOTACIÓN">#REF!</definedName>
    <definedName name="Dp">#REF!</definedName>
    <definedName name="DPI" localSheetId="1">#REF!</definedName>
    <definedName name="DPI">#REF!</definedName>
    <definedName name="DPI1_1" localSheetId="1">#REF!</definedName>
    <definedName name="DPI1_1">#REF!</definedName>
    <definedName name="DPI1_1_1">#REF!</definedName>
    <definedName name="DPY">#REF!</definedName>
    <definedName name="DPY1_1">#REF!</definedName>
    <definedName name="DPY1_1_1">#REF!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1" hidden="1">{"via1",#N/A,TRUE,"general";"via2",#N/A,TRUE,"general";"via3",#N/A,TRUE,"general"}</definedName>
    <definedName name="dry" hidden="1">{"via1",#N/A,TRUE,"general";"via2",#N/A,TRUE,"general";"via3",#N/A,TRUE,"general"}</definedName>
    <definedName name="DS">#REF!</definedName>
    <definedName name="DS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#REF!</definedName>
    <definedName name="DsctoPension">#REF!</definedName>
    <definedName name="DsctoSalud">#REF!</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 localSheetId="1">#REF!</definedName>
    <definedName name="dt">#REF!</definedName>
    <definedName name="dtrhj" localSheetId="1" hidden="1">{"via1",#N/A,TRUE,"general";"via2",#N/A,TRUE,"general";"via3",#N/A,TRUE,"general"}</definedName>
    <definedName name="dtrhj" hidden="1">{"via1",#N/A,TRUE,"general";"via2",#N/A,TRUE,"general";"via3",#N/A,TRUE,"general"}</definedName>
    <definedName name="DTS">#REF!</definedName>
    <definedName name="Dv">#REF!</definedName>
    <definedName name="dxfgg" localSheetId="1" hidden="1">{"via1",#N/A,TRUE,"general";"via2",#N/A,TRUE,"general";"via3",#N/A,TRUE,"general"}</definedName>
    <definedName name="dxfgg" hidden="1">{"via1",#N/A,TRUE,"general";"via2",#N/A,TRUE,"general";"via3",#N/A,TRUE,"general"}</definedName>
    <definedName name="E">#REF!</definedName>
    <definedName name="E_03">#REF!</definedName>
    <definedName name="e3e33" localSheetId="1" hidden="1">{"via1",#N/A,TRUE,"general";"via2",#N/A,TRUE,"general";"via3",#N/A,TRUE,"general"}</definedName>
    <definedName name="e3e33" hidden="1">{"via1",#N/A,TRUE,"general";"via2",#N/A,TRUE,"general";"via3",#N/A,TRUE,"general"}</definedName>
    <definedName name="ec">#REF!</definedName>
    <definedName name="ECP">#REF!</definedName>
    <definedName name="ECP1_1">#REF!</definedName>
    <definedName name="ECP1_1_1">#REF!</definedName>
    <definedName name="EDC" localSheetId="1">#REF!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AIU!ERR</definedName>
    <definedName name="EE">[0]!ERR</definedName>
    <definedName name="eee">#REF!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 localSheetId="1">Scheduled_Payment+Extra_Payment</definedName>
    <definedName name="EEEEEE" localSheetId="2">Scheduled_Payment+Extra_Payment</definedName>
    <definedName name="EEEEEE">Scheduled_Payment+Extra_Payment</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#REF!</definedName>
    <definedName name="ELIMINACIONPROYC" localSheetId="1">#REF!</definedName>
    <definedName name="ELIMINACIONPROYC">#REF!</definedName>
    <definedName name="emanto" localSheetId="1">#REF!</definedName>
    <definedName name="emanto">#REF!</definedName>
    <definedName name="emanto_51">#REF!</definedName>
    <definedName name="eme" localSheetId="1">AIU!ERR</definedName>
    <definedName name="eme">[0]!ERR</definedName>
    <definedName name="EMPLEADO" localSheetId="1">#REF!</definedName>
    <definedName name="EMPLEADO">#REF!</definedName>
    <definedName name="Empresa">#REF!</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ERO">#REF!</definedName>
    <definedName name="ENEROA">#REF!</definedName>
    <definedName name="Ensayos">#REF!</definedName>
    <definedName name="ENTRADASP">#REF!</definedName>
    <definedName name="EPECIALIDAD_SIDOE">#REF!</definedName>
    <definedName name="EPS">#REF!</definedName>
    <definedName name="EQUI">#REF!</definedName>
    <definedName name="equipo">#REF!</definedName>
    <definedName name="EQUIPO1" localSheetId="1">#REF!</definedName>
    <definedName name="EQUIPO1">#REF!</definedName>
    <definedName name="EQUIPOS1" localSheetId="1">#REF!</definedName>
    <definedName name="EQUIPOS1">#REF!</definedName>
    <definedName name="eqw" localSheetId="1" hidden="1">{"via1",#N/A,TRUE,"general";"via2",#N/A,TRUE,"general";"via3",#N/A,TRUE,"general"}</definedName>
    <definedName name="eqw" hidden="1">{"via1",#N/A,TRUE,"general";"via2",#N/A,TRUE,"general";"via3",#N/A,TRUE,"general"}</definedName>
    <definedName name="er">#REF!</definedName>
    <definedName name="ERE_ART">#REF!</definedName>
    <definedName name="erfg" localSheetId="1" hidden="1">{#N/A,#N/A,FALSE,"Hoja1";#N/A,#N/A,FALSE,"Hoja2"}</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#REF!</definedName>
    <definedName name="ERROR5">#REF!</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AIU!ERR</definedName>
    <definedName name="ES">[0]!ERR</definedName>
    <definedName name="ESA" localSheetId="1">#REF!</definedName>
    <definedName name="ESA">#REF!</definedName>
    <definedName name="ESE" localSheetId="1">#REF!</definedName>
    <definedName name="ESE">#REF!</definedName>
    <definedName name="ESP220.1">#REF!</definedName>
    <definedName name="ESP320.1">#REF!</definedName>
    <definedName name="ESP330.1">#REF!</definedName>
    <definedName name="ESP330.2">#REF!</definedName>
    <definedName name="ESP640.1.2">#REF!</definedName>
    <definedName name="ESP673.1">#REF!</definedName>
    <definedName name="ESP673.2">#REF!</definedName>
    <definedName name="ESP700.1">#REF!</definedName>
    <definedName name="ESPE" localSheetId="1">#REF!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#REF!</definedName>
    <definedName name="ESTRU">#REF!</definedName>
    <definedName name="ESTRUCTURA" localSheetId="1" hidden="1">{#N/A,#N/A,TRUE,"INGENIERIA";#N/A,#N/A,TRUE,"COMPRAS";#N/A,#N/A,TRUE,"DIRECCION";#N/A,#N/A,TRUE,"RESUMEN"}</definedName>
    <definedName name="ESTRUCTURA" hidden="1">{#N/A,#N/A,TRUE,"INGENIERIA";#N/A,#N/A,TRUE,"COMPRAS";#N/A,#N/A,TRUE,"DIRECCION";#N/A,#N/A,TRUE,"RESUMEN"}</definedName>
    <definedName name="ESTRUCTURAS">#REF!</definedName>
    <definedName name="et">#REF!</definedName>
    <definedName name="ETAP" localSheetId="1">#REF!</definedName>
    <definedName name="ETAP">#REF!</definedName>
    <definedName name="ETAPA_PACC" localSheetId="1">#REF!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 localSheetId="1">#REF!</definedName>
    <definedName name="Excel_BuiltIn_Print_Titles_15">#REF!</definedName>
    <definedName name="Excel_BuiltIn_Print_Titles_15_51">#REF!</definedName>
    <definedName name="Excel_BuiltIn_Print_Titles_16" localSheetId="1">#REF!</definedName>
    <definedName name="Excel_BuiltIn_Print_Titles_16">#REF!</definedName>
    <definedName name="Excel_BuiltIn_Print_Titles_16_51">#REF!</definedName>
    <definedName name="Excel_BuiltIn_Print_Titles_17" localSheetId="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0" localSheetId="1">#REF!</definedName>
    <definedName name="Excel_BuiltIn_Print_Titles_20">#REF!</definedName>
    <definedName name="Excel_BuiltIn_Print_Titles_20_51">#REF!</definedName>
    <definedName name="Excel_BuiltIn_Print_Titles_21" localSheetId="1">#REF!</definedName>
    <definedName name="Excel_BuiltIn_Print_Titles_21">#REF!</definedName>
    <definedName name="Excel_BuiltIn_Print_Titles_21_51">#REF!</definedName>
    <definedName name="Excel_BuiltIn_Print_Titles_23" localSheetId="1">#REF!</definedName>
    <definedName name="Excel_BuiltIn_Print_Titles_23">#REF!</definedName>
    <definedName name="Excel_BuiltIn_Print_Titles_23_51">#REF!</definedName>
    <definedName name="Excel_BuiltIn_Print_Titles_3" localSheetId="1">#REF!</definedName>
    <definedName name="Excel_BuiltIn_Print_Titles_3">#REF!</definedName>
    <definedName name="Excel_BuiltIn_Print_Titles_3_51">#REF!</definedName>
    <definedName name="Excel_BuiltIn_Print_Titles_5" localSheetId="1">#REF!</definedName>
    <definedName name="Excel_BuiltIn_Print_Titles_5">#REF!</definedName>
    <definedName name="Excel_BuiltIn_Print_Titles_5_51">#REF!</definedName>
    <definedName name="Excel_BuiltIn_Print_Titles_5_XX" localSheetId="1">#REF!</definedName>
    <definedName name="Excel_BuiltIn_Print_Titles_5_XX">#REF!</definedName>
    <definedName name="Excel_BuiltIn_Print_Titles_5_XX_51">#REF!</definedName>
    <definedName name="Excel_BuiltIn_Print_Titles_6" localSheetId="1">#REF!</definedName>
    <definedName name="Excel_BuiltIn_Print_Titles_6">#REF!</definedName>
    <definedName name="Excel_BuiltIn_Print_Titles_6_51">#REF!</definedName>
    <definedName name="Excel_BuiltIn_Print_Titles_7" localSheetId="1">#REF!</definedName>
    <definedName name="Excel_BuiltIn_Print_Titles_7">#REF!</definedName>
    <definedName name="Excel_BuiltIn_Print_Titles_7_51">#REF!</definedName>
    <definedName name="Excel_BuiltIn_Print_Titles_8" localSheetId="1">#REF!</definedName>
    <definedName name="Excel_BuiltIn_Print_Titles_8">#REF!</definedName>
    <definedName name="Excel_BuiltIn_Print_Titles_8_51">#REF!</definedName>
    <definedName name="Excel_BuiltIn_Print_Titles_9" localSheetId="1">#REF!</definedName>
    <definedName name="Excel_BuiltIn_Print_Titles_9">#REF!</definedName>
    <definedName name="Excel_BuiltIn_Print_Titles_9_51">#REF!</definedName>
    <definedName name="EXCROC">#REF!</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#REF!</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#REF!</definedName>
    <definedName name="FAC" hidden="1">#REF!</definedName>
    <definedName name="FACIL">#REF!</definedName>
    <definedName name="Facilidades">#REF!</definedName>
    <definedName name="factor">#REF!</definedName>
    <definedName name="FACTURADO">#REF!</definedName>
    <definedName name="FareWellStmnt">#REF!</definedName>
    <definedName name="FaseProyecto" localSheetId="1">#REF!</definedName>
    <definedName name="FaseProyecto">#REF!</definedName>
    <definedName name="fb">#REF!</definedName>
    <definedName name="FD" localSheetId="1">AIU!ERR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RO">#REF!</definedName>
    <definedName name="Fecha">#REF!</definedName>
    <definedName name="FechaInicio">#REF!</definedName>
    <definedName name="FechaTermina">#REF!</definedName>
    <definedName name="FechaTerminacion" localSheetId="1">#REF!</definedName>
    <definedName name="FechaTerminacion">#REF!</definedName>
    <definedName name="FENREO">#REF!</definedName>
    <definedName name="fer" localSheetId="1">#REF!</definedName>
    <definedName name="fer">#REF!</definedName>
    <definedName name="ferfer" localSheetId="1" hidden="1">{"via1",#N/A,TRUE,"general";"via2",#N/A,TRUE,"general";"via3",#N/A,TRUE,"general"}</definedName>
    <definedName name="ferfer" hidden="1">{"via1",#N/A,TRUE,"general";"via2",#N/A,TRUE,"general";"via3",#N/A,TRUE,"general"}</definedName>
    <definedName name="FERNANDO">#REF!</definedName>
    <definedName name="fevenad1">#REF!</definedName>
    <definedName name="fevenad2">#REF!</definedName>
    <definedName name="fevenin">#REF!</definedName>
    <definedName name="ff" localSheetId="1">AIU!ERR</definedName>
    <definedName name="ff">[0]!ERR</definedName>
    <definedName name="fff" localSheetId="1" hidden="1">{"via1",#N/A,TRUE,"general";"via2",#N/A,TRUE,"general";"via3",#N/A,TRUE,"general"}</definedName>
    <definedName name="fff" hidden="1">{"via1",#N/A,TRUE,"general";"via2",#N/A,TRUE,"general";"via3",#N/A,TRUE,"general"}</definedName>
    <definedName name="ffff">#REF!</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AIU!ERR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#REF!</definedName>
    <definedName name="fgghhj" localSheetId="1" hidden="1">{"via1",#N/A,TRUE,"general";"via2",#N/A,TRUE,"general";"via3",#N/A,TRUE,"general"}</definedName>
    <definedName name="fgghhj" hidden="1">{"via1",#N/A,TRUE,"general";"via2",#N/A,TRUE,"general";"via3",#N/A,TRUE,"general"}</definedName>
    <definedName name="FGGSFGSDFSDFSDF">#REF!</definedName>
    <definedName name="fgh">#REF!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l">#REF!</definedName>
    <definedName name="FINANCIACION" localSheetId="1">AIU!ERR</definedName>
    <definedName name="FINANCIACION">[0]!ERR</definedName>
    <definedName name="FinePrint">#REF!</definedName>
    <definedName name="FINI">#REF!</definedName>
    <definedName name="Finisher">#REF!</definedName>
    <definedName name="fk">#REF!</definedName>
    <definedName name="flq">#REF!</definedName>
    <definedName name="FM">1.18</definedName>
    <definedName name="fnic">#REF!</definedName>
    <definedName name="FO">1.32</definedName>
    <definedName name="FONDOPEN">#REF!</definedName>
    <definedName name="FORDESCR">#REF!</definedName>
    <definedName name="FORM_C3">#REF!</definedName>
    <definedName name="FORMALE">#REF!</definedName>
    <definedName name="FORMOLT">#REF!</definedName>
    <definedName name="Formulario">+#REF!</definedName>
    <definedName name="formularioCantidades">#REF!</definedName>
    <definedName name="FORSHE">#REF!</definedName>
    <definedName name="FORUNMIS">#REF!</definedName>
    <definedName name="FOTO">#REF!</definedName>
    <definedName name="FOTOS">#REF!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fr" localSheetId="1" hidden="1">{"via1",#N/A,TRUE,"general";"via2",#N/A,TRUE,"general";"via3",#N/A,TRUE,"general"}</definedName>
    <definedName name="frefr" hidden="1">{"via1",#N/A,TRUE,"general";"via2",#N/A,TRUE,"general";"via3",#N/A,TRUE,"general"}</definedName>
    <definedName name="fres">#REF!</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#REF!</definedName>
    <definedName name="fu" localSheetId="1">AIU!ERR</definedName>
    <definedName name="fu">[0]!ERR</definedName>
    <definedName name="Full_Print" localSheetId="1">#REF!</definedName>
    <definedName name="Full_Print">#REF!</definedName>
    <definedName name="fv">#REF!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 localSheetId="1">#REF!</definedName>
    <definedName name="G1_">#REF!</definedName>
    <definedName name="ga">#REF!</definedName>
    <definedName name="GAJ" localSheetId="1">#REF!</definedName>
    <definedName name="GAJ">#REF!</definedName>
    <definedName name="GAS" localSheetId="1">#REF!</definedName>
    <definedName name="GAS">#REF!</definedName>
    <definedName name="GATO">#REF!</definedName>
    <definedName name="gavion">#REF!</definedName>
    <definedName name="gb">#REF!</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#REF!</definedName>
    <definedName name="GCI">#REF!</definedName>
    <definedName name="GCN">#REF!</definedName>
    <definedName name="GCP">#REF!</definedName>
    <definedName name="gd">#REF!</definedName>
    <definedName name="gddfgdfgdf">#REF!</definedName>
    <definedName name="gdj">#REF!</definedName>
    <definedName name="GDN">#REF!</definedName>
    <definedName name="GDR">#REF!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 localSheetId="1">#REF!</definedName>
    <definedName name="GEC_ON_DAPIAY">#REF!</definedName>
    <definedName name="GEC_ON_GER" localSheetId="1">#REF!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otextil">#REF!</definedName>
    <definedName name="GERENCIA">#REF!</definedName>
    <definedName name="GERENCIA1">#REF!</definedName>
    <definedName name="GERENCIA2">#REF!</definedName>
    <definedName name="Gerente">#REF!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FGSFGGSFGS">#REF!</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#REF!</definedName>
    <definedName name="gft">#REF!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AIU!ERR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gggggggggg">#REF!</definedName>
    <definedName name="ggggggggggggggggggg">#REF!</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#REF!</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hu">#REF!</definedName>
    <definedName name="GI" localSheetId="1">MATCH(0.01,[0]!End_Bal,-1)+1</definedName>
    <definedName name="GI">MATCH(0.01,[0]!End_Bal,-1)+1</definedName>
    <definedName name="gj">#REF!</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#REF!</definedName>
    <definedName name="GM">#N/A</definedName>
    <definedName name="GMM_ON_ASO">#REF!</definedName>
    <definedName name="GMM_ON_DMARES" localSheetId="1">#REF!</definedName>
    <definedName name="GMM_ON_DMARES">#REF!</definedName>
    <definedName name="GMM_ON_DRIO" localSheetId="1">#REF!</definedName>
    <definedName name="GMM_ON_DRIO">#REF!</definedName>
    <definedName name="gmt">#REF!</definedName>
    <definedName name="gn">#REF!</definedName>
    <definedName name="gnm">#REF!</definedName>
    <definedName name="gñ">#REF!</definedName>
    <definedName name="GOR" localSheetId="1">#REF!</definedName>
    <definedName name="GOR">#REF!</definedName>
    <definedName name="GOT" localSheetId="1">#REF!</definedName>
    <definedName name="GOT">#REF!</definedName>
    <definedName name="gp">#REF!</definedName>
    <definedName name="GPO" localSheetId="1">#REF!</definedName>
    <definedName name="GPO">#REF!</definedName>
    <definedName name="GPR" localSheetId="1">#REF!</definedName>
    <definedName name="GPR">#REF!</definedName>
    <definedName name="_xlnm.Recorder" localSheetId="1">#REF!</definedName>
    <definedName name="_xlnm.Recorde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ava">#REF!</definedName>
    <definedName name="GRAVILLA">#REF!</definedName>
    <definedName name="GRC" localSheetId="1">#REF!</definedName>
    <definedName name="GRC">#REF!</definedName>
    <definedName name="GRC_ON_ASO" localSheetId="1">#REF!</definedName>
    <definedName name="GRC_ON_ASO">#REF!</definedName>
    <definedName name="GRC_ON_DAPIAY" localSheetId="1">#REF!</definedName>
    <definedName name="GRC_ON_DAPIAY">#REF!</definedName>
    <definedName name="GRC_ON_GER" localSheetId="1">#REF!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l">#REF!</definedName>
    <definedName name="GRM">#REF!</definedName>
    <definedName name="GRM_ON_DMARES" localSheetId="1">#REF!</definedName>
    <definedName name="GRM_ON_DMARES">#REF!</definedName>
    <definedName name="GRM_ON_DRIO" localSheetId="1">#REF!</definedName>
    <definedName name="GRM_ON_DRIO">#REF!</definedName>
    <definedName name="GRN" localSheetId="1">#REF!</definedName>
    <definedName name="GRN">#REF!</definedName>
    <definedName name="GRN_ON_ASO" localSheetId="1">#REF!</definedName>
    <definedName name="GRN_ON_ASO">#REF!</definedName>
    <definedName name="GRN_ON_DIREC" localSheetId="1">#REF!</definedName>
    <definedName name="GRN_ON_DIREC">#REF!</definedName>
    <definedName name="GRS" localSheetId="1">#REF!</definedName>
    <definedName name="GRS">#REF!</definedName>
    <definedName name="GRS_ON_ASO" localSheetId="1">#REF!</definedName>
    <definedName name="GRS_ON_ASO">#REF!</definedName>
    <definedName name="GRS_ON_DIREC" localSheetId="1">#REF!</definedName>
    <definedName name="GRS_ON_DIREC">#REF!</definedName>
    <definedName name="GRS_ON_HUIL" localSheetId="1">#REF!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 localSheetId="1">#REF!</definedName>
    <definedName name="GTRE">#REF!</definedName>
    <definedName name="guadua">#REF!</definedName>
    <definedName name="gy">#REF!</definedName>
    <definedName name="h" localSheetId="1">#REF!</definedName>
    <definedName name="h">#REF!</definedName>
    <definedName name="H_pump" localSheetId="1">#REF!</definedName>
    <definedName name="H_pump">#REF!</definedName>
    <definedName name="h9h" localSheetId="1" hidden="1">{"via1",#N/A,TRUE,"general";"via2",#N/A,TRUE,"general";"via3",#N/A,TRUE,"general"}</definedName>
    <definedName name="h9h" hidden="1">{"via1",#N/A,TRUE,"general";"via2",#N/A,TRUE,"general";"via3",#N/A,TRUE,"general"}</definedName>
    <definedName name="ha">#REF!</definedName>
    <definedName name="hab___viv">#REF!</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#REF!</definedName>
    <definedName name="HERRERO" localSheetId="1">#REF!</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1">AIU!ERR</definedName>
    <definedName name="hh">[0]!ERR</definedName>
    <definedName name="hhg" localSheetId="1" hidden="1">{#N/A,#N/A,TRUE,"1842CWN0"}</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HH">#REF!</definedName>
    <definedName name="HHHHHHHHHHHHHHHHH">#REF!</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SHDHDHGFHFGHFGH">#REF!</definedName>
    <definedName name="hhtrhreh" localSheetId="1" hidden="1">{"via1",#N/A,TRUE,"general";"via2",#N/A,TRUE,"general";"via3",#N/A,TRUE,"general"}</definedName>
    <definedName name="hhtrhreh" hidden="1">{"via1",#N/A,TRUE,"general";"via2",#N/A,TRUE,"general";"via3",#N/A,TRUE,"general"}</definedName>
    <definedName name="Hid">#REF!</definedName>
    <definedName name="HIDE1">#REF!</definedName>
    <definedName name="Hierro">#REF!</definedName>
    <definedName name="hit">#REF!</definedName>
    <definedName name="hj">#REF!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AIU!ERR</definedName>
    <definedName name="HK">[0]!ERR</definedName>
    <definedName name="hl">#REF!</definedName>
    <definedName name="HM" localSheetId="1">#REF!</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JA1" localSheetId="1">#REF!</definedName>
    <definedName name="HOJA1">#REF!</definedName>
    <definedName name="HOJA8">#REF!</definedName>
    <definedName name="HORA2">#REF!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1">#REF!</definedName>
    <definedName name="horat">#REF!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 localSheetId="1">#REF!</definedName>
    <definedName name="Hornos">#REF!</definedName>
    <definedName name="hp">#REF!</definedName>
    <definedName name="HP_stg_Hz" localSheetId="1">#REF!</definedName>
    <definedName name="HP_stg_Hz">#REF!</definedName>
    <definedName name="hqi">#REF!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SFGSSGSGFG">#REF!</definedName>
    <definedName name="ht">#REF!</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1" hidden="1">{"via1",#N/A,TRUE,"general";"via2",#N/A,TRUE,"general";"via3",#N/A,TRUE,"general"}</definedName>
    <definedName name="htryrt7" hidden="1">{"via1",#N/A,TRUE,"general";"via2",#N/A,TRUE,"general";"via3",#N/A,TRUE,"general"}</definedName>
    <definedName name="HU">#REF!</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 localSheetId="1">#REF!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 localSheetId="1">#REF!</definedName>
    <definedName name="Icct">#REF!</definedName>
    <definedName name="ICP" localSheetId="1">#REF!</definedName>
    <definedName name="ICP">#REF!</definedName>
    <definedName name="ICP1_1" localSheetId="1">#REF!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1">AIU!ERR</definedName>
    <definedName name="ID">[0]!ERR</definedName>
    <definedName name="IF" localSheetId="1">#REF!</definedName>
    <definedName name="IF">#REF!</definedName>
    <definedName name="Ig" localSheetId="1">#REF!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#N/A</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#REF!</definedName>
    <definedName name="IMPRESSION" localSheetId="1">#REF!</definedName>
    <definedName name="IMPRESSION">#REF!</definedName>
    <definedName name="IMPREVISTOS">#REF!</definedName>
    <definedName name="imprimir" localSheetId="1">#REF!</definedName>
    <definedName name="imprimir">#REF!</definedName>
    <definedName name="IMPTOS" localSheetId="1">#REF!</definedName>
    <definedName name="IMPTOS">#REF!</definedName>
    <definedName name="IMPTOS1">#REF!</definedName>
    <definedName name="INC">#REF!</definedName>
    <definedName name="INCR._PRODC.">#REF!</definedName>
    <definedName name="INDI">#N/A</definedName>
    <definedName name="INDICE">#REF!</definedName>
    <definedName name="inf">#REF!</definedName>
    <definedName name="INFG">#REF!</definedName>
    <definedName name="INFORME">#REF!</definedName>
    <definedName name="Informe_semanal" localSheetId="1">#REF!</definedName>
    <definedName name="Informe_semanal">#REF!</definedName>
    <definedName name="Ing">#REF!</definedName>
    <definedName name="INGENIERIA1" localSheetId="1" hidden="1">#REF!</definedName>
    <definedName name="INGENIERIA1" hidden="1">#REF!</definedName>
    <definedName name="INGENIERIA11" localSheetId="1" hidden="1">#REF!</definedName>
    <definedName name="INGENIERIA11" hidden="1">#REF!</definedName>
    <definedName name="iniciales">#REF!,#REF!,#REF!,#REF!</definedName>
    <definedName name="Inicio">#REF!</definedName>
    <definedName name="INPU" localSheetId="1">#REF!</definedName>
    <definedName name="INPU">#REF!</definedName>
    <definedName name="INPUT" localSheetId="1">#REF!</definedName>
    <definedName name="INPUT">#REF!</definedName>
    <definedName name="INSU" localSheetId="1">#REF!</definedName>
    <definedName name="INSU">#REF!</definedName>
    <definedName name="Insumos_auxiliares" localSheetId="1">#REF!</definedName>
    <definedName name="Insumos_auxiliares">#REF!</definedName>
    <definedName name="Insumos_basicos" localSheetId="1">#REF!</definedName>
    <definedName name="Insumos_basicos">#REF!</definedName>
    <definedName name="Int" localSheetId="1">#REF!</definedName>
    <definedName name="Int">#REF!</definedName>
    <definedName name="InTap">#REF!</definedName>
    <definedName name="INTER">#REF!</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#REF!</definedName>
    <definedName name="IntVal">#REF!</definedName>
    <definedName name="INV">#REF!</definedName>
    <definedName name="INV_11">#REF!</definedName>
    <definedName name="INV_Payments">#REF!</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 localSheetId="1">AIU!ERR</definedName>
    <definedName name="IOUHH">[0]!ERR</definedName>
    <definedName name="IP" localSheetId="1">#REF!</definedName>
    <definedName name="IP">#REF!</definedName>
    <definedName name="ir">#REF!</definedName>
    <definedName name="irng" localSheetId="1" hidden="1">#REF!</definedName>
    <definedName name="irng" hidden="1">#REF!</definedName>
    <definedName name="irrigador">#REF!</definedName>
    <definedName name="Iss">#REF!</definedName>
    <definedName name="issafp">#REF!</definedName>
    <definedName name="isscs">#REF!</definedName>
    <definedName name="isseps">#REF!</definedName>
    <definedName name="it.">#REF!</definedName>
    <definedName name="ITEM">#REF!</definedName>
    <definedName name="ITEM1" localSheetId="1">#REF!</definedName>
    <definedName name="ITEM1">#REF!</definedName>
    <definedName name="ITEM1_133">#REF!</definedName>
    <definedName name="ITEM1_149">#REF!</definedName>
    <definedName name="ITEM1_186">#REF!</definedName>
    <definedName name="ITEM1_187">#REF!</definedName>
    <definedName name="ITEM15" localSheetId="1">#REF!</definedName>
    <definedName name="ITEM15">#REF!</definedName>
    <definedName name="ITEM15_133">#REF!</definedName>
    <definedName name="ITEM15_149">#REF!</definedName>
    <definedName name="ITEM15_186">#REF!</definedName>
    <definedName name="ITEM15_187">#REF!</definedName>
    <definedName name="ITEM2" localSheetId="1">#REF!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Ítem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 localSheetId="1">#REF!</definedName>
    <definedName name="iwjer">#REF!</definedName>
    <definedName name="iyuiuyi" localSheetId="1" hidden="1">{"via1",#N/A,TRUE,"general";"via2",#N/A,TRUE,"general";"via3",#N/A,TRUE,"general"}</definedName>
    <definedName name="iyuiuyi" hidden="1">{"via1",#N/A,TRUE,"general";"via2",#N/A,TRUE,"general";"via3",#N/A,TRUE,"general"}</definedName>
    <definedName name="IZQ">#N/A</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1" hidden="1">{"via1",#N/A,TRUE,"general";"via2",#N/A,TRUE,"general";"via3",#N/A,TRUE,"general"}</definedName>
    <definedName name="jd" hidden="1">{"via1",#N/A,TRUE,"general";"via2",#N/A,TRUE,"general";"via3",#N/A,TRUE,"general"}</definedName>
    <definedName name="JdannaC">#N/A</definedName>
    <definedName name="JdannaCA">#N/A</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FEINM">#REF!</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AIU!ERR</definedName>
    <definedName name="jj">[0]!ERR</definedName>
    <definedName name="jjfq" localSheetId="1"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#REF!</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n">#REF!</definedName>
    <definedName name="jñ">#REF!</definedName>
    <definedName name="jo">#REF!</definedName>
    <definedName name="JOHNNY" localSheetId="1">AIU!ERR</definedName>
    <definedName name="JOHNNY">[0]!ERR</definedName>
    <definedName name="JRYJ" localSheetId="1" hidden="1">{"via1",#N/A,TRUE,"general";"via2",#N/A,TRUE,"general";"via3",#N/A,TRUE,"general"}</definedName>
    <definedName name="JRYJ" hidden="1">{"via1",#N/A,TRUE,"general";"via2",#N/A,TRUE,"general";"via3",#N/A,TRUE,"general"}</definedName>
    <definedName name="jt">#REF!</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AIU!ERR</definedName>
    <definedName name="kl">[0]!ERR</definedName>
    <definedName name="klklk" localSheetId="1">#REF!</definedName>
    <definedName name="klklk">#REF!</definedName>
    <definedName name="km" localSheetId="1">#REF!</definedName>
    <definedName name="km">#REF!</definedName>
    <definedName name="kñy">#REF!</definedName>
    <definedName name="KO" localSheetId="1">#REF!</definedName>
    <definedName name="ko">#REF!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#REF!</definedName>
    <definedName name="lia">#REF!</definedName>
    <definedName name="Libro1_Hoja1_Lista">#REF!</definedName>
    <definedName name="LICITACION" localSheetId="1">#REF!</definedName>
    <definedName name="LICITACION">#REF!</definedName>
    <definedName name="LINA">#REF!</definedName>
    <definedName name="linc1">#REF!</definedName>
    <definedName name="linc2">#REF!</definedName>
    <definedName name="linc3">#REF!</definedName>
    <definedName name="linc4">#REF!</definedName>
    <definedName name="linc5">#REF!</definedName>
    <definedName name="LINEA" localSheetId="1">#REF!</definedName>
    <definedName name="LINEA">#REF!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#REF!</definedName>
    <definedName name="ListaUni">#REF!</definedName>
    <definedName name="listequi">#REF!</definedName>
    <definedName name="listmat">#REF!</definedName>
    <definedName name="liston">#REF!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ANTAS">#REF!</definedName>
    <definedName name="LLL">#REF!</definedName>
    <definedName name="LLL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M">#REF!</definedName>
    <definedName name="LÑP">#REF!</definedName>
    <definedName name="lo">#REF!</definedName>
    <definedName name="Loan_Amount">#REF!</definedName>
    <definedName name="Loan_Start">#REF!</definedName>
    <definedName name="Loan_Years">#REF!</definedName>
    <definedName name="loc">#REF!</definedName>
    <definedName name="LOCA">#REF!</definedName>
    <definedName name="LOCA1">#REF!</definedName>
    <definedName name="LOCA2">#REF!</definedName>
    <definedName name="LOCALIZACION">#REF!</definedName>
    <definedName name="LOCALIZACION_Y_REPLANTEO" localSheetId="1">#REF!</definedName>
    <definedName name="LOCALIZACION_Y_REPLANTEO">#REF!</definedName>
    <definedName name="LOCALIZACIÓN_Y_REPLANTEO._ESTRUCTURAS">#REF!</definedName>
    <definedName name="LOGO" localSheetId="1">AIU!ERR</definedName>
    <definedName name="LOGO">[0]!ERR</definedName>
    <definedName name="LOI">#REF!</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#REF!</definedName>
    <definedName name="lplpl" localSheetId="1" hidden="1">{"via1",#N/A,TRUE,"general";"via2",#N/A,TRUE,"general";"via3",#N/A,TRUE,"general"}</definedName>
    <definedName name="lplpl" hidden="1">{"via1",#N/A,TRUE,"general";"via2",#N/A,TRUE,"general";"via3",#N/A,TRUE,"general"}</definedName>
    <definedName name="lsttros">#REF!</definedName>
    <definedName name="lt">#REF!</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lun" localSheetId="1">#REF!</definedName>
    <definedName name="lun">#REF!</definedName>
    <definedName name="LUNA">#REF!</definedName>
    <definedName name="lv" localSheetId="1">#REF!</definedName>
    <definedName name="lv">#REF!</definedName>
    <definedName name="m" localSheetId="1">#REF!</definedName>
    <definedName name="m">#REF!</definedName>
    <definedName name="MA" localSheetId="1">#REF!</definedName>
    <definedName name="MA">#REF!</definedName>
    <definedName name="MACR" localSheetId="1">#REF!</definedName>
    <definedName name="MACR">#REF!</definedName>
    <definedName name="MACRDEL" localSheetId="1">#REF!</definedName>
    <definedName name="MACRDEL">#REF!</definedName>
    <definedName name="Macroactividad" localSheetId="1">#REF!</definedName>
    <definedName name="Macroactividad">#REF!</definedName>
    <definedName name="maestro">#REF!</definedName>
    <definedName name="mafdsf" localSheetId="1" hidden="1">{"via1",#N/A,TRUE,"general";"via2",#N/A,TRUE,"general";"via3",#N/A,TRUE,"general"}</definedName>
    <definedName name="mafdsf" hidden="1">{"via1",#N/A,TRUE,"general";"via2",#N/A,TRUE,"general";"via3",#N/A,TRUE,"general"}</definedName>
    <definedName name="MAL">#REF!&lt;2.5</definedName>
    <definedName name="MALO">#REF!&lt;2.5</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#REF!</definedName>
    <definedName name="Maquinaria">#N/A</definedName>
    <definedName name="mar" localSheetId="1">#REF!</definedName>
    <definedName name="mar">#REF!</definedName>
    <definedName name="MARAVILLA" localSheetId="1" hidden="1">{"PRES REHAB ARM-PER POR ITEMS  KM A KM",#N/A,TRUE,"Rehabilitacion Arm-Per"}</definedName>
    <definedName name="MARAVILLA" hidden="1">{"PRES REHAB ARM-PER POR ITEMS  KM A KM",#N/A,TRUE,"Rehabilitacion Arm-Per"}</definedName>
    <definedName name="marcela">#REF!</definedName>
    <definedName name="MARCO_H" localSheetId="1">#REF!</definedName>
    <definedName name="MARCO_H">#REF!</definedName>
    <definedName name="maria">#REF!</definedName>
    <definedName name="MARILUZ">#REF!</definedName>
    <definedName name="marina" localSheetId="1">#REF!</definedName>
    <definedName name="marina">#REF!</definedName>
    <definedName name="MARINAS">#REF!</definedName>
    <definedName name="martillo">#REF!</definedName>
    <definedName name="MARY">#REF!</definedName>
    <definedName name="MARYLUZ" localSheetId="1" hidden="1">{"PRES REHAB ARM-PER POR ITEMS  KM A KM",#N/A,TRUE,"Rehabilitacion Arm-Per"}</definedName>
    <definedName name="MARYLUZ" hidden="1">{"PRES REHAB ARM-PER POR ITEMS  KM A KM",#N/A,TRUE,"Rehabilitacion Arm-Per"}</definedName>
    <definedName name="marzito">#REF!</definedName>
    <definedName name="MARZO">#REF!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#REF!</definedName>
    <definedName name="MATERIAL">#REF!</definedName>
    <definedName name="materiales">#REF!</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#REF!</definedName>
    <definedName name="MATRIZRICS">#REF!</definedName>
    <definedName name="MAX">#REF!</definedName>
    <definedName name="MAYO">#REF!</definedName>
    <definedName name="MCCs">#REF!</definedName>
    <definedName name="mdd" localSheetId="1" hidden="1">{"via1",#N/A,TRUE,"general";"via2",#N/A,TRUE,"general";"via3",#N/A,TRUE,"general"}</definedName>
    <definedName name="mdd" hidden="1">{"via1",#N/A,TRUE,"general";"via2",#N/A,TRUE,"general";"via3",#N/A,TRUE,"general"}</definedName>
    <definedName name="MEDARDO">#REF!</definedName>
    <definedName name="mediah_reposo_comida">#REF!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1">#REF!</definedName>
    <definedName name="MESES">#REF!</definedName>
    <definedName name="MesesMora">#REF!</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IO">#REF!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#REF!</definedName>
    <definedName name="MOA" localSheetId="1" hidden="1">{#N/A,#N/A,FALSE,"Hoja1";#N/A,#N/A,FALSE,"Hoja2"}</definedName>
    <definedName name="MOA" hidden="1">{#N/A,#N/A,FALSE,"Hoja1";#N/A,#N/A,FALSE,"Hoja2"}</definedName>
    <definedName name="MOD">#REF!</definedName>
    <definedName name="MODIVejec" localSheetId="1"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1" hidden="1">{#N/A,#N/A,FALSE,"Hoja1";#N/A,#N/A,FALSE,"Hoja2"}</definedName>
    <definedName name="MOE" hidden="1">{#N/A,#N/A,FALSE,"Hoja1";#N/A,#N/A,FALSE,"Hoja2"}</definedName>
    <definedName name="MONEDA">#REF!</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#REF!</definedName>
    <definedName name="MontoVigenciasA4">#REF!</definedName>
    <definedName name="MontoVigenciasA5">#REF!</definedName>
    <definedName name="Mora">#REF!</definedName>
    <definedName name="MORON" localSheetId="1">#REF!</definedName>
    <definedName name="MORON">#REF!</definedName>
    <definedName name="MOTO">#REF!</definedName>
    <definedName name="MOTOBOMBA">#REF!</definedName>
    <definedName name="Motoniv">#REF!</definedName>
    <definedName name="motosierra">#REF!</definedName>
    <definedName name="mpdirint">#REF!</definedName>
    <definedName name="mprelecon">#REF!</definedName>
    <definedName name="mr">#REF!</definedName>
    <definedName name="MRLART" localSheetId="1">#REF!</definedName>
    <definedName name="MRLART">#REF!</definedName>
    <definedName name="MRSUPDET" localSheetId="1">#REF!</definedName>
    <definedName name="MRSUPDET">#REF!</definedName>
    <definedName name="Mtz_Avance" localSheetId="1">#REF!</definedName>
    <definedName name="Mtz_Avance">#REF!</definedName>
    <definedName name="Mv" localSheetId="1">#REF!</definedName>
    <definedName name="Mv">#REF!</definedName>
    <definedName name="n" localSheetId="1"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#REF!</definedName>
    <definedName name="nbv">#REF!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G">#REF!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#REF!</definedName>
    <definedName name="NJH">#REF!</definedName>
    <definedName name="NM">#REF!</definedName>
    <definedName name="Nmax" localSheetId="1">#REF!</definedName>
    <definedName name="Nmax">#REF!</definedName>
    <definedName name="nmdlf" localSheetId="1">#REF!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AIU!ERR</definedName>
    <definedName name="NO">[0]!ERR</definedName>
    <definedName name="No._tanques">#REF!</definedName>
    <definedName name="No_desarrolladas">#REF!,#REF!,#REF!,#REF!</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#REF!</definedName>
    <definedName name="NombreVicepresidencia">#REF!</definedName>
    <definedName name="Norte">#REF!</definedName>
    <definedName name="NOVIEMBRE">MATCH(0.01,#REF!,-1)+1</definedName>
    <definedName name="NPAGE">#REF!</definedName>
    <definedName name="nr">#REF!</definedName>
    <definedName name="NroCODIGO">#REF!</definedName>
    <definedName name="NroDOCUMENTO">#REF!</definedName>
    <definedName name="nt">#REF!</definedName>
    <definedName name="NUEVO" localSheetId="1">#REF!</definedName>
    <definedName name="NUEVO">#REF!</definedName>
    <definedName name="Num_Pmt_Per_Year" localSheetId="1">#REF!</definedName>
    <definedName name="Num_Pmt_Per_Year">#REF!</definedName>
    <definedName name="Number_of_Payments" localSheetId="1">MATCH(0.01,AIU!End_Bal,-1)+1</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localSheetId="1" hidden="1">{"via1",#N/A,TRUE,"general";"via2",#N/A,TRUE,"general";"via3",#N/A,TRUE,"general"}</definedName>
    <definedName name="ñpñpñ" hidden="1">{"via1",#N/A,TRUE,"general";"via2",#N/A,TRUE,"general";"via3",#N/A,TRUE,"general"}</definedName>
    <definedName name="ñpo">#REF!</definedName>
    <definedName name="O">#REF!</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#REF!</definedName>
    <definedName name="ObjetivoProyecto" localSheetId="1">#REF!</definedName>
    <definedName name="ObjetivoProyecto">#REF!</definedName>
    <definedName name="OBJETO">#REF!</definedName>
    <definedName name="Obra" localSheetId="1">#REF!</definedName>
    <definedName name="Obra">#REF!</definedName>
    <definedName name="obras" localSheetId="1" hidden="1">#REF!</definedName>
    <definedName name="obras" hidden="1">#REF!</definedName>
    <definedName name="obras1" localSheetId="1">DATE(YEAR(#REF!),MONTH(#REF!)+Payment_Number,DAY(#REF!))</definedName>
    <definedName name="obras1" localSheetId="2">DATE(YEAR(#REF!),MONTH(#REF!)+Payment_Number,DAY(#REF!))</definedName>
    <definedName name="obras1">DATE(YEAR(#REF!),MONTH(#REF!)+Payment_Number,DAY(#REF!))</definedName>
    <definedName name="obras11" localSheetId="1" hidden="1">#REF!</definedName>
    <definedName name="obras11" hidden="1">#REF!</definedName>
    <definedName name="obras111" localSheetId="1">DATE(YEAR(#REF!),MONTH(#REF!)+Payment_Number,DAY(#REF!))</definedName>
    <definedName name="obras111" localSheetId="2">DATE(YEAR(#REF!),MONTH(#REF!)+Payment_Number,DAY(#REF!))</definedName>
    <definedName name="obras111">DATE(YEAR(#REF!),MONTH(#REF!)+Payment_Number,DAY(#REF!))</definedName>
    <definedName name="obrero">#REF!</definedName>
    <definedName name="OBSERVACIONES">#REF!</definedName>
    <definedName name="OCD">#REF!</definedName>
    <definedName name="OCD1_1">#REF!</definedName>
    <definedName name="OCD1_1_1">#REF!</definedName>
    <definedName name="OCI">#REF!</definedName>
    <definedName name="OCI1_1">#REF!</definedName>
    <definedName name="OCI1_1_1">#REF!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#REF!</definedName>
    <definedName name="oficial">#REF!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dor">#REF!</definedName>
    <definedName name="OPERADORES">#REF!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s">#REF!</definedName>
    <definedName name="OSCAR">#REF!</definedName>
    <definedName name="OTR">#REF!</definedName>
    <definedName name="OTRO">#REF!</definedName>
    <definedName name="otros">#REF!</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JARITA">#REF!</definedName>
    <definedName name="Parametro_Peso">#REF!</definedName>
    <definedName name="Pav">#N/A</definedName>
    <definedName name="Pay_Date" localSheetId="1">#REF!</definedName>
    <definedName name="Pay_Date">#REF!</definedName>
    <definedName name="Pay_Num" localSheetId="1">#REF!</definedName>
    <definedName name="Pay_Num">#REF!</definedName>
    <definedName name="Payment_Date" localSheetId="1">DATE(YEAR(Loan_Start),MONTH(Loan_Start)+Payment_Number,DAY(Loan_Start))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 localSheetId="2">DATE(YEAR(#REF!),MONTH(#REF!)+Payment_Number,DAY(#REF!))</definedName>
    <definedName name="Payment_Date1">DATE(YEAR(#REF!),MONTH(#REF!)+Payment_Number,DAY(#REF!))</definedName>
    <definedName name="Payment_Needed">"Pago necesario"</definedName>
    <definedName name="PAZ">#REF!</definedName>
    <definedName name="Pb">#REF!</definedName>
    <definedName name="pc">#REF!</definedName>
    <definedName name="Pd">#REF!</definedName>
    <definedName name="PEPE" localSheetId="1">AIU!ERR</definedName>
    <definedName name="PEPE">[0]!ERR</definedName>
    <definedName name="Periodo">#REF!</definedName>
    <definedName name="PeriodoPago">#REF!</definedName>
    <definedName name="PeriodoRepago" localSheetId="1">#REF!</definedName>
    <definedName name="PeriodoRepago">#REF!</definedName>
    <definedName name="PeriodoRepagoCCP" localSheetId="1">#REF!</definedName>
    <definedName name="PeriodoRepagoCCP">#REF!</definedName>
    <definedName name="PERRD">#REF!</definedName>
    <definedName name="PERRITO">#REF!</definedName>
    <definedName name="phed">#REF!</definedName>
    <definedName name="phen">#REF!</definedName>
    <definedName name="pi">#REF!</definedName>
    <definedName name="piedram">#REF!</definedName>
    <definedName name="PILOTE">#REF!</definedName>
    <definedName name="Pindis" localSheetId="1">#REF!</definedName>
    <definedName name="Pindis">#REF!</definedName>
    <definedName name="pint" localSheetId="1">#REF!</definedName>
    <definedName name="pint">#REF!</definedName>
    <definedName name="pintura" localSheetId="1">#REF!</definedName>
    <definedName name="pintura">#REF!</definedName>
    <definedName name="pintyura">#REF!</definedName>
    <definedName name="PIP" localSheetId="1">#REF!</definedName>
    <definedName name="PIP">#REF!</definedName>
    <definedName name="Piscinas" localSheetId="1">#REF!</definedName>
    <definedName name="Piscinas">#REF!</definedName>
    <definedName name="pk">#REF!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ca">#REF!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#REF!</definedName>
    <definedName name="POCETAS" localSheetId="1">#REF!</definedName>
    <definedName name="POCETAS">#REF!</definedName>
    <definedName name="poi">#REF!</definedName>
    <definedName name="POIL">#REF!</definedName>
    <definedName name="POIUP" localSheetId="1" hidden="1">{"via1",#N/A,TRUE,"general";"via2",#N/A,TRUE,"general";"via3",#N/A,TRUE,"general"}</definedName>
    <definedName name="POIUP" hidden="1">{"via1",#N/A,TRUE,"general";"via2",#N/A,TRUE,"general";"via3",#N/A,TRUE,"general"}</definedName>
    <definedName name="POO">#REF!</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#REF!</definedName>
    <definedName name="Porcentaje" localSheetId="1">#REF!</definedName>
    <definedName name="Porcentaje">#REF!</definedName>
    <definedName name="PORCENTAJE1" localSheetId="1">#REF!</definedName>
    <definedName name="PORCENTAJE1">#REF!</definedName>
    <definedName name="PORTADA2" localSheetId="1">#REF!</definedName>
    <definedName name="PORTADA2">#REF!</definedName>
    <definedName name="POSICION_PRESUP" localSheetId="1">#REF!</definedName>
    <definedName name="POSICION_PRESUP">#REF!</definedName>
    <definedName name="POSICIONES" localSheetId="1">#REF!</definedName>
    <definedName name="POSICIONES">#REF!</definedName>
    <definedName name="pouig" localSheetId="1" hidden="1">{"via1",#N/A,TRUE,"general";"via2",#N/A,TRUE,"general";"via3",#N/A,TRUE,"general"}</definedName>
    <definedName name="pouig" hidden="1">{"via1",#N/A,TRUE,"general";"via2",#N/A,TRUE,"general";"via3",#N/A,TRUE,"general"}</definedName>
    <definedName name="POZO">#REF!</definedName>
    <definedName name="pp">#REF!</definedName>
    <definedName name="ppp">#REF!</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 localSheetId="1">IF(________________y7,[0]!Header_Row+iiiii,[0]!Header_Row)</definedName>
    <definedName name="ppppp">IF(________________y7,[0]!Header_Row+iiiii,[0]!Header_Row)</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#REF!</definedName>
    <definedName name="pres">#REF!</definedName>
    <definedName name="PREST" localSheetId="1">#REF!</definedName>
    <definedName name="PREST">#REF!</definedName>
    <definedName name="PRESTACIONES">#REF!</definedName>
    <definedName name="PRESUPUESTO">#REF!</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1">#REF!</definedName>
    <definedName name="Print_Area_MI">#REF!</definedName>
    <definedName name="Print_Area_Reset" localSheetId="1">OFFSET(AIU!Full_Print,0,0,Last_Row)</definedName>
    <definedName name="Print_Area_Reset">OFFSET(Full_Print,0,0,Last_Row)</definedName>
    <definedName name="PRINT_TITLES_MI">#N/A</definedName>
    <definedName name="PRINT1" localSheetId="1">#REF!</definedName>
    <definedName name="PRINT1">#REF!</definedName>
    <definedName name="PRINT2" localSheetId="1">#REF!</definedName>
    <definedName name="PRINT2">#REF!</definedName>
    <definedName name="PRIVADO" localSheetId="1">#REF!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 hidden="1">#REF!</definedName>
    <definedName name="PROGDES" localSheetId="1">#REF!</definedName>
    <definedName name="PROGDES">#REF!</definedName>
    <definedName name="Programa" localSheetId="1">#REF!</definedName>
    <definedName name="Programa">#REF!</definedName>
    <definedName name="programainv" localSheetId="1">AIU!ERR</definedName>
    <definedName name="programainv">[0]!ERR</definedName>
    <definedName name="Proponente" localSheetId="1">#REF!</definedName>
    <definedName name="Proponente">#REF!</definedName>
    <definedName name="PROPUESTA2">#REF!</definedName>
    <definedName name="PRUEBA">#REF!</definedName>
    <definedName name="prueba1">#REF!</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TTO">#REF!</definedName>
    <definedName name="puntilla">#REF!</definedName>
    <definedName name="PVCdren4">#REF!</definedName>
    <definedName name="PVCmang3">#REF!</definedName>
    <definedName name="PW" localSheetId="1">#REF!</definedName>
    <definedName name="PW">#REF!</definedName>
    <definedName name="Pwf">#REF!</definedName>
    <definedName name="Pwf_actual">#REF!</definedName>
    <definedName name="Pwf_i">#REF!</definedName>
    <definedName name="Pwf_min">#REF!</definedName>
    <definedName name="Pwfd" localSheetId="1">#REF!</definedName>
    <definedName name="Pwfd">#REF!</definedName>
    <definedName name="Q" localSheetId="1">#REF!</definedName>
    <definedName name="Q">#REF!</definedName>
    <definedName name="Q_actual">#REF!</definedName>
    <definedName name="Q_BRUTO" localSheetId="1">#REF!</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#REF!</definedName>
    <definedName name="QE_TE">#REF!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I">#REF!</definedName>
    <definedName name="QI_TI">#REF!</definedName>
    <definedName name="Qmax">#REF!</definedName>
    <definedName name="QN">#REF!</definedName>
    <definedName name="QN_QI">#REF!</definedName>
    <definedName name="QNS">#REF!</definedName>
    <definedName name="QQ">#REF!</definedName>
    <definedName name="QQQ" localSheetId="1">DATE(YEAR([0]!Loan_Start),MONTH([0]!Loan_Start)+Payment_Number,DAY([0]!Loan_Start))</definedName>
    <definedName name="QQQ" localSheetId="2">DATE(YEAR([0]!Loan_Start),MONTH([0]!Loan_Start)+Payment_Number,DAY([0]!Loan_Start))</definedName>
    <definedName name="QQQ">DATE(YEAR([0]!Loan_Start),MONTH([0]!Loan_Start)+Payment_Number,DAY([0]!Loan_Start))</definedName>
    <definedName name="qqqq" localSheetId="1">Scheduled_Payment+Extra_Payment</definedName>
    <definedName name="qqqq" localSheetId="2">Scheduled_Payment+Extra_Payment</definedName>
    <definedName name="qqqq">Scheduled_Payment+Extra_Payment</definedName>
    <definedName name="qqqqq">#REF!</definedName>
    <definedName name="qqqqqw" localSheetId="1" hidden="1">{"via1",#N/A,TRUE,"general";"via2",#N/A,TRUE,"general";"via3",#N/A,TRUE,"general"}</definedName>
    <definedName name="qqqqqw" hidden="1">{"via1",#N/A,TRUE,"general";"via2",#N/A,TRUE,"general";"via3",#N/A,TRUE,"general"}</definedName>
    <definedName name="QS">#REF!</definedName>
    <definedName name="Qt">#REF!</definedName>
    <definedName name="QTIES" localSheetId="1">#REF!</definedName>
    <definedName name="QTIES">#REF!</definedName>
    <definedName name="QTY" localSheetId="1">#REF!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AIU!ERR</definedName>
    <definedName name="QWERTY">[0]!ERR</definedName>
    <definedName name="qwewertet" localSheetId="1" hidden="1">{#N/A,#N/A,TRUE,"1842CWN0"}</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dios">#REF!</definedName>
    <definedName name="rana">#REF!</definedName>
    <definedName name="RANGO_FECHA">#REF!</definedName>
    <definedName name="Rates">#REF!</definedName>
    <definedName name="RD">#REF!</definedName>
    <definedName name="rdq">#REF!</definedName>
    <definedName name="rds">#REF!</definedName>
    <definedName name="RE">#N/A</definedName>
    <definedName name="Reactores">#REF!</definedName>
    <definedName name="Recall_2">#REF!</definedName>
    <definedName name="Recall_3">#REF!</definedName>
    <definedName name="recebo">#REF!</definedName>
    <definedName name="RECICLA">#REF!</definedName>
    <definedName name="recursos">#REF!</definedName>
    <definedName name="RED">#REF!</definedName>
    <definedName name="REG">#REF!&gt;2.5</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 localSheetId="1">#REF!</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 localSheetId="1">AIU!ERR</definedName>
    <definedName name="REICIO">[0]!ERR</definedName>
    <definedName name="Reimbursement">"Reembolso"</definedName>
    <definedName name="reinicio" localSheetId="1">AIU!ERR</definedName>
    <definedName name="reinicio">[0]!ERR</definedName>
    <definedName name="REJHE" localSheetId="1" hidden="1">{"via1",#N/A,TRUE,"general";"via2",#N/A,TRUE,"general";"via3",#N/A,TRUE,"general"}</definedName>
    <definedName name="REJHE" hidden="1">{"via1",#N/A,TRUE,"general";"via2",#N/A,TRUE,"general";"via3",#N/A,TRUE,"general"}</definedName>
    <definedName name="RELACUION">#REF!</definedName>
    <definedName name="relecon">#REF!</definedName>
    <definedName name="rell" localSheetId="1">#REF!</definedName>
    <definedName name="rell">#REF!</definedName>
    <definedName name="RELLG">#REF!</definedName>
    <definedName name="remanentes">#REF!,#REF!,#REF!,#REF!</definedName>
    <definedName name="rendimiento" localSheetId="1">#REF!</definedName>
    <definedName name="rendimiento">#REF!</definedName>
    <definedName name="RENDIMIENTO____CARGA" localSheetId="1">#REF!</definedName>
    <definedName name="RENDIMIENTO____CARGA">#REF!</definedName>
    <definedName name="REPROGRAMACION">#REF!</definedName>
    <definedName name="REPXXX" localSheetId="1">#REF!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#REF!</definedName>
    <definedName name="Resistividad">#REF!</definedName>
    <definedName name="RESU" localSheetId="1">#REF!</definedName>
    <definedName name="RESU">#REF!</definedName>
    <definedName name="resu8">#REF!</definedName>
    <definedName name="resufi" localSheetId="1">#REF!</definedName>
    <definedName name="resufi">#REF!</definedName>
    <definedName name="resufi1" localSheetId="1">#REF!</definedName>
    <definedName name="resufi1">#REF!</definedName>
    <definedName name="resul">#REF!</definedName>
    <definedName name="resumen" localSheetId="1">#REF!</definedName>
    <definedName name="resumen">#REF!</definedName>
    <definedName name="resumen_final">#REF!</definedName>
    <definedName name="resumen_final1">#REF!</definedName>
    <definedName name="Retenc">#REF!</definedName>
    <definedName name="RETRO">#REF!</definedName>
    <definedName name="retromartillo">#REF!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EMER">#REF!</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D">#REF!</definedName>
    <definedName name="RIIIIIIIIIIIC">#N/A</definedName>
    <definedName name="RISP">#REF!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#REF!</definedName>
    <definedName name="rñ">#REF!</definedName>
    <definedName name="Ro" localSheetId="1">#REF!,#REF!,#REF!</definedName>
    <definedName name="Ro">#REF!,#REF!,#REF!</definedName>
    <definedName name="RODILLO">#REF!</definedName>
    <definedName name="rr" localSheetId="1">AIU!ERR</definedName>
    <definedName name="rr">[0]!ERR</definedName>
    <definedName name="rrr" localSheetId="1" hidden="1">{"via1",#N/A,TRUE,"general";"via2",#N/A,TRUE,"general";"via3",#N/A,TRUE,"general"}</definedName>
    <definedName name="rrr" hidden="1">{"via1",#N/A,TRUE,"general";"via2",#N/A,TRUE,"general";"via3",#N/A,TRUE,"general"}</definedName>
    <definedName name="rrrr">#REF!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adf">#REF!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#REF!</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#REF!</definedName>
    <definedName name="s">[0]!ERR</definedName>
    <definedName name="SA">#REF!</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 localSheetId="1">AIU!ERR</definedName>
    <definedName name="salarios">[0]!ERR</definedName>
    <definedName name="SalConv">#REF!</definedName>
    <definedName name="SALID1" localSheetId="1">#REF!</definedName>
    <definedName name="SALID1">#REF!</definedName>
    <definedName name="SalMinimo">#REF!</definedName>
    <definedName name="sbe">#REF!</definedName>
    <definedName name="sbgfbgdr" localSheetId="1" hidden="1">{"via1",#N/A,TRUE,"general";"via2",#N/A,TRUE,"general";"via3",#N/A,TRUE,"general"}</definedName>
    <definedName name="sbgfbgdr"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E">#REF!</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R">#REF!</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c">#REF!</definedName>
    <definedName name="seccion1">#REF!</definedName>
    <definedName name="seccion2">#REF!</definedName>
    <definedName name="SECTOR" localSheetId="1">#REF!</definedName>
    <definedName name="SECTOR">#REF!</definedName>
    <definedName name="SEGUNDO">#REF!</definedName>
    <definedName name="SEMANA_C3" localSheetId="1">#REF!</definedName>
    <definedName name="SEMANA_C3">#REF!</definedName>
    <definedName name="sena">#REF!</definedName>
    <definedName name="SERO" localSheetId="1">AIU!ERR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#REF!</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HEE_INT">#REF!</definedName>
    <definedName name="SHEET">#REF!</definedName>
    <definedName name="SHEET_KP">#REF!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AIU!ERR</definedName>
    <definedName name="SI">[0]!ERR</definedName>
    <definedName name="SINGOLO" localSheetId="1">#REF!</definedName>
    <definedName name="SINGOLO">#REF!</definedName>
    <definedName name="SISISIS" localSheetId="1">AIU!ERR</definedName>
    <definedName name="SISISIS">[0]!ERR</definedName>
    <definedName name="sk">#REF!</definedName>
    <definedName name="Slicer_Contact_Type">#N/A</definedName>
    <definedName name="sm">#REF!</definedName>
    <definedName name="Smlv">#REF!</definedName>
    <definedName name="smlv01">#REF!</definedName>
    <definedName name="smlv2001">#REF!</definedName>
    <definedName name="SMML">#REF!</definedName>
    <definedName name="SN">#REF!</definedName>
    <definedName name="snw">#REF!</definedName>
    <definedName name="sñ">#REF!</definedName>
    <definedName name="so">#REF!</definedName>
    <definedName name="SOBREANCHO">#REF!</definedName>
    <definedName name="SOL">#REF!</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panner_Auto_File">"F:\Proyectos\CEI\Tunja-Barbosa\tra2b.x2a"</definedName>
    <definedName name="Spanner_Auto_Select">#N/A</definedName>
    <definedName name="sr">#REF!</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#REF!</definedName>
    <definedName name="ssh">#REF!</definedName>
    <definedName name="sss" localSheetId="1">MODULO10.auto_abrir</definedName>
    <definedName name="sss" localSheetId="2">MODULO10.auto_abrir</definedName>
    <definedName name="sss">MODULO10.auto_abrir</definedName>
    <definedName name="SSSS" localSheetId="1">AIU!ERR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1" hidden="1">{"via1",#N/A,TRUE,"general";"via2",#N/A,TRUE,"general";"via3",#N/A,TRUE,"general"}</definedName>
    <definedName name="stt" hidden="1">{"via1",#N/A,TRUE,"general";"via2",#N/A,TRUE,"general";"via3",#N/A,TRUE,"general"}</definedName>
    <definedName name="SUBBASE">#REF!</definedName>
    <definedName name="SUBSUELO">#REF!</definedName>
    <definedName name="Subtotal">#REF!</definedName>
    <definedName name="SUCIO">#REF!</definedName>
    <definedName name="SUELDO">#REF!</definedName>
    <definedName name="suma">#REF!</definedName>
    <definedName name="Summary" localSheetId="1">#REF!</definedName>
    <definedName name="Summary">#REF!</definedName>
    <definedName name="SUP_ART" localSheetId="1">#REF!</definedName>
    <definedName name="SUP_ART">#REF!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 localSheetId="1">#REF!</definedName>
    <definedName name="SUP_VPR_NA">#REF!</definedName>
    <definedName name="SUPER">#REF!</definedName>
    <definedName name="SUPERFICIE" localSheetId="1">#REF!</definedName>
    <definedName name="SUPERFICIE">#REF!</definedName>
    <definedName name="sw" localSheetId="1">AIU!ERR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_1" localSheetId="1">Scheduled_Payment+Extra_Payment</definedName>
    <definedName name="t_1" localSheetId="2">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_FECHA">#REF!</definedName>
    <definedName name="TABLA" localSheetId="1">#REF!</definedName>
    <definedName name="TABLA">#REF!</definedName>
    <definedName name="TABLA_DE_CONTENIDO__A1">#REF!</definedName>
    <definedName name="tabla1">#REF!</definedName>
    <definedName name="tabla2">#REF!</definedName>
    <definedName name="TABLEKP">#REF!</definedName>
    <definedName name="TABLEPRI">#REF!</definedName>
    <definedName name="tablonx">#REF!</definedName>
    <definedName name="Tambores">#REF!</definedName>
    <definedName name="TANQUE">#REF!</definedName>
    <definedName name="Tanques">#REF!</definedName>
    <definedName name="TAREAS_INICIALES">#REF!</definedName>
    <definedName name="TARIFA">#REF!</definedName>
    <definedName name="TarifaPension">#REF!</definedName>
    <definedName name="TARIFAS" localSheetId="1">#REF!</definedName>
    <definedName name="TARIFAS">#REF!</definedName>
    <definedName name="TarifaSalud">#REF!</definedName>
    <definedName name="Tasa" localSheetId="1">#REF!</definedName>
    <definedName name="Tasa">#REF!</definedName>
    <definedName name="TASA_DE_CAMBIO" localSheetId="1">#REF!</definedName>
    <definedName name="TASA_DE_CAMBIO">#REF!</definedName>
    <definedName name="Tasa1">#REF!</definedName>
    <definedName name="TasaCCP" localSheetId="1">#REF!</definedName>
    <definedName name="TasaCCP">#REF!</definedName>
    <definedName name="Tax" localSheetId="1">#REF!</definedName>
    <definedName name="Tax">#REF!</definedName>
    <definedName name="tb">#REF!</definedName>
    <definedName name="TB_EVENTOS_OTS_ANUAL" localSheetId="1">#REF!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lefono">#REF!</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AIU!ERR</definedName>
    <definedName name="TER">[0]!ERR</definedName>
    <definedName name="TERM" localSheetId="1">AIU!ERR</definedName>
    <definedName name="TERM">[0]!ERR</definedName>
    <definedName name="TÉRMINOS" localSheetId="1">AIU!ERR</definedName>
    <definedName name="TÉRMINOS">[0]!ERR</definedName>
    <definedName name="TERR">#REF!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#REF!</definedName>
    <definedName name="TIEMPO">#REF!</definedName>
    <definedName name="TIPO" localSheetId="1">#REF!</definedName>
    <definedName name="TIPO">#REF!</definedName>
    <definedName name="TIPO_GRUPO" localSheetId="1">#REF!</definedName>
    <definedName name="TIPO_GRUPO">#REF!</definedName>
    <definedName name="TipoGC">#REF!</definedName>
    <definedName name="TipoNeces">#REF!</definedName>
    <definedName name="TipoPro" localSheetId="1">#REF!</definedName>
    <definedName name="TipoPro">#REF!</definedName>
    <definedName name="Tipoproceso" localSheetId="1">#REF!</definedName>
    <definedName name="Tipoproceso">#REF!</definedName>
    <definedName name="tipov">#REF!</definedName>
    <definedName name="TIR" localSheetId="1">#REF!</definedName>
    <definedName name="TIR">#REF!</definedName>
    <definedName name="TIT">#REF!</definedName>
    <definedName name="TITLE">#REF!</definedName>
    <definedName name="titu">#REF!</definedName>
    <definedName name="titu2">#REF!</definedName>
    <definedName name="TITULO">#REF!</definedName>
    <definedName name="_xlnm.Print_Titles">#N/A</definedName>
    <definedName name="Títulos_a_imprimir_IM" localSheetId="1">#REF!</definedName>
    <definedName name="Títulos_a_imprimir_IM">#REF!</definedName>
    <definedName name="tj">#REF!</definedName>
    <definedName name="tk">#REF!</definedName>
    <definedName name="TK_1" hidden="1">#REF!</definedName>
    <definedName name="TKSLCI07">#REF!</definedName>
    <definedName name="tl">#REF!</definedName>
    <definedName name="tld">#REF!</definedName>
    <definedName name="tn">#REF!</definedName>
    <definedName name="To">#REF!</definedName>
    <definedName name="TODOANA">#REF!</definedName>
    <definedName name="TODOINSU">#REF!</definedName>
    <definedName name="TODOITEM">#REF!</definedName>
    <definedName name="tonto">#REF!</definedName>
    <definedName name="topagrafia">#REF!</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pografia">#REF!</definedName>
    <definedName name="topografo">#REF!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 localSheetId="1">#REF!</definedName>
    <definedName name="Total_Interest">#REF!</definedName>
    <definedName name="Total_Pay">#REF!</definedName>
    <definedName name="Total_Payment" localSheetId="1">Scheduled_Payment+Extra_Payment</definedName>
    <definedName name="Total_Payment" localSheetId="2">Scheduled_Payment+Extra_Payment</definedName>
    <definedName name="Total_Payment">Scheduled_Payment+Extra_Payment</definedName>
    <definedName name="Total_Payment1" localSheetId="1">Scheduled_Payment+Extra_Payment</definedName>
    <definedName name="Total_Payment1" localSheetId="2">Scheduled_Payment+Extra_Payment</definedName>
    <definedName name="Total_Payment1">Scheduled_Payment+Extra_Payment</definedName>
    <definedName name="total1" localSheetId="1">#REF!</definedName>
    <definedName name="total1">#REF!</definedName>
    <definedName name="TotalCesantias">#REF!</definedName>
    <definedName name="TOTALHH" localSheetId="1">#REF!</definedName>
    <definedName name="TOTALHH">#REF!</definedName>
    <definedName name="TOTALHH1" localSheetId="1">#REF!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P">#REF!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#REF!</definedName>
    <definedName name="Transmisores">#REF!</definedName>
    <definedName name="Transporte">#REF!</definedName>
    <definedName name="TRAT">#REF!</definedName>
    <definedName name="TREM" localSheetId="1">#REF!</definedName>
    <definedName name="TREM">#REF!</definedName>
    <definedName name="Trenes" localSheetId="1">#REF!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urado">#REF!</definedName>
    <definedName name="trjfgjh" localSheetId="1" hidden="1">{"via1",#N/A,TRUE,"general";"via2",#N/A,TRUE,"general";"via3",#N/A,TRUE,"general"}</definedName>
    <definedName name="trjfgjh" hidden="1">{"via1",#N/A,TRUE,"general";"via2",#N/A,TRUE,"general";"via3",#N/A,TRUE,"general"}</definedName>
    <definedName name="TRM">#REF!</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TTTTTTTTT">#REF!</definedName>
    <definedName name="TTTTTTTTTTTTTTTTTT">#REF!</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bo24">#REF!</definedName>
    <definedName name="tubor24">#REF!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#REF!</definedName>
    <definedName name="UN_PRI">#REF!</definedName>
    <definedName name="Unidad">#REF!</definedName>
    <definedName name="UNIT">#REF!</definedName>
    <definedName name="UNITARIO">#REF!</definedName>
    <definedName name="Unitarios" localSheetId="1">#REF!</definedName>
    <definedName name="Unitarios">#REF!</definedName>
    <definedName name="unj" localSheetId="1" hidden="1">#REF!</definedName>
    <definedName name="unj" hidden="1">#REF!</definedName>
    <definedName name="uno" localSheetId="1">AIU!ERR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AIU!ERR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i">#REF!</definedName>
    <definedName name="UTIL">#REF!</definedName>
    <definedName name="UTILIDAD">#REF!</definedName>
    <definedName name="UTL">#REF!</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 localSheetId="1">IF(__________________y7,[0]!Header_Row+__________________y3,[0]!Header_Row)</definedName>
    <definedName name="uuuu">IF(__________________y7,[0]!Header_Row+__________________y3,[0]!Header_Row)</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CA">#REF!</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#REF!</definedName>
    <definedName name="ValorCto">#REF!</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IF(Loan_Amount*AIU!Interest_Rate*Loan_Years*Loan_Start&gt;0,1,0)</definedName>
    <definedName name="Values_Entered">IF(Loan_Amount*Interest_Rate*Loan_Years*Loan_Start&gt;0,1,0)</definedName>
    <definedName name="Válvulas" localSheetId="1">#REF!</definedName>
    <definedName name="Válvulas">#REF!</definedName>
    <definedName name="vaquita" localSheetId="1" hidden="1">{"PRES REHAB ARM-PER POR ITEMS  KM A KM",#N/A,TRUE,"Rehabilitacion Arm-Per"}</definedName>
    <definedName name="vaquita" hidden="1">{"PRES REHAB ARM-PER POR ITEMS  KM A KM",#N/A,TRUE,"Rehabilitacion Arm-Per"}</definedName>
    <definedName name="Var">#REF!</definedName>
    <definedName name="VARIACION1" localSheetId="1">#REF!</definedName>
    <definedName name="VARIACION1">#REF!</definedName>
    <definedName name="Varios" localSheetId="1">#REF!</definedName>
    <definedName name="Varios">#REF!</definedName>
    <definedName name="Varios2">#REF!</definedName>
    <definedName name="vb">#REF!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 localSheetId="1">#REF!</definedName>
    <definedName name="VEX">#REF!</definedName>
    <definedName name="VEX_ON" localSheetId="1">#REF!</definedName>
    <definedName name="VEX_ON">#REF!</definedName>
    <definedName name="VEX1_1" localSheetId="1">#REF!</definedName>
    <definedName name="VEX1_1">#REF!</definedName>
    <definedName name="VEX1_1_1" localSheetId="1">#REF!</definedName>
    <definedName name="VEX1_1_1">#REF!</definedName>
    <definedName name="VEX1_1_2" localSheetId="1">#REF!</definedName>
    <definedName name="VEX1_1_2">#REF!</definedName>
    <definedName name="VEX1_1_3" localSheetId="1">#REF!</definedName>
    <definedName name="VEX1_1_3">#REF!</definedName>
    <definedName name="VEX1_1_4" localSheetId="1">#REF!</definedName>
    <definedName name="VEX1_1_4">#REF!</definedName>
    <definedName name="VEX1_2">#REF!</definedName>
    <definedName name="VEX1_3">#REF!</definedName>
    <definedName name="vf" localSheetId="1">#REF!</definedName>
    <definedName name="vf">#REF!</definedName>
    <definedName name="VFA" localSheetId="1">#REF!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1" hidden="1">{"via1",#N/A,TRUE,"general";"via2",#N/A,TRUE,"general";"via3",#N/A,TRUE,"general"}</definedName>
    <definedName name="vfbgnhyt" hidden="1">{"via1",#N/A,TRUE,"general";"via2",#N/A,TRUE,"general";"via3",#N/A,TRUE,"general"}</definedName>
    <definedName name="vfh">#REF!</definedName>
    <definedName name="vfn">#REF!</definedName>
    <definedName name="VFR" localSheetId="1">#REF!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#REF!</definedName>
    <definedName name="VIBRO">#REF!</definedName>
    <definedName name="VICEP_DIRECC">#REF!</definedName>
    <definedName name="VigenciaDolares" localSheetId="1">#REF!</definedName>
    <definedName name="VigenciaDolares">#REF!</definedName>
    <definedName name="VigenciaPesos" localSheetId="1">#REF!</definedName>
    <definedName name="VigenciaPesos">#REF!</definedName>
    <definedName name="VIGFUTURA">#REF!</definedName>
    <definedName name="vill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1"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QUETA">#REF!</definedName>
    <definedName name="volquetamk">#REF!</definedName>
    <definedName name="VOLQUETAS">#REF!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 localSheetId="1">#REF!</definedName>
    <definedName name="vpt">#REF!</definedName>
    <definedName name="vr" localSheetId="1">Scheduled_Payment+Extra_Payment</definedName>
    <definedName name="vr" localSheetId="2">Scheduled_Payment+Extra_Payment</definedName>
    <definedName name="vr">Scheduled_Payment+Extra_Payment</definedName>
    <definedName name="vrbasad1">#REF!</definedName>
    <definedName name="vrbasad2">#REF!</definedName>
    <definedName name="vrbasin">#REF!</definedName>
    <definedName name="VRP" localSheetId="1">#REF!</definedName>
    <definedName name="VRP">#REF!</definedName>
    <definedName name="VRP_PETROQ" localSheetId="1">#REF!</definedName>
    <definedName name="VRP_PETROQ">#REF!</definedName>
    <definedName name="VRP1_1" localSheetId="1">#REF!</definedName>
    <definedName name="VRP1_1">#REF!</definedName>
    <definedName name="VRP1_1_1" localSheetId="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1"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 localSheetId="1">#REF!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 localSheetId="1">#REF!</definedName>
    <definedName name="Wcut">#REF!</definedName>
    <definedName name="WD" localSheetId="1">#REF!</definedName>
    <definedName name="WD">#REF!</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#REF!</definedName>
    <definedName name="we">#REF!</definedName>
    <definedName name="wedw" localSheetId="1">#REF!</definedName>
    <definedName name="wedw">#REF!</definedName>
    <definedName name="WEFWE" localSheetId="1">#REF!</definedName>
    <definedName name="WEFWE">#REF!</definedName>
    <definedName name="WER">#REF!</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 localSheetId="1">#REF!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hidden="1">{#N/A,#N/A,TRUE,"1842CWN0"}</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 hidden="1">{"VIA1",#N/A,TRUE,"formul";"VIA2",#N/A,TRUE,"formul";"VIA3",#N/A,TRUE,"formul"}</definedName>
    <definedName name="wrn.formu." hidden="1">{"VIA1",#N/A,TRUE,"formul";"VIA2",#N/A,TRUE,"formul";"VIA3",#N/A,TRUE,"formul"}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hidden="1">{#N/A,#N/A,TRUE,"T1"}</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#REF!</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hidden="1">{"via1",#N/A,TRUE,"general";"via2",#N/A,TRUE,"general";"via3",#N/A,TRUE,"general"}</definedName>
    <definedName name="www">#REF!</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b">#REF!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SW" localSheetId="1" hidden="1">{#N/A,#N/A,TRUE,"1842CWN0"}</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t">#REF!</definedName>
    <definedName name="XX" localSheetId="1">#REF!</definedName>
    <definedName name="XX">#REF!</definedName>
    <definedName name="XX_51">#REF!</definedName>
    <definedName name="xxfg" localSheetId="1" hidden="1">{"via1",#N/A,TRUE,"general";"via2",#N/A,TRUE,"general";"via3",#N/A,TRUE,"general"}</definedName>
    <definedName name="xxfg" hidden="1">{"via1",#N/A,TRUE,"general";"via2",#N/A,TRUE,"general";"via3",#N/A,TRUE,"general"}</definedName>
    <definedName name="XXX">#REF!</definedName>
    <definedName name="XXXX" hidden="1">#REF!</definedName>
    <definedName name="xxxxx">#REF!</definedName>
    <definedName name="xxxxxds" localSheetId="1"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localSheetId="1" hidden="1">#REF!</definedName>
    <definedName name="XZS" hidden="1">#REF!</definedName>
    <definedName name="XZXZV" localSheetId="1" hidden="1">{"via1",#N/A,TRUE,"general";"via2",#N/A,TRUE,"general";"via3",#N/A,TRUE,"general"}</definedName>
    <definedName name="XZXZV" hidden="1">{"via1",#N/A,TRUE,"general";"via2",#N/A,TRUE,"general";"via3",#N/A,TRUE,"general"}</definedName>
    <definedName name="Y">#REF!</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#REF!</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#REF!</definedName>
    <definedName name="ZAQ" localSheetId="1"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dr">#REF!</definedName>
    <definedName name="ZONA1" localSheetId="1">#REF!</definedName>
    <definedName name="ZONA1">#REF!</definedName>
    <definedName name="ZONA3" localSheetId="1">#REF!</definedName>
    <definedName name="ZONA3">#REF!</definedName>
    <definedName name="ZONA4">#REF!</definedName>
    <definedName name="zx" localSheetId="1">AIU!ERR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21" i="3" l="1"/>
  <c r="G220" i="3"/>
  <c r="G219" i="3"/>
  <c r="H236" i="3"/>
  <c r="H227" i="3" l="1"/>
  <c r="H228" i="3" s="1"/>
  <c r="H214" i="3"/>
  <c r="H215" i="3" s="1"/>
  <c r="E211" i="3"/>
  <c r="H211" i="3" s="1"/>
  <c r="H212" i="3" s="1"/>
  <c r="H208" i="3"/>
  <c r="H207" i="3"/>
  <c r="H206" i="3"/>
  <c r="H205" i="3"/>
  <c r="E204" i="3"/>
  <c r="H204" i="3" s="1"/>
  <c r="H203" i="3"/>
  <c r="E202" i="3"/>
  <c r="H202" i="3" s="1"/>
  <c r="H199" i="3"/>
  <c r="H200" i="3" s="1"/>
  <c r="E194" i="3"/>
  <c r="H194" i="3" s="1"/>
  <c r="E191" i="3"/>
  <c r="H191" i="3" s="1"/>
  <c r="H189" i="3"/>
  <c r="H186" i="3"/>
  <c r="H185" i="3"/>
  <c r="H184" i="3"/>
  <c r="E183" i="3"/>
  <c r="E188" i="3" s="1"/>
  <c r="H188" i="3" s="1"/>
  <c r="H182" i="3"/>
  <c r="E181" i="3"/>
  <c r="E187" i="3" s="1"/>
  <c r="H187" i="3" s="1"/>
  <c r="E180" i="3"/>
  <c r="H180" i="3" s="1"/>
  <c r="E179" i="3"/>
  <c r="E190" i="3" s="1"/>
  <c r="H190" i="3" s="1"/>
  <c r="H175" i="3"/>
  <c r="H174" i="3"/>
  <c r="H173" i="3"/>
  <c r="H170" i="3"/>
  <c r="H171" i="3" s="1"/>
  <c r="E167" i="3"/>
  <c r="H167" i="3" s="1"/>
  <c r="H168" i="3" s="1"/>
  <c r="E164" i="3"/>
  <c r="H164" i="3" s="1"/>
  <c r="H163" i="3"/>
  <c r="H162" i="3"/>
  <c r="E162" i="3"/>
  <c r="H161" i="3"/>
  <c r="H160" i="3"/>
  <c r="H159" i="3"/>
  <c r="H158" i="3"/>
  <c r="H157" i="3"/>
  <c r="E156" i="3"/>
  <c r="H156" i="3" s="1"/>
  <c r="H155" i="3"/>
  <c r="H154" i="3"/>
  <c r="E153" i="3"/>
  <c r="H153" i="3" s="1"/>
  <c r="E152" i="3"/>
  <c r="H152" i="3" s="1"/>
  <c r="H151" i="3"/>
  <c r="E150" i="3"/>
  <c r="H150" i="3" s="1"/>
  <c r="E146" i="3"/>
  <c r="E195" i="3" s="1" a="1"/>
  <c r="E195" i="3" s="1"/>
  <c r="H195" i="3" s="1"/>
  <c r="E143" i="3"/>
  <c r="H143" i="3" s="1"/>
  <c r="E142" i="3"/>
  <c r="H142" i="3" s="1"/>
  <c r="E139" i="3"/>
  <c r="H139" i="3" s="1"/>
  <c r="H138" i="3"/>
  <c r="H137" i="3"/>
  <c r="H136" i="3"/>
  <c r="H135" i="3"/>
  <c r="H134" i="3"/>
  <c r="H133" i="3"/>
  <c r="H132" i="3"/>
  <c r="H131" i="3"/>
  <c r="H130" i="3"/>
  <c r="H126" i="3"/>
  <c r="H125" i="3"/>
  <c r="H124" i="3"/>
  <c r="H122" i="3"/>
  <c r="H121" i="3"/>
  <c r="H120" i="3"/>
  <c r="H119" i="3"/>
  <c r="H118" i="3"/>
  <c r="H116" i="3"/>
  <c r="H114" i="3"/>
  <c r="H113" i="3"/>
  <c r="H112" i="3"/>
  <c r="H111" i="3"/>
  <c r="H110" i="3"/>
  <c r="H109" i="3"/>
  <c r="H108" i="3"/>
  <c r="H107" i="3"/>
  <c r="H105" i="3"/>
  <c r="H104" i="3"/>
  <c r="H102" i="3"/>
  <c r="H100" i="3"/>
  <c r="H99" i="3"/>
  <c r="H98" i="3"/>
  <c r="H97" i="3"/>
  <c r="H95" i="3"/>
  <c r="H93" i="3"/>
  <c r="H92" i="3"/>
  <c r="H88" i="3"/>
  <c r="H87" i="3"/>
  <c r="H86" i="3"/>
  <c r="H85" i="3"/>
  <c r="H83" i="3"/>
  <c r="H82" i="3"/>
  <c r="H81" i="3"/>
  <c r="H80" i="3"/>
  <c r="H79" i="3"/>
  <c r="H78"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H36" i="3"/>
  <c r="H35" i="3"/>
  <c r="H34" i="3"/>
  <c r="H33" i="3"/>
  <c r="H32" i="3"/>
  <c r="H31" i="3"/>
  <c r="H30" i="3"/>
  <c r="H26" i="3"/>
  <c r="H27" i="3" s="1"/>
  <c r="E21" i="3"/>
  <c r="E22" i="3" s="1"/>
  <c r="D19" i="3"/>
  <c r="E18" i="3"/>
  <c r="H18" i="3" s="1"/>
  <c r="H17" i="3"/>
  <c r="E16" i="3"/>
  <c r="H16" i="3" s="1"/>
  <c r="E15" i="3"/>
  <c r="H15" i="3" s="1"/>
  <c r="H14" i="3"/>
  <c r="E13" i="3"/>
  <c r="H13" i="3" s="1"/>
  <c r="H12" i="3"/>
  <c r="I46" i="2"/>
  <c r="I38" i="2"/>
  <c r="I37" i="2"/>
  <c r="I36" i="2"/>
  <c r="H36" i="2"/>
  <c r="I35" i="2"/>
  <c r="I34" i="2"/>
  <c r="I33" i="2"/>
  <c r="I32" i="2"/>
  <c r="I31" i="2"/>
  <c r="I30" i="2"/>
  <c r="I29" i="2"/>
  <c r="I39" i="2" s="1"/>
  <c r="I25" i="2"/>
  <c r="I24" i="2"/>
  <c r="I23" i="2"/>
  <c r="I22" i="2"/>
  <c r="I21" i="2"/>
  <c r="I20" i="2"/>
  <c r="I19" i="2"/>
  <c r="I18" i="2"/>
  <c r="I13" i="2"/>
  <c r="E15" i="2"/>
  <c r="G227" i="1"/>
  <c r="G228" i="1" s="1"/>
  <c r="G214" i="1"/>
  <c r="G215" i="1" s="1"/>
  <c r="E211" i="1"/>
  <c r="G211" i="1" s="1"/>
  <c r="G212" i="1" s="1"/>
  <c r="G208" i="1"/>
  <c r="G207" i="1"/>
  <c r="G206" i="1"/>
  <c r="G205" i="1"/>
  <c r="E204" i="1"/>
  <c r="G204" i="1" s="1"/>
  <c r="G203" i="1"/>
  <c r="E202" i="1"/>
  <c r="G202" i="1" s="1"/>
  <c r="G200" i="1"/>
  <c r="G199" i="1"/>
  <c r="E196" i="1"/>
  <c r="G196" i="1" s="1"/>
  <c r="G194" i="1"/>
  <c r="E194" i="1"/>
  <c r="E191" i="1"/>
  <c r="G191" i="1" s="1"/>
  <c r="G189" i="1"/>
  <c r="G186" i="1"/>
  <c r="G185" i="1"/>
  <c r="G184" i="1"/>
  <c r="E183" i="1"/>
  <c r="G183" i="1" s="1"/>
  <c r="G182" i="1"/>
  <c r="G181" i="1"/>
  <c r="E181" i="1"/>
  <c r="E187" i="1" s="1"/>
  <c r="G187" i="1" s="1"/>
  <c r="G180" i="1"/>
  <c r="E180" i="1"/>
  <c r="G179" i="1"/>
  <c r="E179" i="1"/>
  <c r="E190" i="1" s="1"/>
  <c r="G190" i="1" s="1"/>
  <c r="G175" i="1"/>
  <c r="G174" i="1"/>
  <c r="G173" i="1"/>
  <c r="G176" i="1" s="1"/>
  <c r="G170" i="1"/>
  <c r="G171" i="1" s="1"/>
  <c r="E167" i="1"/>
  <c r="G167" i="1" s="1"/>
  <c r="G168" i="1" s="1"/>
  <c r="G164" i="1"/>
  <c r="E164" i="1"/>
  <c r="G163" i="1"/>
  <c r="G162" i="1"/>
  <c r="E162" i="1"/>
  <c r="G161" i="1"/>
  <c r="G160" i="1"/>
  <c r="G159" i="1"/>
  <c r="G158" i="1"/>
  <c r="G157" i="1"/>
  <c r="G156" i="1"/>
  <c r="E156" i="1"/>
  <c r="G155" i="1"/>
  <c r="G154" i="1"/>
  <c r="G153" i="1"/>
  <c r="E153" i="1"/>
  <c r="E152" i="1"/>
  <c r="G152" i="1" s="1"/>
  <c r="G151" i="1"/>
  <c r="E150" i="1"/>
  <c r="G150" i="1" s="1"/>
  <c r="E146" i="1"/>
  <c r="G146" i="1" s="1"/>
  <c r="G147" i="1" s="1"/>
  <c r="G143" i="1"/>
  <c r="E143" i="1"/>
  <c r="G142" i="1"/>
  <c r="G144" i="1" s="1"/>
  <c r="E142" i="1"/>
  <c r="E139" i="1"/>
  <c r="G139" i="1" s="1"/>
  <c r="G138" i="1"/>
  <c r="G137" i="1"/>
  <c r="G136" i="1"/>
  <c r="G135" i="1"/>
  <c r="G134" i="1"/>
  <c r="G133" i="1"/>
  <c r="G132" i="1"/>
  <c r="G131" i="1"/>
  <c r="G130" i="1"/>
  <c r="G126" i="1"/>
  <c r="G125" i="1"/>
  <c r="G124" i="1"/>
  <c r="G122" i="1"/>
  <c r="G121" i="1"/>
  <c r="G120" i="1"/>
  <c r="G119" i="1"/>
  <c r="G118" i="1"/>
  <c r="G116" i="1"/>
  <c r="G114" i="1"/>
  <c r="G113" i="1"/>
  <c r="G112" i="1"/>
  <c r="G111" i="1"/>
  <c r="G110" i="1"/>
  <c r="G109" i="1"/>
  <c r="G108" i="1"/>
  <c r="G107" i="1"/>
  <c r="G105" i="1"/>
  <c r="G104" i="1"/>
  <c r="G102" i="1"/>
  <c r="G100" i="1"/>
  <c r="G99" i="1"/>
  <c r="G98" i="1"/>
  <c r="G97" i="1"/>
  <c r="G95" i="1"/>
  <c r="G93" i="1"/>
  <c r="G92" i="1"/>
  <c r="G88" i="1"/>
  <c r="G87" i="1"/>
  <c r="G86" i="1"/>
  <c r="G85"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6" i="1"/>
  <c r="G27" i="1" s="1"/>
  <c r="G21" i="1"/>
  <c r="E21" i="1"/>
  <c r="E22" i="1" s="1"/>
  <c r="G18" i="1"/>
  <c r="E18" i="1"/>
  <c r="G17" i="1"/>
  <c r="G16" i="1"/>
  <c r="E16" i="1"/>
  <c r="E15" i="1"/>
  <c r="G15" i="1" s="1"/>
  <c r="G14" i="1"/>
  <c r="E13" i="1"/>
  <c r="G13" i="1" s="1"/>
  <c r="D19" i="1"/>
  <c r="G12" i="1"/>
  <c r="H183" i="3" l="1"/>
  <c r="H176" i="3"/>
  <c r="H181" i="3"/>
  <c r="H89" i="3"/>
  <c r="H127" i="3"/>
  <c r="H209" i="3"/>
  <c r="H165" i="3"/>
  <c r="H22" i="3"/>
  <c r="E23" i="3"/>
  <c r="H23" i="3" s="1"/>
  <c r="H140" i="3"/>
  <c r="H144" i="3"/>
  <c r="H179" i="3"/>
  <c r="E196" i="3"/>
  <c r="H196" i="3" s="1"/>
  <c r="H197" i="3" s="1"/>
  <c r="H19" i="3"/>
  <c r="H21" i="3"/>
  <c r="H146" i="3"/>
  <c r="H147" i="3" s="1"/>
  <c r="I26" i="2"/>
  <c r="I47" i="2"/>
  <c r="I48" i="2" s="1"/>
  <c r="G127" i="1"/>
  <c r="G209" i="1"/>
  <c r="G165" i="1"/>
  <c r="G19" i="1"/>
  <c r="G140" i="1"/>
  <c r="G89" i="1"/>
  <c r="G22" i="1"/>
  <c r="G24" i="1" s="1"/>
  <c r="E23" i="1"/>
  <c r="G23" i="1" s="1"/>
  <c r="E188" i="1"/>
  <c r="G188" i="1" s="1"/>
  <c r="G192" i="1" s="1"/>
  <c r="E195" i="1" a="1"/>
  <c r="E195" i="1" s="1"/>
  <c r="G195" i="1" s="1"/>
  <c r="G197" i="1" s="1"/>
  <c r="H192" i="3" l="1"/>
  <c r="H24" i="3"/>
  <c r="H217" i="3" s="1"/>
  <c r="I6" i="2"/>
  <c r="I9" i="2"/>
  <c r="I11" i="2"/>
  <c r="I7" i="2"/>
  <c r="I12" i="2"/>
  <c r="I8" i="2"/>
  <c r="L3" i="2"/>
  <c r="I14" i="2"/>
  <c r="I10" i="2"/>
  <c r="G217" i="1"/>
  <c r="H219" i="3" l="1"/>
  <c r="H221" i="3"/>
  <c r="H222" i="3" s="1"/>
  <c r="H220" i="3"/>
  <c r="I15" i="2"/>
  <c r="I41" i="2" s="1"/>
  <c r="H41" i="2" s="1"/>
  <c r="H45" i="2" s="1"/>
  <c r="I45" i="2" s="1"/>
  <c r="I49" i="2" s="1"/>
  <c r="I51" i="2" s="1"/>
  <c r="G221" i="1"/>
  <c r="G222" i="1" s="1"/>
  <c r="G220" i="1"/>
  <c r="G219" i="1"/>
  <c r="H223" i="3" l="1"/>
  <c r="H224" i="3" s="1"/>
  <c r="H230" i="3" s="1"/>
  <c r="L5" i="2"/>
  <c r="G223" i="1"/>
  <c r="G224" i="1" s="1"/>
  <c r="G230"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<sst xmlns="http://schemas.openxmlformats.org/spreadsheetml/2006/main" count="1404" uniqueCount="477">
  <si>
    <t xml:space="preserve">Formulario 1 - Propuesta económica  - Licitación de obra pública de infraestructura social </t>
  </si>
  <si>
    <t>Código</t>
  </si>
  <si>
    <t>CCE-EICP-FM-116</t>
  </si>
  <si>
    <t>Versión</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</si>
  <si>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</si>
  <si>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</si>
  <si>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ÍTEM DE PAGO</t>
  </si>
  <si>
    <t>DESCRIPCIÓN</t>
  </si>
  <si>
    <t>1</t>
  </si>
  <si>
    <t>ACTIVIDADES PRELIMINARES, DESMONTES Y DEMOLICIONES</t>
  </si>
  <si>
    <t>UND.</t>
  </si>
  <si>
    <t>CANTIDAD</t>
  </si>
  <si>
    <t>VALOR UNITARIO</t>
  </si>
  <si>
    <t xml:space="preserve">VALOR TOTAL                                </t>
  </si>
  <si>
    <t>1.01</t>
  </si>
  <si>
    <t>1.01.07</t>
  </si>
  <si>
    <t>1.03</t>
  </si>
  <si>
    <t>1.03.01</t>
  </si>
  <si>
    <t>1.03.05</t>
  </si>
  <si>
    <t>1.03.07</t>
  </si>
  <si>
    <t>1.03.08</t>
  </si>
  <si>
    <t>Total</t>
  </si>
  <si>
    <t>2</t>
  </si>
  <si>
    <t>MOVIMIENTO DE TIERRAS</t>
  </si>
  <si>
    <t>2.01</t>
  </si>
  <si>
    <t>2.02</t>
  </si>
  <si>
    <t>2.04</t>
  </si>
  <si>
    <t>4</t>
  </si>
  <si>
    <t>REFUERZO</t>
  </si>
  <si>
    <t>4.04</t>
  </si>
  <si>
    <t>7</t>
  </si>
  <si>
    <t>REDES HIDRÁULICAS, SANITARIAS, AGUAS DE RECOLECCIÓN Y RCI</t>
  </si>
  <si>
    <t>7.01</t>
  </si>
  <si>
    <t>7.01.01</t>
  </si>
  <si>
    <t>7.01.02</t>
  </si>
  <si>
    <t>7.01.03</t>
  </si>
  <si>
    <t>7.01.06</t>
  </si>
  <si>
    <t>7.02</t>
  </si>
  <si>
    <t>7.02.02</t>
  </si>
  <si>
    <t>7.02.03</t>
  </si>
  <si>
    <t>7.02.04</t>
  </si>
  <si>
    <t>7.02.05</t>
  </si>
  <si>
    <t>7.02.06</t>
  </si>
  <si>
    <t>7.02.07</t>
  </si>
  <si>
    <t>7.02.08</t>
  </si>
  <si>
    <t>7.02.09</t>
  </si>
  <si>
    <t>7.02.10</t>
  </si>
  <si>
    <t>7.02.13</t>
  </si>
  <si>
    <t>7.02.14</t>
  </si>
  <si>
    <t>7.02.18</t>
  </si>
  <si>
    <t>7.02.19</t>
  </si>
  <si>
    <t>7.03</t>
  </si>
  <si>
    <t>7.03.01</t>
  </si>
  <si>
    <t>7.03.03</t>
  </si>
  <si>
    <t>7.03.04</t>
  </si>
  <si>
    <t>7.03.05</t>
  </si>
  <si>
    <t>7.03.06</t>
  </si>
  <si>
    <t>7.03.08</t>
  </si>
  <si>
    <t>7.03.09</t>
  </si>
  <si>
    <t>7.03.10</t>
  </si>
  <si>
    <t>7.03.11</t>
  </si>
  <si>
    <t>7.03.12</t>
  </si>
  <si>
    <t>7.03.13</t>
  </si>
  <si>
    <t>7.03.14</t>
  </si>
  <si>
    <t>7.03.15</t>
  </si>
  <si>
    <t>7.03.16</t>
  </si>
  <si>
    <t>7.03.17</t>
  </si>
  <si>
    <t>7.03.18</t>
  </si>
  <si>
    <t>7.03.20</t>
  </si>
  <si>
    <t>7.03.21</t>
  </si>
  <si>
    <t>7.03.22</t>
  </si>
  <si>
    <t>7.03.29</t>
  </si>
  <si>
    <t>7.03.30</t>
  </si>
  <si>
    <t>7.03.31</t>
  </si>
  <si>
    <t>7.03.32</t>
  </si>
  <si>
    <t>7.03.34</t>
  </si>
  <si>
    <t>7.03.35</t>
  </si>
  <si>
    <t>7.03.36</t>
  </si>
  <si>
    <t>7.03.37</t>
  </si>
  <si>
    <t>7.04</t>
  </si>
  <si>
    <t>7.04.02</t>
  </si>
  <si>
    <t>7.04.03</t>
  </si>
  <si>
    <t>7.04.05</t>
  </si>
  <si>
    <t>7.05</t>
  </si>
  <si>
    <t>7.05.06</t>
  </si>
  <si>
    <t>7.05.08</t>
  </si>
  <si>
    <t>7.05.17</t>
  </si>
  <si>
    <t>7.07</t>
  </si>
  <si>
    <t>7.07.01</t>
  </si>
  <si>
    <t>7.07.02</t>
  </si>
  <si>
    <t>7.07.03</t>
  </si>
  <si>
    <t>7.07.04</t>
  </si>
  <si>
    <t>8</t>
  </si>
  <si>
    <t>INSTALACIONES ELÉCTRICAS E ILUMINACIÓN</t>
  </si>
  <si>
    <t>8.01</t>
  </si>
  <si>
    <t>8.01.05</t>
  </si>
  <si>
    <t>8.01.06</t>
  </si>
  <si>
    <t>8.02</t>
  </si>
  <si>
    <t>8.02.01</t>
  </si>
  <si>
    <t>8.03</t>
  </si>
  <si>
    <t>8.03.04</t>
  </si>
  <si>
    <t>8.04</t>
  </si>
  <si>
    <t>8.04.09</t>
  </si>
  <si>
    <t>8.04.10</t>
  </si>
  <si>
    <t>8.05</t>
  </si>
  <si>
    <t>8.05.08</t>
  </si>
  <si>
    <t>8.06</t>
  </si>
  <si>
    <t>8.06.06</t>
  </si>
  <si>
    <t>8.06.08</t>
  </si>
  <si>
    <t>8.07</t>
  </si>
  <si>
    <t>8.07.07</t>
  </si>
  <si>
    <t>8.07.13</t>
  </si>
  <si>
    <t>8.07.15</t>
  </si>
  <si>
    <t>8.07.17</t>
  </si>
  <si>
    <t>8.07.20</t>
  </si>
  <si>
    <t>8.07.23</t>
  </si>
  <si>
    <t>8.07.26</t>
  </si>
  <si>
    <t>8.07.28</t>
  </si>
  <si>
    <t>8.08</t>
  </si>
  <si>
    <t>8.08.19</t>
  </si>
  <si>
    <t>Suministro e instalación de luminaria LED SOLAR GARDEN 3250LM –  25W, incluye poste 3m galvanizado , con canastilla y soportes de fijación, base en concreto de 21MPa y acero de refuerzo, sistema de puesta a tierra con varilla de cobre 2,4m, cable de cobre, conectores, tratamiento, poste y luminaria deben contar con certificado de confirmidad de producto</t>
  </si>
  <si>
    <t>8.12</t>
  </si>
  <si>
    <t>8.12.01</t>
  </si>
  <si>
    <t>8.12.02</t>
  </si>
  <si>
    <t>8.12.03</t>
  </si>
  <si>
    <t>8.12.04</t>
  </si>
  <si>
    <t>8.12.05</t>
  </si>
  <si>
    <t>8.14</t>
  </si>
  <si>
    <t>8.14.02</t>
  </si>
  <si>
    <t>8.14.03</t>
  </si>
  <si>
    <t>8.14.04</t>
  </si>
  <si>
    <t>9</t>
  </si>
  <si>
    <t>REDES ESPECIALES</t>
  </si>
  <si>
    <t>9.01</t>
  </si>
  <si>
    <t>9.01.01</t>
  </si>
  <si>
    <t>9.01.02</t>
  </si>
  <si>
    <t>9.01.03</t>
  </si>
  <si>
    <t>9.01.04</t>
  </si>
  <si>
    <t>9.01.05</t>
  </si>
  <si>
    <t>9.01.06</t>
  </si>
  <si>
    <t>9.01.07</t>
  </si>
  <si>
    <t>9.01.08</t>
  </si>
  <si>
    <t>9.01.10</t>
  </si>
  <si>
    <t>9.01.11</t>
  </si>
  <si>
    <t>11</t>
  </si>
  <si>
    <t>CUBIERTAS,_CIELO_RASOS E IMPERMEABILIZACIONES</t>
  </si>
  <si>
    <t>11.01.25</t>
  </si>
  <si>
    <t>11.01.26</t>
  </si>
  <si>
    <t>12</t>
  </si>
  <si>
    <t>PAÑETES</t>
  </si>
  <si>
    <t>12.01</t>
  </si>
  <si>
    <t>13</t>
  </si>
  <si>
    <t>PISOS Y ENCHAPES</t>
  </si>
  <si>
    <t>13.01</t>
  </si>
  <si>
    <t>13.01.02</t>
  </si>
  <si>
    <t>13.01.03</t>
  </si>
  <si>
    <t>13.01.11</t>
  </si>
  <si>
    <t>13.01.12</t>
  </si>
  <si>
    <t>13.01.13</t>
  </si>
  <si>
    <t>13.02</t>
  </si>
  <si>
    <t>13.02.01</t>
  </si>
  <si>
    <t>13.02.06</t>
  </si>
  <si>
    <t>13.04</t>
  </si>
  <si>
    <t>13.04.01</t>
  </si>
  <si>
    <t>13.04.02</t>
  </si>
  <si>
    <t>13.05</t>
  </si>
  <si>
    <t>13.05.01</t>
  </si>
  <si>
    <t>13.05.03</t>
  </si>
  <si>
    <t>13.05.04</t>
  </si>
  <si>
    <t>14</t>
  </si>
  <si>
    <t>CARPINTERÍA EN MADERA</t>
  </si>
  <si>
    <t>14.14</t>
  </si>
  <si>
    <t>15</t>
  </si>
  <si>
    <t>CARPINTERÍA METÁLICA</t>
  </si>
  <si>
    <t>15.03.04</t>
  </si>
  <si>
    <t>16</t>
  </si>
  <si>
    <t>CERRADURAS</t>
  </si>
  <si>
    <t>16.04</t>
  </si>
  <si>
    <t>16.05</t>
  </si>
  <si>
    <t>17</t>
  </si>
  <si>
    <t>DOTACIÓN DE BAÑOS, GRIFERÍAS Y ACCESORIOS</t>
  </si>
  <si>
    <t>17.01</t>
  </si>
  <si>
    <t>17.01.02</t>
  </si>
  <si>
    <t>17.01.03</t>
  </si>
  <si>
    <t>17.01.04</t>
  </si>
  <si>
    <t>17.01.05</t>
  </si>
  <si>
    <t>17.01.06</t>
  </si>
  <si>
    <t>17.01.08</t>
  </si>
  <si>
    <t>17.02</t>
  </si>
  <si>
    <t>17.02.01</t>
  </si>
  <si>
    <t>17.02.02</t>
  </si>
  <si>
    <t>17.02.03</t>
  </si>
  <si>
    <t>17.03</t>
  </si>
  <si>
    <t>17.03.01</t>
  </si>
  <si>
    <t>17.03.08</t>
  </si>
  <si>
    <t>18</t>
  </si>
  <si>
    <t>PINTURAS</t>
  </si>
  <si>
    <t>18.01</t>
  </si>
  <si>
    <t>18.02</t>
  </si>
  <si>
    <t>18.09</t>
  </si>
  <si>
    <t>19</t>
  </si>
  <si>
    <t>VIDRIOS Y ESPEJOS</t>
  </si>
  <si>
    <t>19.01</t>
  </si>
  <si>
    <t>21</t>
  </si>
  <si>
    <t>OBRAS EXTERIORES</t>
  </si>
  <si>
    <t>21.01</t>
  </si>
  <si>
    <t>21.05</t>
  </si>
  <si>
    <t>21.08</t>
  </si>
  <si>
    <t>21.10</t>
  </si>
  <si>
    <t>21.13</t>
  </si>
  <si>
    <t>21.15</t>
  </si>
  <si>
    <t>21.19</t>
  </si>
  <si>
    <t>23</t>
  </si>
  <si>
    <t>AISLAMIENTO ACUSTICO</t>
  </si>
  <si>
    <t>23.02</t>
  </si>
  <si>
    <t>24</t>
  </si>
  <si>
    <t>ASEO</t>
  </si>
  <si>
    <t>24.01</t>
  </si>
  <si>
    <t>TOTAL COSTOS DIRECTOS</t>
  </si>
  <si>
    <t>ADMINISTRACIÓN</t>
  </si>
  <si>
    <t>%</t>
  </si>
  <si>
    <t>IMPREVISTOS</t>
  </si>
  <si>
    <t>UTILIDAD</t>
  </si>
  <si>
    <t>IVA SOBRE UTILIDAD</t>
  </si>
  <si>
    <t>SUBTOTAL COSTO INDIRECTO</t>
  </si>
  <si>
    <t>SUBTOTAL FASE OBRA</t>
  </si>
  <si>
    <t>SUMINISTRO E INSTALACIÓN DE ASCENSOR PARA PERSONAS CON MOVILIDAD REDUCIDA, TRES PARADAS, CABINA EN VIDRIO.</t>
  </si>
  <si>
    <t xml:space="preserve">IVA </t>
  </si>
  <si>
    <t>SUBTOTAL DOTACIÓN</t>
  </si>
  <si>
    <t>TOTAL PROYECTO</t>
  </si>
  <si>
    <t>VALOR presupuestado PROCESO</t>
  </si>
  <si>
    <t>COSTO DIRECTO</t>
  </si>
  <si>
    <t>ANALISIS DEL AIU</t>
  </si>
  <si>
    <t>COSTO INDIRECTO</t>
  </si>
  <si>
    <t>A1- IMPUESTOS Y PÓLIZAS</t>
  </si>
  <si>
    <t>Unidad</t>
  </si>
  <si>
    <t>Porcentaje</t>
  </si>
  <si>
    <t>Cantidad</t>
  </si>
  <si>
    <t xml:space="preserve">COSTO </t>
  </si>
  <si>
    <t>A1</t>
  </si>
  <si>
    <t xml:space="preserve">Retefuente </t>
  </si>
  <si>
    <t>Global</t>
  </si>
  <si>
    <t>Transacciones financieras (4 x 1000)</t>
  </si>
  <si>
    <t>Rete ICA 6.9/1000</t>
  </si>
  <si>
    <t>FIC</t>
  </si>
  <si>
    <t>Estampilla Pro Universidad Nacional</t>
  </si>
  <si>
    <t>Impuesto de Timbre</t>
  </si>
  <si>
    <t>Administración fiducia 1 SMMLV por mes de duración</t>
  </si>
  <si>
    <t>Mes</t>
  </si>
  <si>
    <t>Pólizas</t>
  </si>
  <si>
    <t>PORCENTAJE IMPUESTOS  Y OTROS SOBRE CONTRATO</t>
  </si>
  <si>
    <t>A2- PERSONAL</t>
  </si>
  <si>
    <t>VALOR BRUTO</t>
  </si>
  <si>
    <t>Carga Prestacional</t>
  </si>
  <si>
    <t>DEDICACION %</t>
  </si>
  <si>
    <t>Cantidad Y/O Turnos</t>
  </si>
  <si>
    <t>Plazo (mes)</t>
  </si>
  <si>
    <t>VALOR NETO</t>
  </si>
  <si>
    <t>A2</t>
  </si>
  <si>
    <t>Director de Diseños y Obra</t>
  </si>
  <si>
    <t>Residente de obra acabados</t>
  </si>
  <si>
    <t>Especialista Hidrosanitario</t>
  </si>
  <si>
    <t xml:space="preserve">Especialista eléctrico de iluminación y electrónico </t>
  </si>
  <si>
    <t>Profesional en Seguridad y Salud en el Trabajo, y medio ambiente</t>
  </si>
  <si>
    <t>PERSONAL</t>
  </si>
  <si>
    <t>GASTOS GENERALES</t>
  </si>
  <si>
    <t>UN</t>
  </si>
  <si>
    <t>A3</t>
  </si>
  <si>
    <t>PAPELERÍA, FOTOCOPIAS Y EQUIPOS</t>
  </si>
  <si>
    <t>mes</t>
  </si>
  <si>
    <t>EQUIPOS OFICINA (COMPUTADORES Y ESCANER) (3 UNIDADES)</t>
  </si>
  <si>
    <t>EQUIPOS DE COMUNICACIÓN</t>
  </si>
  <si>
    <t>SOFTWARE LICENCIADO</t>
  </si>
  <si>
    <t>ADECUACION ESPACIO PARA ALMACÉN, MUEBLES, BAÑOS (INCLUYE RETIRO AL FINALIZAR LA OBRA)</t>
  </si>
  <si>
    <t>IMPLEMENTACIÓN PLAN AMBIENTAL Y SEGURIDAD INDUSTRIAL - Elementos de seguridad Industrial, incluye trabajo de alturas, señalizacion y proteccion de zonas de trabajo</t>
  </si>
  <si>
    <t>ENSAYOS DE LABORATORIO (incluiye pueba de tintas, concretos, aceros, ferroscan)</t>
  </si>
  <si>
    <t>SERVICIOS PÚBLICOS</t>
  </si>
  <si>
    <t>IMPLEMENTACIÓN PLAN DE MANEJO DE TRANSITO - Elementos de seguridad Industrial, señalizacion y proteccion de zonas de trabajo</t>
  </si>
  <si>
    <t>VALLA INFORMATIVA DEL PROYECTO (2,00 X3,00MTS) BANNER CON OJALETES CON ESTRUCTURA METALICA DE  SOPORTE</t>
  </si>
  <si>
    <t>TOTAL ADMINISTRACIÓN</t>
  </si>
  <si>
    <t>PORCENTAJE</t>
  </si>
  <si>
    <t xml:space="preserve">COSTO DIRECTO </t>
  </si>
  <si>
    <t>VALOR TOTAL</t>
  </si>
  <si>
    <t>Preliminares</t>
  </si>
  <si>
    <t/>
  </si>
  <si>
    <t xml:space="preserve">LIMPIEZA Y LAVADO DE FACHADAS  </t>
  </si>
  <si>
    <t>m2</t>
  </si>
  <si>
    <t>Demoliciones</t>
  </si>
  <si>
    <t>DEMOLICIÓN MANUAL DE PLACAS DE CONTRAPISO Y/O ANDENES h.&lt;=15 cm (indiferente de la resistencia). Incluye compresores neumáticos, cargue, retiro, disposición de escombros a sitio aprobado por la autoridad ambiental.</t>
  </si>
  <si>
    <t>ESCARIFICACIÓN SUPERFICIAL (VERTICAL Y/O HORIZONTAL) DE ESTRUCTURAS EN CONCRETO. INCLUYE CORTE A LADO Y LADO DEL ÁREA A INTERVENIR, INCLUYE TRASIEGOS - CARGUE Y RETIRO FINAL DE ESCOMBROS HASTA ESCOMBRERA AUTORIZADA</t>
  </si>
  <si>
    <t>DEMOLICIÓN MECÁNICA CONTROLADA DE MUROS EN LADRILLO (arcilla y/o cemento).  incluye trasiegos - cargue y retiro final de escombros hasta escombrera autorizada</t>
  </si>
  <si>
    <t>DEMOLICIÓN DE PAÑETES EXISTENTES indiferente su espesor, (para muros en ladrillo a la vista a conservar). Incluye trasiegos - cargue y retiro final de escombros hasta escombrera autorizada</t>
  </si>
  <si>
    <t>DESCAPOTE A MÁQUINA Y/O MANUAL PROFUNDIDAD 0.30m, incluye selección de cespedones con almacenamiento y retiro de material sobrante hasta botadero autorizado.</t>
  </si>
  <si>
    <t>CORTE Y/O EXCAVACIÓN MANUAL y/o MECÁNICA DE TERRENO, (Para elementos estructurales, redes, y todos los elementos constructivos que lo requieran, unidad medida en bloque en planos o en terreno, no se reconocerán sobreanchos ni sobre excavaciones) incluye selección, trasiego, almacenamiento en obra, disposición interna en el proyecto, profundidad hasta 2,00 m.</t>
  </si>
  <si>
    <t>m3</t>
  </si>
  <si>
    <t>RELLENO CON MATERIAL SELECCIONADO PRODUCTO DE LA EXCAVACIÓN, compactado al 95%, aplica también para rellenos de redes.</t>
  </si>
  <si>
    <t>ANCLAJE MANUAL EMPLEANDO VARILLA Ø 1/2" PARA PERFORACIÓN Ø 5/8" PROF MAX 0,30 M FIJADO MEDIANTE EPÓXICO DE DOS COMPONENTES 100% SOLIDOS INSENSIBLE A LA HUMEDAD Y TIXOTRÓPICO</t>
  </si>
  <si>
    <t>u</t>
  </si>
  <si>
    <t>CAJAS, POZOS, CARCAMOS</t>
  </si>
  <si>
    <t>CAJA DE INSPECCIÓN EN MAMPOSTERÍA 80x80x150 cm (a x L x h) medidas internas útiles. Incluye base en concreto f'c=2000 PSI y malla electrosoldada, cañuela, ladrillo tolete recocido común, tapa en concreto f'c=3000 PSI con marco y contramarco metálico, pañetado liso impermeabilizado 1:4 interno completo. No incluye excavaciones ni rellenos.</t>
  </si>
  <si>
    <t>CAJA DE INSPECCIÓN EN MAMPOSTERÍA 80x80x80 cm (a x L x h) medidas internas útiles. Incluye base en concreto f'c=2000 PSI y malla electrosoldada, cañuela, ladrillo tolete recocido común, tapa en concreto f'c=3000 PSI con marco y contramarco metálico, pañetado liso impermeabilizado 1:4 interno completo. No incluye excavaciones ni rellenos.</t>
  </si>
  <si>
    <t>CAJA DE INSPECCIÓN EN MAMPOSTERÍA 60x60x80 cm (a x L x h) medidas internas útiles. Incluye base en concreto f'c=2000 PSI y malla electrosoldada, cañuela, ladrillo tolete recocido común, tapa en concreto f'c=3000 PSI con marco y contramarco metálico, pañetado liso impermeabilizado 1:4 interno completo. No incluye excavaciones ni rellenos.</t>
  </si>
  <si>
    <t>CÁRCAMO en concreto 2000 psi de 30 cm x 15 cm.  Incluye suministro, herramienta, mano de obra y demás materiales necesarios para su correcta instalación.</t>
  </si>
  <si>
    <t>m</t>
  </si>
  <si>
    <t>REDES SANITARIAS</t>
  </si>
  <si>
    <t>SUMINISTRO E INSTALACIÓN DE TUBERÍA SANITARIA PVC-S ø 4" (conexión hacia la acometida y cajas + incluye accesorios y todo lo necesario para su instalación)</t>
  </si>
  <si>
    <t>SUMINISTRO E INSTALACIÓN DE TUBERÍA SANITARIA PVC-S ø 3" (Incluye accesorios y todo lo necesario para su instalación)</t>
  </si>
  <si>
    <t>SUMINISTRO E INSTALACIÓN DE TUBERÍA SANITARIA PVC-S ø 2" (Incluye accesorios y todo lo necesario para su instalación)</t>
  </si>
  <si>
    <t>PUNTO SANITARIO PVCS ø 4" (Incluye 1,5 m de tubería desde la salida hasta la red +accesorios  y todo lo necesario para su instalación)</t>
  </si>
  <si>
    <t>PUNTO SANITARIO PVCS ø 3" (Incluye 1,5 m de tubería desde la salida hasta la red +accesorios  y todo lo necesario para su instalación)</t>
  </si>
  <si>
    <t>PUNTO SANITARIO PVC-S  ø 2" (Incluye 1.5 m  tubería desde la salida hasta la red + accesorios y todo lo necesario para su instalación)</t>
  </si>
  <si>
    <t>SUMINISTRO E INSTALACIÓN DE PUNTO SANITARIOS Y SIFONES DE PISO 4" (incluye rejillas metálicas de piso y todos los materiales necesarios para su correcta instalación)</t>
  </si>
  <si>
    <t>SUMINISTRO E INSTALACIÓN DE PUNTO SANITARIOS Y SIFONES DE PISO 3" (incluye rejillas metálicas de piso y todos los materiales necesarios para su correcta instalación)</t>
  </si>
  <si>
    <t>SUMINISTRO E INSTALACIÓN DE PUNTO SANITARIOS Y SIFONES DE PISO 2" (incluye rejillas metálicas de piso y todos los materiales necesarios para su correcta instalación)</t>
  </si>
  <si>
    <t>SUMINISTRO E INSTALACIÓN VÁLVULA ANTIRRETORNO PARA ALCANTARILLADO DE 6" o 160 mm (Incluye suministro, herramienta, mano de obra, transporte y demás materiales necesarios para su correcta instalación)</t>
  </si>
  <si>
    <t>SUMINISTRO E INSTALACIÓN VÁLVULA ANTIRRETORNO PARA ALCANTARILLADO DE 4" o 110 mm (Incluye suministro, herramienta, mano de obra, transporte y demás materiales necesarios para su correcta instalación)</t>
  </si>
  <si>
    <t>SUMINISTRO E INSTALACIÓN DE TUBERÍA SANITARIA pared estructural ø 6" o 160 mm (tipo NOVAFORT o equivalente de igual calidad o superior). Incluye accesorios y todo lo necesario para su instalación y buen funcionamiento.</t>
  </si>
  <si>
    <t>SUMINISTRO E INSTALACIÓN DE TUBERÍA SANITARIA pared estructural ø 4" o 110 mm (tipo NOVAFORT o equivalente de igual calidad o superior). Incluye accesorios y todo lo necesario para su instalación y buen funcionamiento.</t>
  </si>
  <si>
    <t>REDES HIDRÁULICAS</t>
  </si>
  <si>
    <t>SUMINISTRO E INSTALACIÓN DE ACOMETIDA PVC-P 3/4" RDE 11 (400 psi). Comprende desde punto de salida del medidor hasta la conexión a la red principal. Incluye todos los accesorios (válvulas de corte, caja de medidor, medidor + tubería + accesorios) y materiales necesarios para su instalación.</t>
  </si>
  <si>
    <t>SUMINISTRO E INSTALACIÓN DE TUBERÍA PVC-P 3" RDE 21 (Incluye todos los accesorios y materiales necesarios para su instalación)</t>
  </si>
  <si>
    <t>SUMINISTRO E INSTALACIÓN DE TUBERÍA PVC-P 2-1/2" RDE 21 (Incluye todos los accesorios y materiales necesarios para su instalación)</t>
  </si>
  <si>
    <t>SUMINISTRO E INSTALACIÓN DE TUBERÍA PVC-P 2" RDE 21 (Incluye todos los accesorios y materiales necesarios para su instalación)</t>
  </si>
  <si>
    <t>SUMINISTRO E INSTALACIÓN DE TUBERÍA PVC-P 1-1/2" RDE 21 (Incluye todos los accesorios y materiales necesarios para su instalación)</t>
  </si>
  <si>
    <t>SUMINISTRO E INSTALACIÓN DE TUBERÍA PVC-P 1" RDE 13.5 (Incluye todos los accesorios y materiales necesarios para su instalación)</t>
  </si>
  <si>
    <t>SUMINISTRO E INSTALACIÓN DE TUBERÍA PVC-P 3/4" RDE 11 (Incluye todos los accesorios y materiales necesarios para su instalación)</t>
  </si>
  <si>
    <t>SUMINISTRO E INSTALACIÓN DE TUBERÍA PVC-P 1/2" RDE 9 (Incluye todos los accesorios y materiales necesarios para su instalación)</t>
  </si>
  <si>
    <t>PUNTO DE AGUA FRÍA 1 1/2" (instalado subterráneo y/o a nivel y/o en alturas hasta 10,00 m. Incluye cámara de aire, 1,5 m de tubería, accesorios, complementarios, regatas y resanes).</t>
  </si>
  <si>
    <t>PUNTO DE AGUA FRÍA 1" (instalado subterráneo y/o a nivel y/o en alturas hasta 10,00 m. Incluye cámara de aire, 1,5 m de tubería, accesorios, complementarios, regatas y resanes).</t>
  </si>
  <si>
    <t>PUNTO DE AGUA FRÍA 3/4" (instalado subterráneo y/o a nivel y/o en alturas hasta 10,00 m. Incluye cámara de aire, 1,5 m de tubería, accesorios, complementarios, regatas y resanes).</t>
  </si>
  <si>
    <t>PUNTO DE AGUA FRÍA 1/2" (instalado subterráneo y/o a nivel y/o en alturas hasta 10,00 m. Incluye cámara de aire, 1,5 m de tubería, accesorios, complementarios, regatas y resanes).</t>
  </si>
  <si>
    <t>SUMINISTRO E INSTALACIÓN DE VÁLVULA ó REGISTRO R/W DE 3" (Incluye todos los accesorios y materiales necesarios para su instalación)</t>
  </si>
  <si>
    <t>SUMINISTRO E INSTALACIÓN DE VÁLVULA ó REGISTRO R/W DE 2-1/2" (Incluye todos los accesorios y materiales necesarios para su instalación)</t>
  </si>
  <si>
    <t>SUMINISTRO E INSTALACIÓN DE VÁLVULA ó REGISTRO R/W DE 2" (Incluye todos los accesorios y materiales necesarios para su instalación)</t>
  </si>
  <si>
    <t>SUMINISTRO E INSTALACIÓN DE VÁLVULA ó REGISTRO R/W DE 1-1/2" (Incluye todos los accesorios y materiales necesarios para su instalación)</t>
  </si>
  <si>
    <t>SUMINISTRO E INSTALACIÓN DE VÁLVULA ó REGISTRO R/W DE 1" (Incluye todos los accesorios y materiales necesarios para su instalación)</t>
  </si>
  <si>
    <t>SUMINISTRO E INSTALACIÓN DE VÁLVULA ó REGISTRO R/W DE 3/4" (Incluye todos los accesorios y materiales necesarios para su instalación)</t>
  </si>
  <si>
    <t>SUMINISTRO E INSTALACIÓN DE VÁLVULA ó REGISTRO R/W DE 1/2" (Incluye todos los accesorios y materiales necesarios para su instalación)</t>
  </si>
  <si>
    <t>SUMINISTRO E INSTALACIÓN DE CHEQUE DE 3" (Incluye todos los accesorios y materiales necesarios para su instalación)</t>
  </si>
  <si>
    <t>SUMINISTRO E INSTALACIÓN DE CHEQUE DE 2-1/2" (Incluye todos los accesorios y materiales necesarios para su instalación)</t>
  </si>
  <si>
    <t>SUMINISTRO E INSTALACIÓN DE CHEQUE DE 2" (Incluye todos los accesorios y materiales necesarios para su instalación)</t>
  </si>
  <si>
    <t>SUMINISTRO E INSTALACIÓN DE CHEQUE DE 1 1/2" (Incluye todos los accesorios y materiales necesarios para su instalación)</t>
  </si>
  <si>
    <t>SUMINISTRO E INSTALACIÓN DE CHEQUE DE 1" (Incluye todos los accesorios y materiales necesarios para su instalación)</t>
  </si>
  <si>
    <t>SUMINISTRO E INSTALACIÓN DE CHEQUE DE 3/4" (Incluye todos los accesorios y materiales necesarios para su instalación)</t>
  </si>
  <si>
    <t>SUMINISTRO E INSTALACIÓN DE CHEQUE DE 1/2" (Incluye todos los accesorios y materiales necesarios para su instalación)</t>
  </si>
  <si>
    <t>SUMINISTRO E INSTALACIÓN DE LLAVE TERMINAL 1/2" TIPO PESADO PARA MANGUERA.</t>
  </si>
  <si>
    <t>REDES VENTILACIÓN Y AGUAS LLUVIAS</t>
  </si>
  <si>
    <t>SUMINISTRO E INSTALACIÓN DE TUBERÍA DE VENTILACIÓN PVC L ø 3" (incluye accesorios y todo lo necesario para su instalación)</t>
  </si>
  <si>
    <t>SUMINISTRO E INSTALACIÓN DE TUBERÍA DE VENTILACIÓN PVC L ø 2" (incluye accesorios y todo lo necesario para su instalación)</t>
  </si>
  <si>
    <t>PUNTO SANITARIO BAJANTE AGUAS LLUVIAS (Incluye tragante metálica 5x4, accesorios de conexión con la bajante y rebose lateral de la canal con accesorios según planos de diseño)</t>
  </si>
  <si>
    <t>TANQUES Y EQUIPOS</t>
  </si>
  <si>
    <t>SUMINISTRO E INSTALACIÓN KIT FLOTADORA PESADA para tanque agua de reserva; incluye: Válvula flotadora en bronce 1/2"; Cheque cortina 1/2"; válvula de bola 1/2" Bugatti y cinta para rosca PTFE; vástago en latón; conector y horquilla en latón forjado; sello en nitrilo; presión de cierre: 125 PSI; bola de cobre.</t>
  </si>
  <si>
    <t>SUMINISTRO E INSTALACIÓN TRAMPA DE GRASAS EN ACERO INOXIDABLE (80X40X35) tipo industrial. Incluye tapa y todos los accesorios necesarios para su correcta instalación y funcionamiento.</t>
  </si>
  <si>
    <t>EQUIPO  DE PRESIÓN CONSTANTE DE 5 HP, DE ALTURA DINÁMICA DE 23.03 MCA Y Q= 4.22 LTS, INCLUYE BOMBA AUXILIAR DE 5 HP, CONTROLES, TABLEROS DE CONTROL Y FUERZA. NO HOMOLOGADO</t>
  </si>
  <si>
    <t>TRÁMITES Y DERECHOS DE CONEXIÓN</t>
  </si>
  <si>
    <t>TRÁMITE DISPONIBILIDAD DE SERVICIOS</t>
  </si>
  <si>
    <t>TRÁMITE DE TIPO</t>
  </si>
  <si>
    <t>TRÁMITE DE CONEXIONES DOMICILIARIAS</t>
  </si>
  <si>
    <t>TRÁMITE DE CONEXIONES DEFINITIVAS DE ACUEDUCTO</t>
  </si>
  <si>
    <t>EQUIPO DE MEDIDA</t>
  </si>
  <si>
    <t>GRUPO DE MEDIDA EN BAJA TENSIÓN
Un (1) medidor electrónico multifuncional con perfil de carga, para conexión en dos o tres elementos, clase 0.5 según IEC 687/92. Mide valores tensión, corriente, ángulo de fase, Potencia activa, reactiva, distorsión armónica.
Una (1) bornera de tres elementos.
res (3) transf.corriente CT'S 200- 600/5A Idin.=80xIN-1SEG clase
0.5, 2.5 VA Barra pasante.
Los transf. se entregan con sus respectivos protocolos de pruebas e
instalado en el tablero grupo de medida</t>
  </si>
  <si>
    <t xml:space="preserve">Suministro de materiales y mano de obra para la construcción de caja de inspección en anden de concreto CS276, incluye marco en acero y 2 tapas 1.31 mtr x 1.61mtr de concreto para camara de inspeccion doble CS276
</t>
  </si>
  <si>
    <t>REDES EXTERIORES EN BAJA TENSIÓN</t>
  </si>
  <si>
    <t>Suministro e instalación de tubo TDP 2"  PVC tipo pesado, incluye terminal tipo campana para conexión, accesorios y demás elementos para su correcta instalación</t>
  </si>
  <si>
    <t>TABLEROS DE DISTRIBUCIÓN Y PROTECCIONES</t>
  </si>
  <si>
    <t>Suministro, instalación y puesta en servicio de tablero de distribución trifásico enchufable para 36 circuitos con espacio para totalizador, incluye totalizador (20-100A) 25kA, barraje de neutro, barraje de tierra, puerta y chapa; (incluye elementos consumibles para su correcta instalación, empotrado).</t>
  </si>
  <si>
    <t>ACOMETIDAS INTERNAS BAJA TENSIÓN</t>
  </si>
  <si>
    <t xml:space="preserve">Suministro e instalación de acometida en cable de cobre 3F# 6+1N #6 + 1T #8AWG,  incluye termo encogible, terminales de ponchar, cinta y demás accesorios para su correcto funcionamiento, incluye conexión en los dos extremos. </t>
  </si>
  <si>
    <t>Suministro e instalación de acometida en cable de cobre 3F# /4/0+1N #4/0 + 1T #2AWG,  incluye termo encogible, terminales de ponchar, cinta y demás accesorios para su correcto funcionamiento, incluye conexión en los dos extremos. Entre planta electrica y tablero de transferencia</t>
  </si>
  <si>
    <t>RED NORMAL Y REGULADA</t>
  </si>
  <si>
    <t>Suministro e instalación de cable de cobre  1F#12+1N#12+1T#12 AWG, blanco-verde-(amarillo, azul o rojo) LSZH HF, CT, 600V, 80°C</t>
  </si>
  <si>
    <t>CANALIZACIONES PARA RED NORMAL Y REGULADA</t>
  </si>
  <si>
    <t xml:space="preserve">Instalación y Suministro de Canaleta plastica 100x45mm 2Mt, incluye accesorios de union, separador, angulos y demas accesorios para su correcta fijacion </t>
  </si>
  <si>
    <t>Instalación y Suministro de ducto cerrado de 200x50 mm incluye curvas, uniones, riel chanel, varilla roscada y accesorios de fijación</t>
  </si>
  <si>
    <t>ILUMINACIÓN</t>
  </si>
  <si>
    <t>Suministro e instalación de Luminaria tipo panel LED LINEAL CONTINUUM 2,27m  montaje para descolgar , vida útil mínimo de 60.000 Horas, 60W,  5500 Lúmenes, de acuerdo con especificaciones del diseño de iluminación,  Incluye cable encauchetado y clavija para conexión,  kit de guayas aceradas para descolgar y demás elementos necesarios para su correcta instalación.</t>
  </si>
  <si>
    <t>Suministro e instalación de luminaria de emergencia tipo bala para montaje en cilindro 5w minimo 90 minutos de automia incluye guaya y soportes</t>
  </si>
  <si>
    <t>Suministro e instalación de aviso de salida  emergencia led rectangular 120-130v , 2 años de garantía</t>
  </si>
  <si>
    <t>Suministro e instalación de luminaria Spot LED, acabado con pintura electrostática en color negro, ángulo de distribución luminosa entre  15 a 40°  de apertura, mínimo IP20, potencia de 10/20/30 W, temperatura de color  3000K   IRC mínimo 80%, vida útil de la fuente mínimo de 30.000 horas, dimerizable, conexión a 120 V, para instalación en riel 120V</t>
  </si>
  <si>
    <t xml:space="preserve">Suministro e instalación de luminaria tipo cilindro descolgar 22W, incluye guaya </t>
  </si>
  <si>
    <t>Suministro e instalación de luminaria Solar Garden Poste 80cm 3000K</t>
  </si>
  <si>
    <t>Suministro e instalación de LUMINARIA DE DESCOLGAR DECORATIVA  y accesorios de fijación</t>
  </si>
  <si>
    <t>Suminsitro e instalacion de luminaria lineal Square Stil Led 1.20m 50W</t>
  </si>
  <si>
    <t>ILUMINACIÓN EXTERIOR</t>
  </si>
  <si>
    <t>CERTIFICACIONES Y TRAMITES</t>
  </si>
  <si>
    <t>Certificación RETIE expedido por organismo acreditado ante la ONAC</t>
  </si>
  <si>
    <t>Certificación RETILAP expedido por organismo acreditado ante  la ONAC.</t>
  </si>
  <si>
    <t xml:space="preserve">Ajuste al diseño eléctrico de acuerdo con las condiciones de conexión definitivas asignadas por el operador de red, incluye: medición de resistividad del terreno y elaboración de informe, diagnóstico del sistema de apantallamiento, y demás cálculos establecidos en el artículo 3.3.1.1. Diseño detallado del RETIE, la entidad entrega un pre diseño eléctrico que incluye un plano con distribución de circuitos, cuadro de cargas, cálculo de regulación. los demás cálculos que se requieran los debe completar el contratista, debe entregar memorias y planos firmados. </t>
  </si>
  <si>
    <t>Trámites ante el operador de red, incluye solicitar las condiciones de servicio para la conexión del proyecto, presentación del proyecto ante el operado de red y aprobación del proyecto, conexión.</t>
  </si>
  <si>
    <t>Medicion de resistencia de sistema de puesta a tierra incluye informe</t>
  </si>
  <si>
    <t>EQUIPOS</t>
  </si>
  <si>
    <t>Suministro e instalación de  Planta Eléctrica Trifásica 65-75 kVA Advance AC75 Capacidad Tanque Combustible  110L 15,9 Lt/h, incluye tanque lleno de combustible.</t>
  </si>
  <si>
    <t>Pruebas de bobinado y aislamiento al transformador, incluye  actualización de protocolos con laboratorio acreditado y puesta en funcionamiento.</t>
  </si>
  <si>
    <t>Gl</t>
  </si>
  <si>
    <t>Pruebas y mantenimientos a los tableros electricos de general y de distribución, incluye verificación de conexiones, de continuidad, limpieza, pruebas a las protecciones.</t>
  </si>
  <si>
    <t>CABLEADO ESTRUCTURADO (SALIDAS, REDES, CANALETAS INCLUYE ACCESORIOS Y APARATOS ESPECIALES)</t>
  </si>
  <si>
    <t>Suministro e instalación de salida para  datos  CAT 6a,  Jack CAT 6A, faceplate y troquel y certificación del punto</t>
  </si>
  <si>
    <t>Suministro e instalación de cable UTP CAT 6A LSZH</t>
  </si>
  <si>
    <t>Suministro e instalación de patch panel de 24  puertos CAT 6A, incluye 24  JACKS</t>
  </si>
  <si>
    <t>Suministro e instalación de Swicth 24  puertos 10/100/1000</t>
  </si>
  <si>
    <t>Suministro e instalación de Patch Cord de 1 m CAT 6A, LSZH</t>
  </si>
  <si>
    <t>Suministro e instalación de gabinete de pared de nueve unidades 9U, color negro,  puerta en vidrio con perforaciones perimetrales, puertas laterales removibles, salida para ventilador, incluye ventilador y multitoma horizontal de una RU, de mínimo 5 salidas dobles. Incluye anclaje a la pared, un (1) Organizador Horizontal Formato 19" de 85 x 80 mm con tapa en PVC de 2 RU, una (1) Bandeja Sencilla Ventilada Formato 19" Profundidad 30CM de 1 RU</t>
  </si>
  <si>
    <t>Suministro e instalación de UPS monofásica de 3KVA, online doble conversión salida 120V AC, conexión bornera, incluye cable encauchetado 3x10 AWG para entrada y salida</t>
  </si>
  <si>
    <t>SUMINISTRO E INSTALACIÓN DE ACCES POINT DE USO INTERIOR (300 Mbps Access point inalámbrico , atheros, 2T2R, 2.4GHz, 802.11n/g/b, Poe pasivo soportado, Botón QSS push, AP/Cliente/Puente/Repetidor, Multi- SSID, WMM, Ping Wachdog, con 2 antenas desmontables de 4 DB)</t>
  </si>
  <si>
    <t>Suministro de materiales y mano de obra para Instalación de tubería Conduit EMT de 3/4"; (incluye cajas de paso, curvas, uniones, soportería necesaria, perfiles riel Chanel donde se requiera, grapas, pernos de anclaje, abrazaderas, conductor de continuidad y demás elementos consumibles para su correcta instalación).</t>
  </si>
  <si>
    <t>Suministro de materiales y mano de obra para Instalación de tubería Conduit PVC de 1 1/2"; instalación embebida (incluye cajas de paso, curvas, uniones, curvas, uniones,  regatas, resanes, conductor de continuidad y demás elementos consumibles para su correcta instalación y demás elementos consumibles para su correcta instalación).</t>
  </si>
  <si>
    <t>Impermeabilización de fosos, plataformas, tanques de agua y RCI en  Mortero impermeabilización flexible, bicomponente (Sistema Danosa o equivalente de igual calidad o superior)</t>
  </si>
  <si>
    <t>IMPERMEABILIZACION DE CUBIERTAS Sikalastic®-707 Transparente, SIMILAR O DE MEJOR CALIDAD</t>
  </si>
  <si>
    <t>PAÑETE LISO EN MORTERO 1:3, incluye filos, dilataciones, carteras de vanos, y medidas inferiores a un metro, incluye todos los demás materiales y elementos necesarios para su correcta aplicación</t>
  </si>
  <si>
    <t>Enchapes pisos y paredes</t>
  </si>
  <si>
    <t>ENCHAPE DE PARED CERÁMICA BLANCO (O A DEFINIR) GRAN FORMATO RECTANGULAR (Dimensión mínima 25 cm X 35 cm) PARA USO INSTITUCIONAL CON SUPERFICIE ESMALTADO. Incluye pegante tipo PEGACOR o Alfa Listo Plus o similar, boquilla blanca.</t>
  </si>
  <si>
    <t>ENCHAPE DE PISO PORCELANATO BEIGE (O A DEFINIR) GRAN FORMATO (Dimensión mínima 50 cm X 50 cm) PARA USO INSTITUCIONAL CON SUPERFICIE ESMALTADO. Tráfico pesado, incluye pegante tipo PEGACOR o Alfa Listo Plus, boquilla blanca.</t>
  </si>
  <si>
    <t>ACABADO EN CONCRETO ALLANADO, mecánicamente pulido, brillado, sellado. incluye endurecedor de Quarzo, Modulado acorde a planos.</t>
  </si>
  <si>
    <t>ENCHAPE DE PISO EN BALDOSA DE CEMENTO HIDRAULICA SIMILAR A LA EXISTENTE UNICOLOR. Tráfico pesado, incluye mortero de pega, boquilla similar al color predominante de la baldosa, destronque y sellado.</t>
  </si>
  <si>
    <t>ENCHAPE DE PISO EN BALDOSA DE CEMENTO HIDRAULICA SIMILAR A LA EXISTENTE SEGÚN DISEÑO DOS O MAS COLORES. Tráfico pesado, incluye mortero de pega, boquilla similar al color predominante de la baldosa, destronque y sellado.</t>
  </si>
  <si>
    <t>Guarda escobas y boca puertas</t>
  </si>
  <si>
    <t>GUARDA ESCOBA EN PORCELANATO BEIGE (O A DEFINIR) GRAN FORMATO H = 10 cm, incluye material, mano de obra, remate superior, win en aluminio en las esquinas, herramienta y demás materiales necesarios para la correcta instalación.</t>
  </si>
  <si>
    <t>ZÓCALO EN MEDIACAÑA Vaciada en granito pulido, incluye dilataciones en t longitudinales.</t>
  </si>
  <si>
    <t>Pisos en madera</t>
  </si>
  <si>
    <t>SUMINISTRO E INSTALACIÓN DE PISO EN LISTONES MACHIHEMBRADOS DE MADERA SAPAN (O EQUIVALENTE) inmunizada al vacío, e = 0,018 m y ancho útil 0,10 m; sobre doble entramado de listones en Sapan (o equivalente) de 0,04 x 0,04 m ubicados sobre cojines de caucho de alta densidad e = 0,02 m, sobre membrana acústica e = 0.003 m (base asfáltica con polímeros, elastómeros y fibra de vidrio), con relleno de frescasa de baja densidad entre el entramado; incluye acabado con fondo acrílico minicomponente de un alto contenido en sólidos y terminación en poliuretano 100% de dos componentes en base acuosa semi mate; incluye todos elementos, materiales, equipos y mano de obra requerida para su correcta instalación y funcionamiento</t>
  </si>
  <si>
    <t>GUARDA ESCOBA EN MADERA SAPAN (O SIMILAR) INMUNIZADA AL VACÍO, E = 0,018 M Y ANCHO ÚTIL 0,10 M, con acabado con fondo acrílico minicomponente de un alto contenido en sólidos y terminación en poliuretano 100% de dos componentes en base acuosa semi mate; incluye todos elementos, materiales, equipos y mano de obra requerida para su correcta instalación y funcionamiento</t>
  </si>
  <si>
    <t>Varios</t>
  </si>
  <si>
    <t>MESÓN EN CONCRETO REFORZADO f'c = 2500 PSI, fundido en sitio, forma y dimensiones según diseño (a= +-0.60), incluye refuerzo y anclajes según planos; incluye acabado en granito pulido grano fino e = 2 cm, color A DEFINIR, con salpicadero de 10 cm tanto atrás como en los laterales y faldón de 12 cm; incluye formaleta y todos elementos, materiales, equipos y mano de obra requerida para su correcta ejecución</t>
  </si>
  <si>
    <t>POCETA DE ASEO EN CONCRETO IMPERMEABILIZADO F'C = 2500 PSI, fundido en sitio, forma y dimensiones según diseño, enchapada cerámica PRIMERA CALIDAD, incluye refuerzo con malla electrosoldada en aluminio en todos sus vértices, win de aluminio, mano de obra y todos los demás materiales y elementos necesarios para su correcta ejecución</t>
  </si>
  <si>
    <t>MEDIACAÑA EN PVC para muros-muros techos-muros, incluye instalación y acabado.</t>
  </si>
  <si>
    <t>REMATES EN MADERA TIPO SAPÁN O GRANADILLO DE 16 x 1,8 cm, similar de mejor calidad, instalado con dilatadores, acabado en pintura tipo poliuretano transparente.</t>
  </si>
  <si>
    <t>DIVISIONES SANITARIAS (Sanitarios, Duchas, Orinales) en de acero inoxidable 304 cal. 20 satinado (Ancho 2,7 cm), anclado a pared sistema cantiléver, incluye estructura interior, polímero inyectado de alta densidad, anclajes, accesorios (bisagras, seguros, pines, ángulos y platinas)  tipo línea institucional o equivalente de igual calidad o superior, según diseño. Incluye fabricación, suministro, montaje.</t>
  </si>
  <si>
    <t>16.01</t>
  </si>
  <si>
    <t>COMBO DE CERRADURA ANTIPÁNICO TAMPA, incluye 1 barra Antipánico con un punto de cierre, 1 barra Antipánico con 2 puntos de cierre, 1 Manija Eiffel, 2 Cierrapuertas Ref. 3005; incluye accesorios, materiales, mano de obra, herramientas y todos los elementos necesarios para su correcta instalación y funcionamiento</t>
  </si>
  <si>
    <t>CERROJO DE SOBREPONER MATE YALE, STANLEY O SCHLAGE, incluye tres llaves, montaje, accesorios, materiales, mano de obra, herramientas y todos los elementos necesarios para su correcta instalación y funcionamiento</t>
  </si>
  <si>
    <t>TIRADORES TIPO H, para puertas batientes y/o corredizas en acero inoxidable, incluye perforaciones y todos los elementos necesarios para su correcta instalación y funcionamiento.  </t>
  </si>
  <si>
    <t>APARATOS SANITARIOS</t>
  </si>
  <si>
    <t>SUMINISTRO E INSTALACIÓN SANITARIO ELONGADO DE TANQUE PARA PERSONAS CON MOVILIDAD REDUCIDA. Incluye transporte, material, tapa, asiento, mano de obra, herramienta y demás materiales necesarios para la correcta instalación y funcionamiento.</t>
  </si>
  <si>
    <t>SUMINISTRO E INSTALACIÓN SANITARIO DE TANQUE PARA USO INSTITUCIONAL COLOR BLANCO Incluye transporte, material, tapa, asiento, mano de obra, herramienta y demás materiales necesarios para la correcta instalación y funcionamiento.</t>
  </si>
  <si>
    <t>SUMINISTRO E INSTALACIÓN DE ORINAL TIPO INSTITUCIONAL PARA ADULTOS Incluye transporte, material, mano de obra, herramienta y demás materiales necesarios para la correcta instalación y funcionamiento.</t>
  </si>
  <si>
    <t>SUMINISTRO E INSTALACIÓN DE LAVAMANOS DE COLGAR, SEMIPEDESTAL TIPO INSTITUCIONAL Incluye transporte, material, mano de obra, herramienta y demás materiales necesarios para la correcta instalación y funcionamiento.</t>
  </si>
  <si>
    <t>SUMINISTRO E INSTALACIÓN DE LAVAPLATOS DE SOBREPONER EN ACERO INOXIDABLE Incluye transporte, material, mano de obra, herramienta y demás materiales necesarios para la correcta instalación y funcionamiento.</t>
  </si>
  <si>
    <t>SUMINISTRO E INSTALACIÓN DE LAVAMANOS DE SOBREPONER, LINEA FREE TIPO INSTITUCIONAL Incluye material, mano de obra, herramienta y demás materiales necesarios para la correcta instalación y funcionamiento.</t>
  </si>
  <si>
    <t>GRIFERÍAS</t>
  </si>
  <si>
    <t>SUMINISTRO E INSTALACIÓN DE GRIFERÍA PARA LAVAMANOS DE MESA TIPO PUSH +ACCESORIOS Incluye desagüe, materiales, mano de obra, herramienta y demás materiales necesarios para la correcta instalación y funcionamiento.</t>
  </si>
  <si>
    <t>SUMINISTRO E INSTALACIÓN GRIFERÍA PARA ORINAL TIPO FLUXÓMETRO DE PALANCA+ ACCESORIOS Incluye desagüe, materiales, mano de obra, herramienta y demás materiales necesarios para la correcta instalación y funcionamiento.</t>
  </si>
  <si>
    <t>SUMINISTRO E INSTALACIÓN DE GRIFERÍA PARA LAVAPLATOS + ACCESORIOS (Tipo mono control alta y baja) Incluye desagüe, materiales, mano de obra, herramienta y demás materiales necesarios para la correcta instalación y funcionamiento.</t>
  </si>
  <si>
    <t>ACCESORIOS</t>
  </si>
  <si>
    <t>BARRA DE SEGURIDAD ABATIBLE EN "U" EN ACERO INOXIDABLE + BARRA FIJA 50 cm, incluye anclajes, materiales, mano de obra, herramienta y demás necesarios para la correcta instalación.</t>
  </si>
  <si>
    <t>SUMINISTRO E INSTALACIÓN DE TAPA PLÁSTICA PARA REGISTRO 20*20 cms. Incluye material, mano de obra, herramienta y demás materiales necesarios para la correcta instalación.</t>
  </si>
  <si>
    <t>APLICACIÓN ESTUCO PLÁSTICO; para muros interiores y exteriores, incluye filos, dilataciones y alturas menores a 1.00 m; incluye todos elementos, materiales, equipos y mano de obra requerida para su correcta ejecución</t>
  </si>
  <si>
    <t>APLICACIÓN DE TRES MANOS DE PINTURA VINILO EXTERIOR TIPO KORAZA DOBLE VIDA 10 AÑOS; para muros interiores y exteriores color a definir, incluye filos, cortes, dilataciones y anchos menores a 1.00 m; incluye todos elementos, materiales, equipos y mano de obra requerida para su correcta ejecución</t>
  </si>
  <si>
    <t>APLICACIÓN DE PINTURA TIPO EPOXICA BASE SOLVENTE; para estructura, muros y techos interiores color a definir, incluye filos, cortes, dilataciones y anchos menores a 1.00 m; incluye todos elementos, materiales, equipos y mano de obra requerida para su correcta ejecución</t>
  </si>
  <si>
    <t>SUMINISTRO E INSTALACIÓN DE ESPEJO CRISTAL 4 MM CON MARCO EN MADERA SAPAN O SIMILAR 0.04 m x 0.02 m por todo su contorno (según diseño), acabado con poliuretano 100% de dos componentes en base acuosa semi mate, con ranura en la mitad de la sección, en la cual reposa la lámina de espejo, incluye ICOPOR para amortiguación contra la pared, anclaje a muro con chazos de 1 1/2; incluye todos elementos, materiales, equipos y mano de obra requerida para su correcta instalación.</t>
  </si>
  <si>
    <t>ANDENES Y RAMPAS EN CONCRETO ESCOBEADO f'c = 2500 PSI E= 0.10 m (incluye dilataciones cada 1,5 veces el ancho del anden) incluye material, mano de obra, herramienta y demás materiales necesarios para la correcta instalación.</t>
  </si>
  <si>
    <t>ACABADO DE PISO EN GRAVILLA FINA DE 1/2" esp 5 cm. Incluye base granular B200 de 15 cm.</t>
  </si>
  <si>
    <t>SUMINISTRO E INSTALACIÓN DE BORDILLO PREFABRICADO A80 (dimensiones: base 20 cm alto 35 cm), Incluye mortero de nivelación y pega, mano de obra, herramientas y demás materiales necesarios para la realización de la actividad.</t>
  </si>
  <si>
    <t>BANCA EN CONCRETO PREFABRICADA (M-31) o FUNDIDA EN SITIO ACORDE A DISEÑOS, parte externa concreto a la vista incluye, perfilación del terreno, base granular compactada, concreto 3.000 PSI, refuerzo, formaleta, mano de obra, herramienta y demás necesarios para la correcta instalación</t>
  </si>
  <si>
    <t>REINSTALACIÓN / SIEMBRA DE CESPEDONES (reservados del descapote) en patios. Incluye acarreos, conservación, cama en tierra negra abonada h, 10 cm.</t>
  </si>
  <si>
    <t>SUMINISTRO Y SIEMBRA DE COBERTURA VEGETAL en especies diversas (16 u/m2), especie por definir  incluye abono, tierra, compactación, mano de obra y todos los elementos requeridos para su correcta instalación.</t>
  </si>
  <si>
    <t>SUMINISTRO SIEMBRA DE CESPEDONES. Incluye acarreos, cama en tierra negra abonada h, 10 cm, mantenimiento.</t>
  </si>
  <si>
    <t>SUMINISTRO E INSTALACIÓN DE MURO O DIVISIÓN ACÚSTICA PLEGABLE MODULAR.</t>
  </si>
  <si>
    <t>ASEO GENERAL DE OBRA</t>
  </si>
  <si>
    <t>Contribución contratos O.P.</t>
  </si>
  <si>
    <t>&gt;</t>
  </si>
  <si>
    <t>[La Entidad puede utilizar este Formulario de presentación de Propuesta Económica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</si>
  <si>
    <r>
      <rPr>
        <b/>
        <sz val="9"/>
        <rFont val="Arial"/>
        <family val="2"/>
      </rPr>
      <t xml:space="preserve">NOTA 1: </t>
    </r>
    <r>
      <rPr>
        <sz val="9"/>
        <rFont val="Arial"/>
        <family val="2"/>
      </rPr>
      <t xml:space="preserve"> Se debe tener en cuenta que el PRECIO UNITARIO NO incluye el valor de A.I.U. </t>
    </r>
  </si>
  <si>
    <r>
      <rPr>
        <b/>
        <sz val="9"/>
        <rFont val="Arial"/>
        <family val="2"/>
      </rPr>
      <t>NOTA 2:</t>
    </r>
    <r>
      <rPr>
        <sz val="9"/>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</si>
  <si>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</si>
  <si>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t>[Ofrecimiento del Proponente]</t>
  </si>
  <si>
    <r>
      <rPr>
        <b/>
        <sz val="9"/>
        <rFont val="Arial"/>
        <family val="2"/>
      </rPr>
      <t>NOTA 3:</t>
    </r>
    <r>
      <rPr>
        <sz val="9"/>
        <rFont val="Arial"/>
        <family val="2"/>
      </rPr>
      <t xml:space="preserve"> El A.I.U y su discriminación deben estar en porcentaje (%). </t>
    </r>
  </si>
  <si>
    <t>IMPREVISTO</t>
  </si>
  <si>
    <t>I=</t>
  </si>
  <si>
    <t>U=</t>
  </si>
  <si>
    <t>TOTAL A.I.U</t>
  </si>
  <si>
    <t>A.I.U.=</t>
  </si>
  <si>
    <t xml:space="preserve">	Firma del Proponente o de su representante legal</t>
  </si>
  <si>
    <t>VALOR UNITARIO OFERTADO</t>
  </si>
  <si>
    <t>VALOR UNITARIO OFICIAL</t>
  </si>
  <si>
    <t>PRESUPUESTO OFICIAL ESTIMADO MC-SA-MC-0014-2025 CENTRO CULTURAL VILLA ADELAIDA</t>
  </si>
  <si>
    <t>MC-SA-MC-0014-2025 CENTRO CULTURAL VILLA ADELAIDA</t>
  </si>
  <si>
    <t>FORMULARIO OFERTA ECONOMICA MC-SA-MC-0014-2025 CENTRO CULTURAL VILLA ADELAIDA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</si>
</sst>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0.0"/>
    <numFmt numFmtId="165" formatCode="&quot;$&quot;\ #,##0.00"/>
    <numFmt numFmtId="166" formatCode="_-* #,##0.00\ _P_t_s_-;\-* #,##0.00\ _P_t_s_-;_-* &quot;-&quot;??\ _P_t_s_-;_-@_-"/>
    <numFmt numFmtId="167" formatCode="_(&quot;$&quot;\ * #,##0.00_);_(&quot;$&quot;\ * \(#,##0.00\);_(&quot;$&quot;\ * &quot;-&quot;??_);_(@_)"/>
    <numFmt numFmtId="168" formatCode="#,##0.0000"/>
    <numFmt numFmtId="169" formatCode="_-* #,##0.00\ &quot;Pts&quot;_-;\-* #,##0.00\ &quot;Pts&quot;_-;_-* &quot;-&quot;??\ &quot;Pts&quot;_-;_-@_-"/>
    <numFmt numFmtId="170" formatCode="[$$-240A]\ #,##0.00"/>
    <numFmt numFmtId="171" formatCode="_-[$$-240A]\ * #,##0.00_-;\-[$$-240A]\ * #,##0.00_-;_-[$$-240A]\ * &quot;-&quot;??_-;_-@_-"/>
    <numFmt numFmtId="172" formatCode="_(* #,##0.00_);_(* \(#,##0.00\);_(* &quot;-&quot;??_);_(@_)"/>
    <numFmt numFmtId="173" formatCode="0.000%"/>
    <numFmt numFmtId="174" formatCode="_-[$$-2C0A]\ * #,##0.00_-;\-[$$-2C0A]\ * #,##0.00_-;_-[$$-2C0A]\ * &quot;-&quot;??_-;_-@_-"/>
    <numFmt numFmtId="175" formatCode="0#.00\ \L\t"/>
    <numFmt numFmtId="176" formatCode="_-[$$-240A]\ * #,##0.00_ ;_-[$$-240A]\ * \-#,##0.00\ ;_-[$$-240A]\ * &quot;-&quot;??_ ;_-@_ "/>
  </numFmts>
  <fonts count="38" x14ac:knownFonts="1">
    <font>
      <sz val="11"/>
      <color theme="1"/>
      <name val="Calibri"/>
      <family val="2"/>
      <scheme val="minor"/>
    </font>
    <font>
      <sz val="11"/>
      <color theme="1"/>
      <name val="Calibri"/>
      <family val="2"/>
      <scheme val="minor"/>
    </font>
    <font>
      <sz val="11"/>
      <color rgb="FFFF0000"/>
      <name val="Calibri"/>
      <family val="2"/>
      <scheme val="minor"/>
    </font>
    <font>
      <sz val="10"/>
      <name val="Calibri"/>
      <family val="2"/>
      <scheme val="minor"/>
    </font>
    <font>
      <sz val="10"/>
      <color theme="1"/>
      <name val="Calibri"/>
      <family val="2"/>
      <scheme val="minor"/>
    </font>
    <font>
      <sz val="10"/>
      <color indexed="8"/>
      <name val="MS Sans Serif"/>
      <family val="2"/>
    </font>
    <font>
      <b/>
      <sz val="10"/>
      <name val="Calibri"/>
      <family val="2"/>
      <scheme val="minor"/>
    </font>
    <font>
      <b/>
      <sz val="10"/>
      <color theme="1" tint="0.499984740745262"/>
      <name val="Calibri"/>
      <family val="2"/>
      <scheme val="minor"/>
    </font>
    <font>
      <sz val="10"/>
      <color theme="0"/>
      <name val="Calibri"/>
      <family val="2"/>
      <scheme val="minor"/>
    </font>
    <font>
      <sz val="10"/>
      <name val="Arial"/>
      <family val="2"/>
    </font>
    <font>
      <b/>
      <sz val="10"/>
      <color theme="1"/>
      <name val="Calibri"/>
      <family val="2"/>
      <scheme val="minor"/>
    </font>
    <font>
      <sz val="11"/>
      <color indexed="8"/>
      <name val="Calibri"/>
      <family val="2"/>
    </font>
    <font>
      <sz val="10"/>
      <color rgb="FFF8F8F8"/>
      <name val="Calibri"/>
      <family val="2"/>
      <scheme val="minor"/>
    </font>
    <font>
      <sz val="10"/>
      <color rgb="FF000000"/>
      <name val="Calibri"/>
      <family val="2"/>
      <scheme val="minor"/>
    </font>
    <font>
      <sz val="10"/>
      <color theme="1"/>
      <name val="Arial"/>
      <family val="2"/>
    </font>
    <font>
      <b/>
      <sz val="10"/>
      <color theme="0" tint="-0.14999847407452621"/>
      <name val="Calibri"/>
      <family val="2"/>
      <scheme val="minor"/>
    </font>
    <font>
      <b/>
      <sz val="10"/>
      <color rgb="FFF8F8F8"/>
      <name val="Calibri"/>
      <family val="2"/>
      <scheme val="minor"/>
    </font>
    <font>
      <sz val="11"/>
      <color theme="1"/>
      <name val="Calibri"/>
      <family val="2"/>
    </font>
    <font>
      <u/>
      <sz val="11"/>
      <color theme="10"/>
      <name val="Calibri"/>
      <family val="2"/>
      <scheme val="minor"/>
    </font>
    <font>
      <b/>
      <sz val="16"/>
      <color theme="1"/>
      <name val="Calibri"/>
      <family val="2"/>
      <scheme val="minor"/>
    </font>
    <font>
      <b/>
      <sz val="10"/>
      <color theme="0"/>
      <name val="Arial"/>
      <family val="2"/>
    </font>
    <font>
      <b/>
      <sz val="14"/>
      <name val="Arial"/>
      <family val="2"/>
    </font>
    <font>
      <sz val="11"/>
      <color theme="0" tint="-0.34998626667073579"/>
      <name val="Calibri"/>
      <family val="2"/>
      <scheme val="minor"/>
    </font>
    <font>
      <u/>
      <sz val="10"/>
      <color theme="10"/>
      <name val="Arial"/>
      <family val="2"/>
    </font>
    <font>
      <b/>
      <u/>
      <sz val="20"/>
      <color theme="0"/>
      <name val="Arial"/>
      <family val="2"/>
    </font>
    <font>
      <sz val="11"/>
      <color theme="1"/>
      <name val="Arial Narrow"/>
      <family val="2"/>
    </font>
    <font>
      <b/>
      <sz val="11"/>
      <color theme="0"/>
      <name val="Calibri"/>
      <family val="2"/>
    </font>
    <font>
      <sz val="11"/>
      <color theme="0"/>
      <name val="Calibri"/>
      <family val="2"/>
    </font>
    <font>
      <b/>
      <sz val="10"/>
      <color theme="1"/>
      <name val="Arial"/>
      <family val="2"/>
    </font>
    <font>
      <b/>
      <u/>
      <sz val="24"/>
      <color theme="0"/>
      <name val="Arial"/>
      <family val="2"/>
    </font>
    <font>
      <sz val="10"/>
      <color theme="0"/>
      <name val="Arial"/>
      <family val="2"/>
    </font>
    <font>
      <b/>
      <u/>
      <sz val="28"/>
      <color theme="0"/>
      <name val="Arial"/>
      <family val="2"/>
    </font>
    <font>
      <b/>
      <sz val="9"/>
      <color theme="0"/>
      <name val="Arial"/>
      <family val="2"/>
    </font>
    <font>
      <sz val="9"/>
      <name val="Arial"/>
      <family val="2"/>
    </font>
    <font>
      <b/>
      <sz val="9"/>
      <name val="Arial"/>
      <family val="2"/>
    </font>
    <font>
      <b/>
      <sz val="11"/>
      <name val="Arial"/>
      <family val="2"/>
    </font>
    <font>
      <sz val="11"/>
      <name val="Arial"/>
      <family val="2"/>
    </font>
    <font>
      <b/>
      <sz val="10"/>
      <name val="Arial"/>
      <family val="2"/>
    </font>
  </fonts>
  <fills count="13">
    <fill>
      <patternFill patternType="none"/>
    </fill>
    <fill>
      <patternFill patternType="gray125"/>
    </fill>
    <fill>
      <patternFill patternType="solid">
        <fgColor theme="0" tint="-0.249977111117893"/>
        <bgColor indexed="64"/>
      </patternFill>
    </fill>
    <fill>
      <patternFill patternType="solid">
        <fgColor rgb="FFFFFF66"/>
        <bgColor indexed="64"/>
      </patternFill>
    </fill>
    <fill>
      <patternFill patternType="solid">
        <fgColor theme="0" tint="-0.34998626667073579"/>
        <bgColor indexed="64"/>
      </patternFill>
    </fill>
    <fill>
      <patternFill patternType="solid">
        <fgColor theme="4" tint="0.79998168889431442"/>
        <bgColor theme="4" tint="0.79998168889431442"/>
      </patternFill>
    </fill>
    <fill>
      <patternFill patternType="solid">
        <fgColor theme="3"/>
        <bgColor rgb="FFD8D8D8"/>
      </patternFill>
    </fill>
    <fill>
      <patternFill patternType="solid">
        <fgColor theme="3"/>
        <bgColor indexed="64"/>
      </patternFill>
    </fill>
    <fill>
      <patternFill patternType="solid">
        <fgColor rgb="FF0070C0"/>
        <bgColor indexed="64"/>
      </patternFill>
    </fill>
    <fill>
      <patternFill patternType="solid">
        <fgColor rgb="FF7030A0"/>
        <bgColor indexed="64"/>
      </patternFill>
    </fill>
    <fill>
      <patternFill patternType="solid">
        <fgColor theme="0"/>
        <bgColor indexed="64"/>
      </patternFill>
    </fill>
    <fill>
      <patternFill patternType="solid">
        <fgColor theme="9" tint="-0.249977111117893"/>
        <bgColor indexed="64"/>
      </patternFill>
    </fill>
    <fill>
      <patternFill patternType="solid">
        <fgColor rgb="FFFFFF00"/>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ouble">
        <color auto="1"/>
      </left>
      <right/>
      <top style="double">
        <color auto="1"/>
      </top>
      <bottom style="thin">
        <color indexed="64"/>
      </bottom>
      <diagonal/>
    </border>
    <border>
      <left/>
      <right style="double">
        <color auto="1"/>
      </right>
      <top/>
      <bottom/>
      <diagonal/>
    </border>
    <border>
      <left style="double">
        <color auto="1"/>
      </left>
      <right style="thin">
        <color indexed="64"/>
      </right>
      <top style="thin">
        <color indexed="64"/>
      </top>
      <bottom style="thin">
        <color indexed="64"/>
      </bottom>
      <diagonal/>
    </border>
    <border>
      <left/>
      <right style="double">
        <color auto="1"/>
      </right>
      <top style="thin">
        <color indexed="64"/>
      </top>
      <bottom style="thin">
        <color indexed="64"/>
      </bottom>
      <diagonal/>
    </border>
    <border>
      <left style="double">
        <color auto="1"/>
      </left>
      <right style="thin">
        <color indexed="64"/>
      </right>
      <top style="thin">
        <color indexed="64"/>
      </top>
      <bottom style="double">
        <color auto="1"/>
      </bottom>
      <diagonal/>
    </border>
    <border>
      <left/>
      <right style="double">
        <color auto="1"/>
      </right>
      <top/>
      <bottom style="double">
        <color auto="1"/>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top style="thin">
        <color theme="1" tint="0.499984740745262"/>
      </top>
      <bottom style="thin">
        <color theme="1" tint="0.499984740745262"/>
      </bottom>
      <diagonal/>
    </border>
    <border>
      <left style="thin">
        <color theme="4" tint="0.39997558519241921"/>
      </left>
      <right/>
      <top style="thin">
        <color theme="1" tint="0.499984740745262"/>
      </top>
      <bottom style="thin">
        <color theme="1" tint="0.499984740745262"/>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theme="4" tint="0.39997558519241921"/>
      </left>
      <right/>
      <top style="double">
        <color theme="4"/>
      </top>
      <bottom style="thin">
        <color theme="4" tint="0.39997558519241921"/>
      </bottom>
      <diagonal/>
    </border>
    <border>
      <left/>
      <right/>
      <top style="double">
        <color theme="4"/>
      </top>
      <bottom style="thin">
        <color theme="4" tint="0.39997558519241921"/>
      </bottom>
      <diagonal/>
    </border>
    <border>
      <left/>
      <right style="thin">
        <color theme="4" tint="0.39997558519241921"/>
      </right>
      <top style="double">
        <color theme="4"/>
      </top>
      <bottom style="thin">
        <color theme="4" tint="0.39997558519241921"/>
      </bottom>
      <diagonal/>
    </border>
    <border>
      <left/>
      <right style="thin">
        <color theme="0" tint="-0.499984740745262"/>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style="thin">
        <color theme="0" tint="-0.499984740745262"/>
      </bottom>
      <diagonal/>
    </border>
    <border>
      <left style="medium">
        <color rgb="FF000000"/>
      </left>
      <right/>
      <top/>
      <bottom/>
      <diagonal/>
    </border>
    <border>
      <left/>
      <right style="medium">
        <color rgb="FF000000"/>
      </right>
      <top/>
      <bottom/>
      <diagonal/>
    </border>
    <border>
      <left style="thin">
        <color theme="0" tint="-0.499984740745262"/>
      </left>
      <right/>
      <top/>
      <bottom/>
      <diagonal/>
    </border>
    <border>
      <left style="thin">
        <color theme="0" tint="-0.499984740745262"/>
      </left>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4" tint="0.39997558519241921"/>
      </left>
      <right/>
      <top style="thin">
        <color theme="1" tint="0.499984740745262"/>
      </top>
      <bottom/>
      <diagonal/>
    </border>
    <border>
      <left style="thin">
        <color theme="4" tint="0.39997558519241921"/>
      </left>
      <right/>
      <top style="double">
        <color theme="4"/>
      </top>
      <bottom style="thin">
        <color rgb="FF808080"/>
      </bottom>
      <diagonal/>
    </border>
    <border>
      <left/>
      <right/>
      <top style="double">
        <color theme="4"/>
      </top>
      <bottom style="thin">
        <color rgb="FF808080"/>
      </bottom>
      <diagonal/>
    </border>
    <border>
      <left/>
      <right style="thin">
        <color rgb="FF808080"/>
      </right>
      <top style="double">
        <color theme="4"/>
      </top>
      <bottom style="thin">
        <color rgb="FF808080"/>
      </bottom>
      <diagonal/>
    </border>
    <border>
      <left/>
      <right/>
      <top style="thin">
        <color rgb="FF808080"/>
      </top>
      <bottom/>
      <diagonal/>
    </border>
    <border>
      <left/>
      <right style="thin">
        <color rgb="FF808080"/>
      </right>
      <top style="thin">
        <color rgb="FF808080"/>
      </top>
      <bottom/>
      <diagonal/>
    </border>
    <border>
      <left/>
      <right style="thin">
        <color rgb="FF808080"/>
      </right>
      <top style="double">
        <color theme="4"/>
      </top>
      <bottom style="thin">
        <color theme="4" tint="0.39997558519241921"/>
      </bottom>
      <diagonal/>
    </border>
    <border>
      <left style="thin">
        <color rgb="FF8EA9DB"/>
      </left>
      <right/>
      <top style="thin">
        <color rgb="FF808080"/>
      </top>
      <bottom/>
      <diagonal/>
    </border>
    <border>
      <left style="thin">
        <color rgb="FF8EA9DB"/>
      </left>
      <right/>
      <top style="double">
        <color theme="4"/>
      </top>
      <bottom style="thin">
        <color theme="4" tint="0.39997558519241921"/>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8EA9DB"/>
      </left>
      <right/>
      <top style="thin">
        <color theme="4" tint="0.39997558519241921"/>
      </top>
      <bottom/>
      <diagonal/>
    </border>
    <border>
      <left/>
      <right/>
      <top style="thin">
        <color theme="4" tint="0.39997558519241921"/>
      </top>
      <bottom/>
      <diagonal/>
    </border>
    <border>
      <left/>
      <right style="thin">
        <color rgb="FF808080"/>
      </right>
      <top style="thin">
        <color theme="4" tint="0.39997558519241921"/>
      </top>
      <bottom/>
      <diagonal/>
    </border>
    <border>
      <left style="thin">
        <color theme="4" tint="0.39997558519241921"/>
      </left>
      <right/>
      <top style="thin">
        <color rgb="FF808080"/>
      </top>
      <bottom/>
      <diagonal/>
    </border>
    <border>
      <left/>
      <right style="thin">
        <color theme="4" tint="0.39997558519241921"/>
      </right>
      <top style="thin">
        <color rgb="FF808080"/>
      </top>
      <bottom/>
      <diagonal/>
    </border>
    <border>
      <left style="thin">
        <color theme="4" tint="0.39997558519241921"/>
      </left>
      <right/>
      <top style="thin">
        <color theme="4" tint="0.39997558519241921"/>
      </top>
      <bottom/>
      <diagonal/>
    </border>
    <border>
      <left/>
      <right style="thin">
        <color theme="4" tint="0.39997558519241921"/>
      </right>
      <top style="thin">
        <color theme="4" tint="0.39997558519241921"/>
      </top>
      <bottom/>
      <diagonal/>
    </border>
  </borders>
  <cellStyleXfs count="18">
    <xf numFmtId="0" fontId="0" fillId="0" borderId="0"/>
    <xf numFmtId="0" fontId="5" fillId="0" borderId="0"/>
    <xf numFmtId="0" fontId="1" fillId="0" borderId="0"/>
    <xf numFmtId="0" fontId="9" fillId="0" borderId="0"/>
    <xf numFmtId="166" fontId="9" fillId="0" borderId="0" applyFont="0" applyFill="0" applyBorder="0" applyAlignment="0" applyProtection="0"/>
    <xf numFmtId="167" fontId="11" fillId="0" borderId="0" applyFont="0" applyFill="0" applyBorder="0" applyAlignment="0" applyProtection="0"/>
    <xf numFmtId="0" fontId="9" fillId="0" borderId="0" applyBorder="0"/>
    <xf numFmtId="0" fontId="9" fillId="0" borderId="0"/>
    <xf numFmtId="169" fontId="9" fillId="0" borderId="0" applyFont="0" applyFill="0" applyBorder="0" applyAlignment="0" applyProtection="0"/>
    <xf numFmtId="0" fontId="9" fillId="0" borderId="0"/>
    <xf numFmtId="0" fontId="18" fillId="0" borderId="0" applyNumberFormat="0" applyFill="0" applyBorder="0" applyAlignment="0" applyProtection="0"/>
    <xf numFmtId="0" fontId="1" fillId="0" borderId="0"/>
    <xf numFmtId="0" fontId="9" fillId="0" borderId="0"/>
    <xf numFmtId="0" fontId="23" fillId="0" borderId="0" applyNumberFormat="0" applyFill="0" applyBorder="0" applyAlignment="0" applyProtection="0"/>
    <xf numFmtId="172" fontId="1" fillId="0" borderId="0" applyFont="0" applyFill="0" applyBorder="0" applyAlignment="0" applyProtection="0"/>
    <xf numFmtId="9" fontId="9" fillId="0" borderId="0" applyFont="0" applyFill="0" applyBorder="0" applyAlignment="0" applyProtection="0"/>
    <xf numFmtId="0" fontId="1" fillId="0" borderId="0"/>
    <xf numFmtId="175" fontId="9" fillId="0" borderId="0" applyFont="0" applyFill="0" applyBorder="0" applyAlignment="0" applyProtection="0"/>
  </cellStyleXfs>
  <cellXfs count="364">
    <xf numFmtId="0" fontId="0" fillId="0" borderId="0" xfId="0"/>
    <xf numFmtId="0" fontId="4" fillId="0" borderId="0" xfId="0" applyFont="1" applyAlignment="1">
      <alignment horizontal="center" vertical="center"/>
    </xf>
    <xf numFmtId="0" fontId="4" fillId="0" borderId="0" xfId="0" applyFont="1"/>
    <xf numFmtId="165" fontId="4" fillId="0" borderId="0" xfId="0" applyNumberFormat="1" applyFont="1" applyAlignment="1">
      <alignment horizontal="right"/>
    </xf>
    <xf numFmtId="10" fontId="4" fillId="0" borderId="0" xfId="0" applyNumberFormat="1" applyFont="1"/>
    <xf numFmtId="4" fontId="4" fillId="0" borderId="0" xfId="0" applyNumberFormat="1" applyFont="1"/>
    <xf numFmtId="4" fontId="3" fillId="0" borderId="0" xfId="4" applyNumberFormat="1" applyFont="1" applyFill="1" applyAlignment="1" applyProtection="1">
      <alignment horizontal="center" vertical="center" wrapText="1"/>
    </xf>
    <xf numFmtId="165" fontId="4" fillId="0" borderId="0" xfId="0" applyNumberFormat="1" applyFont="1" applyAlignment="1">
      <alignment horizontal="center" vertical="center"/>
    </xf>
    <xf numFmtId="4" fontId="3" fillId="0" borderId="0" xfId="4" applyNumberFormat="1" applyFont="1" applyFill="1" applyBorder="1" applyAlignment="1" applyProtection="1">
      <alignment horizontal="center" vertical="center" wrapText="1"/>
    </xf>
    <xf numFmtId="0" fontId="4" fillId="0" borderId="0" xfId="0" applyFont="1" applyAlignment="1">
      <alignment horizontal="left" vertical="center"/>
    </xf>
    <xf numFmtId="0" fontId="4" fillId="0" borderId="0" xfId="0" applyFont="1" applyAlignment="1">
      <alignment vertical="center" wrapText="1"/>
    </xf>
    <xf numFmtId="165" fontId="4" fillId="0" borderId="0" xfId="0" applyNumberFormat="1" applyFont="1"/>
    <xf numFmtId="165" fontId="3" fillId="0" borderId="0" xfId="5" applyNumberFormat="1" applyFont="1" applyFill="1" applyBorder="1" applyAlignment="1" applyProtection="1">
      <alignment vertical="center" wrapText="1"/>
    </xf>
    <xf numFmtId="4" fontId="13" fillId="0" borderId="0" xfId="4" applyNumberFormat="1" applyFont="1" applyFill="1" applyBorder="1" applyAlignment="1" applyProtection="1">
      <alignment horizontal="center" vertical="center" wrapText="1"/>
    </xf>
    <xf numFmtId="0" fontId="14" fillId="0" borderId="0" xfId="0" applyFont="1" applyAlignment="1" applyProtection="1">
      <alignment horizontal="center" vertical="center"/>
      <protection hidden="1"/>
    </xf>
    <xf numFmtId="165" fontId="3" fillId="0" borderId="0" xfId="5" applyNumberFormat="1" applyFont="1" applyFill="1" applyAlignment="1" applyProtection="1">
      <alignment horizontal="right" vertical="center" wrapText="1"/>
    </xf>
    <xf numFmtId="165" fontId="3" fillId="0" borderId="0" xfId="5" applyNumberFormat="1" applyFont="1" applyFill="1" applyAlignment="1" applyProtection="1">
      <alignment vertical="center" wrapText="1"/>
    </xf>
    <xf numFmtId="168" fontId="3" fillId="0" borderId="0" xfId="4" applyNumberFormat="1" applyFont="1" applyFill="1" applyBorder="1" applyAlignment="1" applyProtection="1">
      <alignment horizontal="center" vertical="center" wrapText="1"/>
    </xf>
    <xf numFmtId="165" fontId="6" fillId="4" borderId="0" xfId="5" applyNumberFormat="1" applyFont="1" applyFill="1" applyBorder="1" applyAlignment="1" applyProtection="1">
      <alignment vertical="center" wrapText="1"/>
    </xf>
    <xf numFmtId="10" fontId="3" fillId="0" borderId="17" xfId="7" applyNumberFormat="1" applyFont="1" applyBorder="1" applyAlignment="1">
      <alignment horizontal="right" vertical="center" wrapText="1"/>
    </xf>
    <xf numFmtId="165" fontId="3" fillId="0" borderId="18" xfId="8" applyNumberFormat="1" applyFont="1" applyBorder="1" applyAlignment="1" applyProtection="1">
      <alignment vertical="center"/>
    </xf>
    <xf numFmtId="10" fontId="3" fillId="0" borderId="21" xfId="7" applyNumberFormat="1" applyFont="1" applyBorder="1" applyAlignment="1">
      <alignment horizontal="right" vertical="center" wrapText="1"/>
    </xf>
    <xf numFmtId="165" fontId="3" fillId="0" borderId="22" xfId="8" applyNumberFormat="1" applyFont="1" applyBorder="1" applyAlignment="1" applyProtection="1">
      <alignment vertical="center"/>
    </xf>
    <xf numFmtId="165" fontId="6" fillId="0" borderId="23" xfId="8" applyNumberFormat="1" applyFont="1" applyBorder="1" applyAlignment="1" applyProtection="1">
      <alignment vertical="center"/>
    </xf>
    <xf numFmtId="165" fontId="3" fillId="0" borderId="18" xfId="8" applyNumberFormat="1" applyFont="1" applyFill="1" applyBorder="1" applyAlignment="1" applyProtection="1">
      <alignment vertical="center"/>
    </xf>
    <xf numFmtId="165" fontId="6" fillId="0" borderId="28" xfId="8" applyNumberFormat="1" applyFont="1" applyBorder="1" applyAlignment="1" applyProtection="1">
      <alignment vertical="center"/>
    </xf>
    <xf numFmtId="165" fontId="6" fillId="0" borderId="0" xfId="8" applyNumberFormat="1" applyFont="1" applyBorder="1" applyAlignment="1" applyProtection="1">
      <alignment vertical="center"/>
    </xf>
    <xf numFmtId="0" fontId="3" fillId="0" borderId="12" xfId="0" applyFont="1" applyBorder="1" applyAlignment="1">
      <alignment horizontal="left" vertical="center" wrapText="1"/>
    </xf>
    <xf numFmtId="0" fontId="1" fillId="0" borderId="0" xfId="11" applyProtection="1">
      <protection hidden="1"/>
    </xf>
    <xf numFmtId="0" fontId="9" fillId="0" borderId="0" xfId="12" applyProtection="1">
      <protection hidden="1"/>
    </xf>
    <xf numFmtId="4" fontId="20" fillId="6" borderId="36" xfId="11" applyNumberFormat="1" applyFont="1" applyFill="1" applyBorder="1" applyAlignment="1" applyProtection="1">
      <alignment horizontal="center" vertical="center" wrapText="1"/>
      <protection hidden="1"/>
    </xf>
    <xf numFmtId="0" fontId="0" fillId="0" borderId="0" xfId="11" applyFont="1" applyProtection="1">
      <protection hidden="1"/>
    </xf>
    <xf numFmtId="0" fontId="22" fillId="0" borderId="0" xfId="11" applyFont="1" applyProtection="1">
      <protection hidden="1"/>
    </xf>
    <xf numFmtId="0" fontId="21" fillId="0" borderId="37" xfId="12" applyFont="1" applyBorder="1" applyAlignment="1" applyProtection="1">
      <alignment horizontal="center" vertical="center" wrapText="1"/>
      <protection hidden="1"/>
    </xf>
    <xf numFmtId="0" fontId="20" fillId="7" borderId="36" xfId="11" applyFont="1" applyFill="1" applyBorder="1" applyAlignment="1" applyProtection="1">
      <alignment horizontal="left" vertical="center"/>
      <protection hidden="1"/>
    </xf>
    <xf numFmtId="0" fontId="20" fillId="7" borderId="36" xfId="11" applyFont="1" applyFill="1" applyBorder="1" applyAlignment="1" applyProtection="1">
      <alignment horizontal="center" vertical="center"/>
      <protection hidden="1"/>
    </xf>
    <xf numFmtId="4" fontId="20" fillId="7" borderId="36" xfId="11" applyNumberFormat="1" applyFont="1" applyFill="1" applyBorder="1" applyAlignment="1" applyProtection="1">
      <alignment horizontal="center" vertical="center" wrapText="1"/>
      <protection hidden="1"/>
    </xf>
    <xf numFmtId="4" fontId="1" fillId="0" borderId="0" xfId="11" applyNumberFormat="1" applyProtection="1">
      <protection hidden="1"/>
    </xf>
    <xf numFmtId="0" fontId="14" fillId="0" borderId="36" xfId="11" applyFont="1" applyBorder="1" applyAlignment="1" applyProtection="1">
      <alignment vertical="center" wrapText="1"/>
      <protection hidden="1"/>
    </xf>
    <xf numFmtId="10" fontId="17" fillId="0" borderId="36" xfId="11" applyNumberFormat="1" applyFont="1" applyBorder="1" applyAlignment="1" applyProtection="1">
      <alignment horizontal="center" vertical="center"/>
      <protection hidden="1"/>
    </xf>
    <xf numFmtId="170" fontId="14" fillId="0" borderId="36" xfId="11" applyNumberFormat="1" applyFont="1" applyBorder="1" applyAlignment="1" applyProtection="1">
      <alignment vertical="center"/>
      <protection hidden="1"/>
    </xf>
    <xf numFmtId="171" fontId="22" fillId="0" borderId="0" xfId="11" applyNumberFormat="1" applyFont="1" applyProtection="1">
      <protection hidden="1"/>
    </xf>
    <xf numFmtId="172" fontId="25" fillId="0" borderId="0" xfId="14" applyFont="1" applyBorder="1" applyAlignment="1" applyProtection="1">
      <alignment horizontal="left" vertical="center"/>
      <protection hidden="1"/>
    </xf>
    <xf numFmtId="2" fontId="17" fillId="0" borderId="36" xfId="11" applyNumberFormat="1" applyFont="1" applyBorder="1" applyAlignment="1" applyProtection="1">
      <alignment horizontal="center" vertical="center"/>
      <protection hidden="1"/>
    </xf>
    <xf numFmtId="0" fontId="20" fillId="6" borderId="39" xfId="11" applyFont="1" applyFill="1" applyBorder="1" applyAlignment="1" applyProtection="1">
      <alignment vertical="center" wrapText="1"/>
      <protection hidden="1"/>
    </xf>
    <xf numFmtId="0" fontId="20" fillId="6" borderId="40" xfId="11" applyFont="1" applyFill="1" applyBorder="1" applyAlignment="1" applyProtection="1">
      <alignment vertical="center" wrapText="1"/>
      <protection hidden="1"/>
    </xf>
    <xf numFmtId="10" fontId="27" fillId="6" borderId="40" xfId="11" applyNumberFormat="1" applyFont="1" applyFill="1" applyBorder="1" applyAlignment="1" applyProtection="1">
      <alignment horizontal="center" vertical="center"/>
      <protection hidden="1"/>
    </xf>
    <xf numFmtId="9" fontId="20" fillId="6" borderId="40" xfId="11" applyNumberFormat="1" applyFont="1" applyFill="1" applyBorder="1" applyAlignment="1" applyProtection="1">
      <alignment horizontal="center" vertical="center"/>
      <protection hidden="1"/>
    </xf>
    <xf numFmtId="170" fontId="20" fillId="6" borderId="36" xfId="11" applyNumberFormat="1" applyFont="1" applyFill="1" applyBorder="1" applyAlignment="1" applyProtection="1">
      <alignment horizontal="right" vertical="center"/>
      <protection hidden="1"/>
    </xf>
    <xf numFmtId="0" fontId="14" fillId="0" borderId="0" xfId="11" applyFont="1" applyAlignment="1" applyProtection="1">
      <alignment vertical="center" wrapText="1"/>
      <protection hidden="1"/>
    </xf>
    <xf numFmtId="0" fontId="14" fillId="0" borderId="0" xfId="11" applyFont="1" applyAlignment="1" applyProtection="1">
      <alignment vertical="center"/>
      <protection hidden="1"/>
    </xf>
    <xf numFmtId="2" fontId="14" fillId="0" borderId="0" xfId="11" applyNumberFormat="1" applyFont="1" applyAlignment="1" applyProtection="1">
      <alignment vertical="center"/>
      <protection hidden="1"/>
    </xf>
    <xf numFmtId="4" fontId="28" fillId="0" borderId="0" xfId="11" applyNumberFormat="1" applyFont="1" applyAlignment="1" applyProtection="1">
      <alignment vertical="center" wrapText="1"/>
      <protection hidden="1"/>
    </xf>
    <xf numFmtId="0" fontId="20" fillId="7" borderId="39" xfId="11" applyFont="1" applyFill="1" applyBorder="1" applyAlignment="1" applyProtection="1">
      <alignment vertical="center" wrapText="1"/>
      <protection hidden="1"/>
    </xf>
    <xf numFmtId="49" fontId="20" fillId="6" borderId="36" xfId="11" applyNumberFormat="1" applyFont="1" applyFill="1" applyBorder="1" applyAlignment="1" applyProtection="1">
      <alignment horizontal="center" vertical="center" wrapText="1"/>
      <protection hidden="1"/>
    </xf>
    <xf numFmtId="0" fontId="14" fillId="0" borderId="41" xfId="11" applyFont="1" applyBorder="1" applyAlignment="1" applyProtection="1">
      <alignment horizontal="left" vertical="center" wrapText="1"/>
      <protection hidden="1"/>
    </xf>
    <xf numFmtId="10" fontId="14" fillId="0" borderId="36" xfId="11" applyNumberFormat="1" applyFont="1" applyBorder="1" applyAlignment="1" applyProtection="1">
      <alignment horizontal="center" vertical="center" wrapText="1"/>
      <protection hidden="1"/>
    </xf>
    <xf numFmtId="10" fontId="17" fillId="0" borderId="36" xfId="11" applyNumberFormat="1" applyFont="1" applyBorder="1" applyAlignment="1" applyProtection="1">
      <alignment horizontal="right" vertical="center" indent="2"/>
      <protection hidden="1"/>
    </xf>
    <xf numFmtId="2" fontId="17" fillId="0" borderId="36" xfId="11" applyNumberFormat="1" applyFont="1" applyBorder="1" applyAlignment="1" applyProtection="1">
      <alignment horizontal="right" vertical="center" indent="3"/>
      <protection hidden="1"/>
    </xf>
    <xf numFmtId="10" fontId="14" fillId="10" borderId="36" xfId="11" applyNumberFormat="1" applyFont="1" applyFill="1" applyBorder="1" applyAlignment="1" applyProtection="1">
      <alignment horizontal="center" vertical="center" wrapText="1"/>
      <protection hidden="1"/>
    </xf>
    <xf numFmtId="0" fontId="20" fillId="6" borderId="39" xfId="11" applyFont="1" applyFill="1" applyBorder="1" applyAlignment="1" applyProtection="1">
      <alignment horizontal="left" vertical="center" wrapText="1"/>
      <protection hidden="1"/>
    </xf>
    <xf numFmtId="0" fontId="20" fillId="6" borderId="40" xfId="11" applyFont="1" applyFill="1" applyBorder="1" applyAlignment="1" applyProtection="1">
      <alignment horizontal="left" vertical="center" wrapText="1"/>
      <protection hidden="1"/>
    </xf>
    <xf numFmtId="171" fontId="30" fillId="6" borderId="40" xfId="11" applyNumberFormat="1" applyFont="1" applyFill="1" applyBorder="1" applyAlignment="1" applyProtection="1">
      <alignment vertical="center" wrapText="1"/>
      <protection hidden="1"/>
    </xf>
    <xf numFmtId="170" fontId="20" fillId="6" borderId="42" xfId="11" applyNumberFormat="1" applyFont="1" applyFill="1" applyBorder="1" applyAlignment="1" applyProtection="1">
      <alignment vertical="center" wrapText="1"/>
      <protection hidden="1"/>
    </xf>
    <xf numFmtId="172" fontId="1" fillId="0" borderId="0" xfId="11" applyNumberFormat="1" applyProtection="1">
      <protection hidden="1"/>
    </xf>
    <xf numFmtId="0" fontId="14" fillId="0" borderId="43" xfId="11" applyFont="1" applyBorder="1" applyAlignment="1" applyProtection="1">
      <alignment vertical="center" wrapText="1"/>
      <protection hidden="1"/>
    </xf>
    <xf numFmtId="0" fontId="14" fillId="0" borderId="44" xfId="11" applyFont="1" applyBorder="1" applyAlignment="1" applyProtection="1">
      <alignment vertical="center"/>
      <protection hidden="1"/>
    </xf>
    <xf numFmtId="4" fontId="20" fillId="6" borderId="41" xfId="11" applyNumberFormat="1" applyFont="1" applyFill="1" applyBorder="1" applyAlignment="1" applyProtection="1">
      <alignment horizontal="center" vertical="center" wrapText="1"/>
      <protection hidden="1"/>
    </xf>
    <xf numFmtId="0" fontId="18" fillId="0" borderId="36" xfId="10" applyBorder="1" applyAlignment="1" applyProtection="1">
      <alignment horizontal="left" vertical="center" wrapText="1"/>
      <protection hidden="1"/>
    </xf>
    <xf numFmtId="170" fontId="14" fillId="0" borderId="36" xfId="11" applyNumberFormat="1" applyFont="1" applyBorder="1" applyAlignment="1" applyProtection="1">
      <alignment vertical="center" wrapText="1"/>
      <protection hidden="1"/>
    </xf>
    <xf numFmtId="173" fontId="1" fillId="0" borderId="0" xfId="15" applyNumberFormat="1" applyFont="1" applyProtection="1">
      <protection hidden="1"/>
    </xf>
    <xf numFmtId="0" fontId="14" fillId="0" borderId="36" xfId="11" applyFont="1" applyBorder="1" applyAlignment="1" applyProtection="1">
      <alignment horizontal="left" vertical="center" wrapText="1"/>
      <protection hidden="1"/>
    </xf>
    <xf numFmtId="0" fontId="18" fillId="0" borderId="36" xfId="10" applyFill="1" applyBorder="1" applyAlignment="1" applyProtection="1">
      <alignment vertical="center" wrapText="1"/>
      <protection hidden="1"/>
    </xf>
    <xf numFmtId="0" fontId="2" fillId="0" borderId="0" xfId="11" applyFont="1" applyProtection="1">
      <protection hidden="1"/>
    </xf>
    <xf numFmtId="49" fontId="32" fillId="6" borderId="40" xfId="11" applyNumberFormat="1" applyFont="1" applyFill="1" applyBorder="1" applyAlignment="1" applyProtection="1">
      <alignment horizontal="left" vertical="center"/>
      <protection hidden="1"/>
    </xf>
    <xf numFmtId="49" fontId="20" fillId="6" borderId="40" xfId="11" applyNumberFormat="1" applyFont="1" applyFill="1" applyBorder="1" applyAlignment="1" applyProtection="1">
      <alignment horizontal="center" vertical="center" wrapText="1"/>
      <protection hidden="1"/>
    </xf>
    <xf numFmtId="10" fontId="32" fillId="6" borderId="40" xfId="11" applyNumberFormat="1" applyFont="1" applyFill="1" applyBorder="1" applyAlignment="1" applyProtection="1">
      <alignment horizontal="center" vertical="center" wrapText="1"/>
      <protection hidden="1"/>
    </xf>
    <xf numFmtId="170" fontId="20" fillId="6" borderId="36" xfId="11" applyNumberFormat="1" applyFont="1" applyFill="1" applyBorder="1" applyAlignment="1" applyProtection="1">
      <alignment vertical="center" wrapText="1"/>
      <protection hidden="1"/>
    </xf>
    <xf numFmtId="4" fontId="30" fillId="6" borderId="40" xfId="11" applyNumberFormat="1" applyFont="1" applyFill="1" applyBorder="1" applyAlignment="1" applyProtection="1">
      <alignment vertical="center" wrapText="1"/>
      <protection hidden="1"/>
    </xf>
    <xf numFmtId="174" fontId="17" fillId="0" borderId="0" xfId="11" applyNumberFormat="1" applyFont="1" applyProtection="1">
      <protection hidden="1"/>
    </xf>
    <xf numFmtId="0" fontId="28" fillId="0" borderId="39" xfId="11" applyFont="1" applyBorder="1" applyAlignment="1" applyProtection="1">
      <alignment horizontal="left" vertical="center" wrapText="1"/>
      <protection hidden="1"/>
    </xf>
    <xf numFmtId="0" fontId="28" fillId="0" borderId="40" xfId="11" applyFont="1" applyBorder="1" applyAlignment="1" applyProtection="1">
      <alignment horizontal="left" vertical="center" wrapText="1"/>
      <protection hidden="1"/>
    </xf>
    <xf numFmtId="0" fontId="28" fillId="0" borderId="40" xfId="11" applyFont="1" applyBorder="1" applyAlignment="1" applyProtection="1">
      <alignment horizontal="center" vertical="center"/>
      <protection hidden="1"/>
    </xf>
    <xf numFmtId="10" fontId="14" fillId="0" borderId="40" xfId="11" applyNumberFormat="1" applyFont="1" applyBorder="1" applyAlignment="1" applyProtection="1">
      <alignment horizontal="center" vertical="center"/>
      <protection hidden="1"/>
    </xf>
    <xf numFmtId="0" fontId="28" fillId="0" borderId="46" xfId="11" applyFont="1" applyBorder="1" applyAlignment="1" applyProtection="1">
      <alignment horizontal="left" vertical="center" wrapText="1"/>
      <protection hidden="1"/>
    </xf>
    <xf numFmtId="0" fontId="28" fillId="0" borderId="37" xfId="11" applyFont="1" applyBorder="1" applyAlignment="1" applyProtection="1">
      <alignment horizontal="left" vertical="center" wrapText="1"/>
      <protection hidden="1"/>
    </xf>
    <xf numFmtId="0" fontId="28" fillId="0" borderId="37" xfId="11" applyFont="1" applyBorder="1" applyAlignment="1" applyProtection="1">
      <alignment horizontal="center" vertical="center"/>
      <protection hidden="1"/>
    </xf>
    <xf numFmtId="10" fontId="14" fillId="0" borderId="37" xfId="11" applyNumberFormat="1" applyFont="1" applyBorder="1" applyAlignment="1" applyProtection="1">
      <alignment horizontal="center" vertical="center"/>
      <protection hidden="1"/>
    </xf>
    <xf numFmtId="0" fontId="20" fillId="6" borderId="46" xfId="11" applyFont="1" applyFill="1" applyBorder="1" applyAlignment="1" applyProtection="1">
      <alignment horizontal="left" vertical="center" wrapText="1"/>
      <protection hidden="1"/>
    </xf>
    <xf numFmtId="0" fontId="20" fillId="6" borderId="37" xfId="11" applyFont="1" applyFill="1" applyBorder="1" applyAlignment="1" applyProtection="1">
      <alignment horizontal="left" vertical="center" wrapText="1"/>
      <protection hidden="1"/>
    </xf>
    <xf numFmtId="0" fontId="20" fillId="6" borderId="37" xfId="11" applyFont="1" applyFill="1" applyBorder="1" applyAlignment="1" applyProtection="1">
      <alignment horizontal="center" vertical="center"/>
      <protection hidden="1"/>
    </xf>
    <xf numFmtId="10" fontId="20" fillId="6" borderId="37" xfId="11" applyNumberFormat="1" applyFont="1" applyFill="1" applyBorder="1" applyAlignment="1" applyProtection="1">
      <alignment horizontal="center" vertical="center"/>
      <protection hidden="1"/>
    </xf>
    <xf numFmtId="170" fontId="20" fillId="6" borderId="47" xfId="11" applyNumberFormat="1" applyFont="1" applyFill="1" applyBorder="1" applyAlignment="1" applyProtection="1">
      <alignment vertical="center" wrapText="1"/>
      <protection hidden="1"/>
    </xf>
    <xf numFmtId="0" fontId="20" fillId="6" borderId="40" xfId="11" applyFont="1" applyFill="1" applyBorder="1" applyAlignment="1" applyProtection="1">
      <alignment horizontal="center" vertical="center"/>
      <protection hidden="1"/>
    </xf>
    <xf numFmtId="4" fontId="20" fillId="6" borderId="42" xfId="11" applyNumberFormat="1" applyFont="1" applyFill="1" applyBorder="1" applyAlignment="1" applyProtection="1">
      <alignment vertical="center"/>
      <protection hidden="1"/>
    </xf>
    <xf numFmtId="171" fontId="1" fillId="0" borderId="0" xfId="11" applyNumberFormat="1" applyProtection="1">
      <protection hidden="1"/>
    </xf>
    <xf numFmtId="0" fontId="6" fillId="0" borderId="11"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2" xfId="0" applyFont="1" applyBorder="1" applyAlignment="1">
      <alignment horizontal="left" vertical="center" wrapText="1"/>
    </xf>
    <xf numFmtId="0" fontId="3" fillId="0" borderId="1" xfId="0" applyFont="1" applyBorder="1" applyAlignment="1">
      <alignment vertical="center"/>
    </xf>
    <xf numFmtId="164" fontId="3" fillId="0" borderId="2" xfId="0" applyNumberFormat="1" applyFont="1" applyBorder="1" applyAlignment="1">
      <alignment horizontal="center" vertical="center"/>
    </xf>
    <xf numFmtId="0" fontId="3" fillId="0" borderId="2" xfId="0" applyFont="1" applyBorder="1" applyAlignment="1">
      <alignment horizontal="left" vertical="center"/>
    </xf>
    <xf numFmtId="0" fontId="3" fillId="0" borderId="2" xfId="0" applyFont="1" applyBorder="1" applyAlignment="1">
      <alignment horizontal="center" vertical="center"/>
    </xf>
    <xf numFmtId="4" fontId="3" fillId="0" borderId="2" xfId="0" applyNumberFormat="1" applyFont="1" applyBorder="1" applyAlignment="1">
      <alignment vertical="center"/>
    </xf>
    <xf numFmtId="165" fontId="3" fillId="0" borderId="2" xfId="0" applyNumberFormat="1" applyFont="1" applyBorder="1" applyAlignment="1">
      <alignment horizontal="right" vertical="center"/>
    </xf>
    <xf numFmtId="165" fontId="3" fillId="0" borderId="2" xfId="0" applyNumberFormat="1" applyFont="1" applyBorder="1" applyAlignment="1">
      <alignment vertical="center"/>
    </xf>
    <xf numFmtId="0" fontId="4" fillId="0" borderId="3" xfId="0" applyFont="1" applyBorder="1"/>
    <xf numFmtId="0" fontId="3" fillId="0" borderId="4" xfId="0" applyFont="1" applyBorder="1" applyAlignment="1">
      <alignment vertical="center"/>
    </xf>
    <xf numFmtId="0" fontId="3" fillId="0" borderId="0" xfId="0" applyFont="1" applyAlignment="1">
      <alignment horizontal="center" vertical="center"/>
    </xf>
    <xf numFmtId="165" fontId="3" fillId="0" borderId="0" xfId="0" applyNumberFormat="1" applyFont="1" applyAlignment="1">
      <alignment vertical="center"/>
    </xf>
    <xf numFmtId="0" fontId="4" fillId="0" borderId="6" xfId="0" applyFont="1" applyBorder="1"/>
    <xf numFmtId="0" fontId="6" fillId="0" borderId="7" xfId="0" applyFont="1" applyBorder="1" applyAlignment="1">
      <alignment horizontal="left" vertical="center"/>
    </xf>
    <xf numFmtId="49" fontId="3" fillId="0" borderId="8" xfId="0" applyNumberFormat="1" applyFont="1" applyBorder="1" applyAlignment="1">
      <alignment horizontal="left" vertical="center"/>
    </xf>
    <xf numFmtId="0" fontId="6" fillId="0" borderId="9" xfId="0" applyFont="1" applyBorder="1" applyAlignment="1">
      <alignment horizontal="left" vertical="center"/>
    </xf>
    <xf numFmtId="0" fontId="3" fillId="0" borderId="10" xfId="0" applyFont="1" applyBorder="1" applyAlignment="1">
      <alignment horizontal="left" vertical="center"/>
    </xf>
    <xf numFmtId="0" fontId="3" fillId="0" borderId="0" xfId="0" applyFont="1" applyAlignment="1">
      <alignment vertical="center"/>
    </xf>
    <xf numFmtId="164" fontId="3" fillId="0" borderId="0" xfId="0" applyNumberFormat="1" applyFont="1" applyAlignment="1">
      <alignment horizontal="center" vertical="center"/>
    </xf>
    <xf numFmtId="0" fontId="3" fillId="0" borderId="0" xfId="0" applyFont="1" applyAlignment="1">
      <alignment horizontal="left" vertical="center"/>
    </xf>
    <xf numFmtId="4" fontId="7" fillId="0" borderId="0" xfId="2" applyNumberFormat="1" applyFont="1" applyAlignment="1">
      <alignment vertical="center"/>
    </xf>
    <xf numFmtId="165" fontId="3" fillId="0" borderId="0" xfId="0" applyNumberFormat="1" applyFont="1" applyAlignment="1">
      <alignment horizontal="right" vertical="center"/>
    </xf>
    <xf numFmtId="0" fontId="6" fillId="0" borderId="0" xfId="0" applyFont="1" applyAlignment="1">
      <alignment horizontal="center" vertical="center"/>
    </xf>
    <xf numFmtId="0" fontId="8" fillId="0" borderId="4" xfId="0" applyFont="1" applyBorder="1" applyAlignment="1">
      <alignment horizontal="center" vertical="center"/>
    </xf>
    <xf numFmtId="49" fontId="6" fillId="0" borderId="0" xfId="3" applyNumberFormat="1" applyFont="1" applyAlignment="1">
      <alignment horizontal="center" vertical="center" wrapText="1"/>
    </xf>
    <xf numFmtId="0" fontId="6" fillId="0" borderId="0" xfId="3" applyFont="1" applyAlignment="1">
      <alignment horizontal="center" vertical="center" wrapText="1"/>
    </xf>
    <xf numFmtId="4" fontId="6" fillId="0" borderId="0" xfId="3" applyNumberFormat="1" applyFont="1" applyAlignment="1">
      <alignment horizontal="center" vertical="center" wrapText="1"/>
    </xf>
    <xf numFmtId="165" fontId="6" fillId="0" borderId="0" xfId="3" applyNumberFormat="1" applyFont="1" applyAlignment="1">
      <alignment horizontal="right" vertical="center" wrapText="1"/>
    </xf>
    <xf numFmtId="165" fontId="6" fillId="0" borderId="0" xfId="3" applyNumberFormat="1" applyFont="1" applyAlignment="1">
      <alignment horizontal="center" vertical="center" wrapText="1"/>
    </xf>
    <xf numFmtId="3" fontId="6" fillId="4" borderId="0" xfId="0" applyNumberFormat="1" applyFont="1" applyFill="1" applyAlignment="1">
      <alignment horizontal="center" vertical="center" wrapText="1"/>
    </xf>
    <xf numFmtId="0" fontId="6" fillId="4" borderId="0" xfId="0" applyFont="1" applyFill="1" applyAlignment="1">
      <alignment horizontal="left" vertical="center" wrapText="1"/>
    </xf>
    <xf numFmtId="0" fontId="6" fillId="4" borderId="0" xfId="0" applyFont="1" applyFill="1" applyAlignment="1">
      <alignment horizontal="center" vertical="center" wrapText="1"/>
    </xf>
    <xf numFmtId="4" fontId="6" fillId="4" borderId="0" xfId="0" applyNumberFormat="1" applyFont="1" applyFill="1" applyAlignment="1">
      <alignment horizontal="center" vertical="center" wrapText="1"/>
    </xf>
    <xf numFmtId="165" fontId="6" fillId="4" borderId="0" xfId="0" applyNumberFormat="1" applyFont="1" applyFill="1" applyAlignment="1">
      <alignment horizontal="right" vertical="center" wrapText="1"/>
    </xf>
    <xf numFmtId="165" fontId="6" fillId="4" borderId="0" xfId="0" applyNumberFormat="1" applyFont="1" applyFill="1" applyAlignment="1">
      <alignment horizontal="center" vertical="center" wrapText="1"/>
    </xf>
    <xf numFmtId="0" fontId="10" fillId="0" borderId="0" xfId="0" applyFont="1" applyAlignment="1">
      <alignment horizontal="center" vertical="center"/>
    </xf>
    <xf numFmtId="0" fontId="6" fillId="0" borderId="0" xfId="0" applyFont="1" applyAlignment="1">
      <alignment horizontal="justify" vertical="center" wrapText="1"/>
    </xf>
    <xf numFmtId="0" fontId="3" fillId="0" borderId="0" xfId="0" applyFont="1" applyAlignment="1">
      <alignment horizontal="center" vertical="center" wrapText="1"/>
    </xf>
    <xf numFmtId="165" fontId="3" fillId="0" borderId="0" xfId="0" applyNumberFormat="1" applyFont="1" applyAlignment="1">
      <alignment horizontal="right" vertical="center" wrapText="1"/>
    </xf>
    <xf numFmtId="0" fontId="3" fillId="0" borderId="0" xfId="0" applyFont="1" applyAlignment="1">
      <alignment horizontal="justify" vertical="center" wrapText="1"/>
    </xf>
    <xf numFmtId="3" fontId="10" fillId="0" borderId="0" xfId="0" applyNumberFormat="1" applyFont="1" applyAlignment="1">
      <alignment horizontal="center" vertical="center"/>
    </xf>
    <xf numFmtId="3" fontId="4" fillId="0" borderId="0" xfId="0" applyNumberFormat="1" applyFont="1" applyAlignment="1">
      <alignment horizontal="center" vertical="center"/>
    </xf>
    <xf numFmtId="0" fontId="12" fillId="0" borderId="0" xfId="0" applyFont="1" applyAlignment="1">
      <alignment horizontal="center" vertical="center" wrapText="1"/>
    </xf>
    <xf numFmtId="0" fontId="3" fillId="0" borderId="0" xfId="0" applyFont="1" applyAlignment="1">
      <alignment horizontal="right" vertical="center" wrapText="1"/>
    </xf>
    <xf numFmtId="165" fontId="3" fillId="0" borderId="0" xfId="0" applyNumberFormat="1" applyFont="1" applyAlignment="1">
      <alignment vertical="center" wrapText="1"/>
    </xf>
    <xf numFmtId="0" fontId="4" fillId="0" borderId="12" xfId="0" applyFont="1" applyBorder="1" applyAlignment="1">
      <alignment horizontal="center" vertical="center"/>
    </xf>
    <xf numFmtId="0" fontId="6" fillId="0" borderId="12" xfId="0" applyFont="1" applyBorder="1" applyAlignment="1">
      <alignment horizontal="center" vertical="center" wrapText="1"/>
    </xf>
    <xf numFmtId="0" fontId="10" fillId="0" borderId="0" xfId="0" applyFont="1" applyAlignment="1">
      <alignment horizontal="center"/>
    </xf>
    <xf numFmtId="0" fontId="4" fillId="0" borderId="0" xfId="0" applyFont="1" applyAlignment="1">
      <alignment horizontal="center"/>
    </xf>
    <xf numFmtId="0" fontId="6" fillId="0" borderId="13" xfId="0" applyFont="1" applyBorder="1" applyAlignment="1">
      <alignment horizontal="center" vertical="center" wrapText="1"/>
    </xf>
    <xf numFmtId="0" fontId="6" fillId="0" borderId="0" xfId="0" applyFont="1" applyAlignment="1">
      <alignment horizontal="left" vertical="center"/>
    </xf>
    <xf numFmtId="3" fontId="3" fillId="0" borderId="0" xfId="0" applyNumberFormat="1" applyFont="1" applyAlignment="1">
      <alignment horizontal="center" vertical="center" wrapText="1"/>
    </xf>
    <xf numFmtId="0" fontId="3" fillId="0" borderId="0" xfId="0" applyFont="1" applyAlignment="1">
      <alignment horizontal="left" vertical="center" wrapText="1"/>
    </xf>
    <xf numFmtId="3" fontId="6" fillId="0" borderId="0" xfId="0" applyNumberFormat="1" applyFont="1" applyAlignment="1">
      <alignment horizontal="center" vertical="center" wrapText="1"/>
    </xf>
    <xf numFmtId="0" fontId="6" fillId="0" borderId="0" xfId="0" applyFont="1" applyAlignment="1">
      <alignment horizontal="left" vertical="center" wrapText="1"/>
    </xf>
    <xf numFmtId="3" fontId="6" fillId="0" borderId="13" xfId="0" applyNumberFormat="1" applyFont="1" applyBorder="1" applyAlignment="1">
      <alignment horizontal="center" vertical="center" wrapText="1"/>
    </xf>
    <xf numFmtId="165" fontId="13" fillId="0" borderId="0" xfId="0" applyNumberFormat="1" applyFont="1" applyAlignment="1">
      <alignment horizontal="right" vertical="center" wrapText="1"/>
    </xf>
    <xf numFmtId="4" fontId="3" fillId="0" borderId="0" xfId="0" applyNumberFormat="1" applyFont="1" applyAlignment="1">
      <alignment horizontal="center" vertical="center" wrapText="1"/>
    </xf>
    <xf numFmtId="3" fontId="6" fillId="0" borderId="0" xfId="0" applyNumberFormat="1" applyFont="1" applyAlignment="1">
      <alignment horizontal="center" vertical="center"/>
    </xf>
    <xf numFmtId="0" fontId="6" fillId="0" borderId="0" xfId="0" applyFont="1" applyAlignment="1">
      <alignment horizontal="center" vertical="center" wrapText="1"/>
    </xf>
    <xf numFmtId="3" fontId="3" fillId="0" borderId="0" xfId="0" applyNumberFormat="1" applyFont="1" applyAlignment="1">
      <alignment horizontal="center" vertical="center"/>
    </xf>
    <xf numFmtId="0" fontId="6" fillId="0" borderId="0" xfId="0" applyFont="1" applyAlignment="1">
      <alignment horizontal="justify" vertical="center"/>
    </xf>
    <xf numFmtId="0" fontId="4" fillId="0" borderId="4" xfId="0" applyFont="1" applyBorder="1"/>
    <xf numFmtId="37" fontId="6" fillId="4" borderId="0" xfId="6" applyNumberFormat="1" applyFont="1" applyFill="1" applyBorder="1" applyAlignment="1">
      <alignment horizontal="center" vertical="center"/>
    </xf>
    <xf numFmtId="0" fontId="6" fillId="4" borderId="0" xfId="0" applyFont="1" applyFill="1" applyAlignment="1">
      <alignment vertical="center"/>
    </xf>
    <xf numFmtId="37" fontId="3" fillId="0" borderId="0" xfId="6" applyNumberFormat="1" applyFont="1" applyAlignment="1">
      <alignment horizontal="center" vertical="center"/>
    </xf>
    <xf numFmtId="0" fontId="15" fillId="0" borderId="6" xfId="0" applyFont="1" applyBorder="1" applyAlignment="1">
      <alignment vertical="center"/>
    </xf>
    <xf numFmtId="0" fontId="15" fillId="0" borderId="0" xfId="0" applyFont="1" applyAlignment="1">
      <alignment vertical="center"/>
    </xf>
    <xf numFmtId="4" fontId="3" fillId="0" borderId="16" xfId="7" applyNumberFormat="1" applyFont="1" applyBorder="1" applyAlignment="1">
      <alignment vertical="center" wrapText="1"/>
    </xf>
    <xf numFmtId="0" fontId="3" fillId="0" borderId="20" xfId="7" applyFont="1" applyBorder="1" applyAlignment="1">
      <alignment vertical="center"/>
    </xf>
    <xf numFmtId="4" fontId="3" fillId="0" borderId="20" xfId="7" applyNumberFormat="1" applyFont="1" applyBorder="1" applyAlignment="1">
      <alignment vertical="center"/>
    </xf>
    <xf numFmtId="3" fontId="3" fillId="0" borderId="19" xfId="7" applyNumberFormat="1" applyFont="1" applyBorder="1" applyAlignment="1">
      <alignment vertical="center"/>
    </xf>
    <xf numFmtId="4" fontId="6" fillId="0" borderId="20" xfId="7" applyNumberFormat="1" applyFont="1" applyBorder="1" applyAlignment="1">
      <alignment vertical="center"/>
    </xf>
    <xf numFmtId="165" fontId="6" fillId="0" borderId="21" xfId="7" applyNumberFormat="1" applyFont="1" applyBorder="1" applyAlignment="1">
      <alignment horizontal="right" vertical="center"/>
    </xf>
    <xf numFmtId="0" fontId="6" fillId="0" borderId="25" xfId="7" applyFont="1" applyBorder="1" applyAlignment="1">
      <alignment vertical="center"/>
    </xf>
    <xf numFmtId="4" fontId="6" fillId="0" borderId="25" xfId="7" applyNumberFormat="1" applyFont="1" applyBorder="1" applyAlignment="1">
      <alignment vertical="center"/>
    </xf>
    <xf numFmtId="165" fontId="6" fillId="0" borderId="26" xfId="7" applyNumberFormat="1" applyFont="1" applyBorder="1" applyAlignment="1">
      <alignment horizontal="right" vertical="center"/>
    </xf>
    <xf numFmtId="165" fontId="6" fillId="4" borderId="27" xfId="9" applyNumberFormat="1" applyFont="1" applyFill="1" applyBorder="1" applyAlignment="1">
      <alignment vertical="center"/>
    </xf>
    <xf numFmtId="4" fontId="3" fillId="0" borderId="0" xfId="0" applyNumberFormat="1" applyFont="1" applyAlignment="1">
      <alignment vertical="center"/>
    </xf>
    <xf numFmtId="164" fontId="3" fillId="0" borderId="0" xfId="0" applyNumberFormat="1" applyFont="1" applyAlignment="1">
      <alignment vertical="center"/>
    </xf>
    <xf numFmtId="0" fontId="6" fillId="0" borderId="0" xfId="7" applyFont="1" applyAlignment="1">
      <alignment vertical="center"/>
    </xf>
    <xf numFmtId="4" fontId="6" fillId="0" borderId="0" xfId="7" applyNumberFormat="1" applyFont="1" applyAlignment="1">
      <alignment vertical="center"/>
    </xf>
    <xf numFmtId="165" fontId="6" fillId="0" borderId="0" xfId="7" applyNumberFormat="1" applyFont="1" applyAlignment="1">
      <alignment horizontal="right" vertical="center"/>
    </xf>
    <xf numFmtId="0" fontId="6" fillId="0" borderId="30" xfId="7" applyFont="1" applyBorder="1" applyAlignment="1">
      <alignment vertical="center"/>
    </xf>
    <xf numFmtId="165" fontId="6" fillId="0" borderId="31" xfId="7" applyNumberFormat="1" applyFont="1" applyBorder="1" applyAlignment="1">
      <alignment horizontal="right" vertical="center"/>
    </xf>
    <xf numFmtId="3" fontId="35" fillId="12" borderId="21" xfId="16" applyNumberFormat="1" applyFont="1" applyFill="1" applyBorder="1" applyAlignment="1">
      <alignment horizontal="center" vertical="center" wrapText="1"/>
    </xf>
    <xf numFmtId="176" fontId="35" fillId="12" borderId="22" xfId="17" applyNumberFormat="1" applyFont="1" applyFill="1" applyBorder="1" applyAlignment="1">
      <alignment horizontal="center" vertical="center"/>
    </xf>
    <xf numFmtId="3" fontId="35" fillId="12" borderId="21" xfId="16" applyNumberFormat="1" applyFont="1" applyFill="1" applyBorder="1" applyAlignment="1">
      <alignment horizontal="center" vertical="center"/>
    </xf>
    <xf numFmtId="176" fontId="35" fillId="12" borderId="58" xfId="17" applyNumberFormat="1" applyFont="1" applyFill="1" applyBorder="1" applyAlignment="1">
      <alignment horizontal="center" vertical="center"/>
    </xf>
    <xf numFmtId="0" fontId="35" fillId="12" borderId="21" xfId="16" applyFont="1" applyFill="1" applyBorder="1" applyAlignment="1">
      <alignment horizontal="center" vertical="center" wrapText="1"/>
    </xf>
    <xf numFmtId="10" fontId="36" fillId="2" borderId="23" xfId="0" applyNumberFormat="1" applyFont="1" applyFill="1" applyBorder="1" applyAlignment="1">
      <alignment horizontal="center" vertical="center"/>
    </xf>
    <xf numFmtId="0" fontId="4" fillId="0" borderId="0" xfId="0" applyFont="1" applyProtection="1">
      <protection locked="0"/>
    </xf>
    <xf numFmtId="165" fontId="4" fillId="0" borderId="0" xfId="0" applyNumberFormat="1" applyFont="1" applyAlignment="1" applyProtection="1">
      <alignment horizontal="right"/>
      <protection locked="0"/>
    </xf>
    <xf numFmtId="10" fontId="36" fillId="2" borderId="23" xfId="0" applyNumberFormat="1" applyFont="1" applyFill="1" applyBorder="1" applyAlignment="1" applyProtection="1">
      <alignment horizontal="center" vertical="center"/>
      <protection locked="0"/>
    </xf>
    <xf numFmtId="3" fontId="6" fillId="4" borderId="55" xfId="0" applyNumberFormat="1" applyFont="1" applyFill="1" applyBorder="1" applyAlignment="1">
      <alignment horizontal="center" vertical="center" wrapText="1"/>
    </xf>
    <xf numFmtId="0" fontId="6" fillId="4" borderId="52" xfId="0" applyFont="1" applyFill="1" applyBorder="1" applyAlignment="1">
      <alignment horizontal="left" vertical="center" wrapText="1"/>
    </xf>
    <xf numFmtId="0" fontId="6" fillId="4" borderId="52" xfId="0" applyFont="1" applyFill="1" applyBorder="1" applyAlignment="1">
      <alignment horizontal="center" vertical="center" wrapText="1"/>
    </xf>
    <xf numFmtId="4" fontId="6" fillId="4" borderId="52" xfId="0" applyNumberFormat="1" applyFont="1" applyFill="1" applyBorder="1" applyAlignment="1">
      <alignment horizontal="center" vertical="center" wrapText="1"/>
    </xf>
    <xf numFmtId="165" fontId="6" fillId="4" borderId="53" xfId="0" applyNumberFormat="1" applyFont="1" applyFill="1" applyBorder="1" applyAlignment="1">
      <alignment horizontal="center" vertical="center" wrapText="1"/>
    </xf>
    <xf numFmtId="0" fontId="10" fillId="5" borderId="60" xfId="0" applyFont="1" applyFill="1" applyBorder="1" applyAlignment="1">
      <alignment horizontal="center" vertical="center"/>
    </xf>
    <xf numFmtId="0" fontId="6" fillId="5" borderId="61" xfId="0" applyFont="1" applyFill="1" applyBorder="1" applyAlignment="1">
      <alignment horizontal="justify" vertical="center" wrapText="1"/>
    </xf>
    <xf numFmtId="0" fontId="3" fillId="5" borderId="61" xfId="0" applyFont="1" applyFill="1" applyBorder="1" applyAlignment="1">
      <alignment horizontal="center" vertical="center" wrapText="1"/>
    </xf>
    <xf numFmtId="4" fontId="3" fillId="5" borderId="61" xfId="4" applyNumberFormat="1" applyFont="1" applyFill="1" applyBorder="1" applyAlignment="1">
      <alignment horizontal="center" vertical="center" wrapText="1"/>
    </xf>
    <xf numFmtId="165" fontId="3" fillId="5" borderId="62" xfId="5" applyNumberFormat="1" applyFont="1" applyFill="1" applyBorder="1" applyAlignment="1">
      <alignment vertical="center" wrapText="1"/>
    </xf>
    <xf numFmtId="0" fontId="4" fillId="0" borderId="60" xfId="0" applyFont="1" applyBorder="1" applyAlignment="1">
      <alignment horizontal="center" vertical="center"/>
    </xf>
    <xf numFmtId="0" fontId="3" fillId="0" borderId="61" xfId="0" applyFont="1" applyBorder="1" applyAlignment="1">
      <alignment horizontal="justify" vertical="center" wrapText="1"/>
    </xf>
    <xf numFmtId="0" fontId="3" fillId="0" borderId="61" xfId="0" applyFont="1" applyBorder="1" applyAlignment="1">
      <alignment horizontal="center" vertical="center" wrapText="1"/>
    </xf>
    <xf numFmtId="4" fontId="3" fillId="0" borderId="61" xfId="4" applyNumberFormat="1" applyFont="1" applyBorder="1" applyAlignment="1">
      <alignment horizontal="center" vertical="center" wrapText="1"/>
    </xf>
    <xf numFmtId="165" fontId="3" fillId="0" borderId="62" xfId="5" applyNumberFormat="1" applyFont="1" applyBorder="1" applyAlignment="1">
      <alignment vertical="center" wrapText="1"/>
    </xf>
    <xf numFmtId="3" fontId="10" fillId="5" borderId="60" xfId="0" applyNumberFormat="1" applyFont="1" applyFill="1" applyBorder="1" applyAlignment="1">
      <alignment horizontal="center" vertical="center"/>
    </xf>
    <xf numFmtId="3" fontId="4" fillId="0" borderId="60" xfId="0" applyNumberFormat="1" applyFont="1" applyBorder="1" applyAlignment="1">
      <alignment horizontal="center" vertical="center"/>
    </xf>
    <xf numFmtId="3" fontId="4" fillId="5" borderId="60" xfId="0" applyNumberFormat="1" applyFont="1" applyFill="1" applyBorder="1" applyAlignment="1">
      <alignment horizontal="center" vertical="center"/>
    </xf>
    <xf numFmtId="0" fontId="3" fillId="5" borderId="61" xfId="0" applyFont="1" applyFill="1" applyBorder="1" applyAlignment="1">
      <alignment horizontal="justify" vertical="center" wrapText="1"/>
    </xf>
    <xf numFmtId="0" fontId="10" fillId="0" borderId="56" xfId="0" applyFont="1" applyBorder="1" applyAlignment="1">
      <alignment horizontal="center" vertical="center"/>
    </xf>
    <xf numFmtId="0" fontId="6" fillId="0" borderId="33" xfId="0" applyFont="1" applyBorder="1" applyAlignment="1">
      <alignment horizontal="justify" vertical="center" wrapText="1"/>
    </xf>
    <xf numFmtId="0" fontId="16" fillId="0" borderId="33" xfId="0" applyFont="1" applyBorder="1" applyAlignment="1">
      <alignment horizontal="center" vertical="center" wrapText="1"/>
    </xf>
    <xf numFmtId="0" fontId="6" fillId="0" borderId="33" xfId="0" applyFont="1" applyBorder="1" applyAlignment="1">
      <alignment horizontal="center" vertical="center" wrapText="1"/>
    </xf>
    <xf numFmtId="165" fontId="6" fillId="0" borderId="54" xfId="0" applyNumberFormat="1" applyFont="1" applyBorder="1" applyAlignment="1">
      <alignment vertical="center" wrapText="1"/>
    </xf>
    <xf numFmtId="3" fontId="6" fillId="4" borderId="63" xfId="0" applyNumberFormat="1" applyFont="1" applyFill="1" applyBorder="1" applyAlignment="1">
      <alignment horizontal="center" vertical="center" wrapText="1"/>
    </xf>
    <xf numFmtId="165" fontId="6" fillId="4" borderId="64" xfId="0" applyNumberFormat="1" applyFont="1" applyFill="1" applyBorder="1" applyAlignment="1">
      <alignment horizontal="center" vertical="center" wrapText="1"/>
    </xf>
    <xf numFmtId="3" fontId="4" fillId="5" borderId="65" xfId="0" applyNumberFormat="1" applyFont="1" applyFill="1" applyBorder="1" applyAlignment="1">
      <alignment horizontal="center" vertical="center"/>
    </xf>
    <xf numFmtId="165" fontId="3" fillId="5" borderId="66" xfId="5" applyNumberFormat="1" applyFont="1" applyFill="1" applyBorder="1" applyAlignment="1">
      <alignment vertical="center" wrapText="1"/>
    </xf>
    <xf numFmtId="3" fontId="4" fillId="0" borderId="65" xfId="0" applyNumberFormat="1" applyFont="1" applyBorder="1" applyAlignment="1">
      <alignment horizontal="center" vertical="center"/>
    </xf>
    <xf numFmtId="165" fontId="3" fillId="0" borderId="66" xfId="5" applyNumberFormat="1" applyFont="1" applyBorder="1" applyAlignment="1">
      <alignment vertical="center" wrapText="1"/>
    </xf>
    <xf numFmtId="0" fontId="10" fillId="0" borderId="32" xfId="0" applyFont="1" applyBorder="1" applyAlignment="1">
      <alignment horizontal="center" vertical="center"/>
    </xf>
    <xf numFmtId="165" fontId="6" fillId="0" borderId="34" xfId="0" applyNumberFormat="1" applyFont="1" applyBorder="1" applyAlignment="1">
      <alignment vertical="center" wrapText="1"/>
    </xf>
    <xf numFmtId="0" fontId="6" fillId="5" borderId="65" xfId="0" applyFont="1" applyFill="1" applyBorder="1" applyAlignment="1">
      <alignment horizontal="center" vertical="center" wrapText="1"/>
    </xf>
    <xf numFmtId="0" fontId="4" fillId="0" borderId="65" xfId="0" applyFont="1" applyBorder="1" applyAlignment="1">
      <alignment horizontal="center" vertical="center"/>
    </xf>
    <xf numFmtId="0" fontId="4" fillId="5" borderId="65" xfId="0" applyFont="1" applyFill="1" applyBorder="1" applyAlignment="1">
      <alignment horizontal="center" vertical="center"/>
    </xf>
    <xf numFmtId="0" fontId="6" fillId="0" borderId="65" xfId="0" applyFont="1" applyBorder="1" applyAlignment="1">
      <alignment horizontal="center" vertical="center" wrapText="1"/>
    </xf>
    <xf numFmtId="0" fontId="6" fillId="0" borderId="61" xfId="0" applyFont="1" applyBorder="1" applyAlignment="1">
      <alignment horizontal="justify" vertical="center" wrapText="1"/>
    </xf>
    <xf numFmtId="0" fontId="10" fillId="0" borderId="65" xfId="0" applyFont="1" applyBorder="1" applyAlignment="1">
      <alignment horizontal="center" vertical="center"/>
    </xf>
    <xf numFmtId="0" fontId="10" fillId="0" borderId="65" xfId="0" applyFont="1" applyBorder="1" applyAlignment="1">
      <alignment horizontal="center"/>
    </xf>
    <xf numFmtId="0" fontId="6" fillId="0" borderId="65" xfId="0" applyFont="1" applyBorder="1" applyAlignment="1">
      <alignment horizontal="center" vertical="center"/>
    </xf>
    <xf numFmtId="0" fontId="3" fillId="5" borderId="65" xfId="0" applyFont="1" applyFill="1" applyBorder="1" applyAlignment="1">
      <alignment horizontal="center" vertical="center"/>
    </xf>
    <xf numFmtId="0" fontId="3" fillId="0" borderId="65" xfId="0" applyFont="1" applyBorder="1" applyAlignment="1">
      <alignment horizontal="center" vertical="center"/>
    </xf>
    <xf numFmtId="0" fontId="10" fillId="0" borderId="32" xfId="0" applyFont="1" applyBorder="1" applyAlignment="1">
      <alignment horizontal="center"/>
    </xf>
    <xf numFmtId="0" fontId="10" fillId="0" borderId="33" xfId="0" applyFont="1" applyBorder="1"/>
    <xf numFmtId="165" fontId="10" fillId="0" borderId="54" xfId="0" applyNumberFormat="1" applyFont="1" applyBorder="1"/>
    <xf numFmtId="0" fontId="6" fillId="5" borderId="48" xfId="0" applyFont="1" applyFill="1" applyBorder="1" applyAlignment="1">
      <alignment horizontal="center" vertical="center" wrapText="1"/>
    </xf>
    <xf numFmtId="0" fontId="6" fillId="5" borderId="61" xfId="0" applyFont="1" applyFill="1" applyBorder="1" applyAlignment="1">
      <alignment horizontal="left" vertical="center"/>
    </xf>
    <xf numFmtId="3" fontId="3" fillId="0" borderId="48" xfId="0" applyNumberFormat="1" applyFont="1" applyBorder="1" applyAlignment="1">
      <alignment horizontal="center" vertical="center" wrapText="1"/>
    </xf>
    <xf numFmtId="0" fontId="3" fillId="0" borderId="61" xfId="0" applyFont="1" applyBorder="1" applyAlignment="1">
      <alignment horizontal="left" vertical="center" wrapText="1"/>
    </xf>
    <xf numFmtId="3" fontId="3" fillId="5" borderId="65" xfId="0" applyNumberFormat="1" applyFont="1" applyFill="1" applyBorder="1" applyAlignment="1">
      <alignment horizontal="center" vertical="center" wrapText="1"/>
    </xf>
    <xf numFmtId="0" fontId="3" fillId="5" borderId="61" xfId="0" applyFont="1" applyFill="1" applyBorder="1" applyAlignment="1">
      <alignment horizontal="left" vertical="center" wrapText="1"/>
    </xf>
    <xf numFmtId="0" fontId="6" fillId="0" borderId="48" xfId="0" applyFont="1" applyBorder="1" applyAlignment="1">
      <alignment horizontal="center" vertical="center" wrapText="1"/>
    </xf>
    <xf numFmtId="0" fontId="6" fillId="0" borderId="61" xfId="0" applyFont="1" applyBorder="1" applyAlignment="1">
      <alignment horizontal="left" vertical="center"/>
    </xf>
    <xf numFmtId="3" fontId="3" fillId="5" borderId="48" xfId="0" applyNumberFormat="1" applyFont="1" applyFill="1" applyBorder="1" applyAlignment="1">
      <alignment horizontal="center" vertical="center" wrapText="1"/>
    </xf>
    <xf numFmtId="3" fontId="6" fillId="0" borderId="65" xfId="0" applyNumberFormat="1" applyFont="1" applyBorder="1" applyAlignment="1">
      <alignment horizontal="center" vertical="center" wrapText="1"/>
    </xf>
    <xf numFmtId="0" fontId="6" fillId="0" borderId="61" xfId="0" applyFont="1" applyBorder="1" applyAlignment="1">
      <alignment horizontal="left" vertical="center" wrapText="1"/>
    </xf>
    <xf numFmtId="0" fontId="4" fillId="0" borderId="48" xfId="0" applyFont="1" applyBorder="1" applyAlignment="1">
      <alignment horizontal="center" vertical="center"/>
    </xf>
    <xf numFmtId="4" fontId="13" fillId="0" borderId="61" xfId="4" applyNumberFormat="1" applyFont="1" applyBorder="1" applyAlignment="1">
      <alignment horizontal="center" vertical="center" wrapText="1"/>
    </xf>
    <xf numFmtId="0" fontId="4" fillId="5" borderId="48" xfId="0" applyFont="1" applyFill="1" applyBorder="1" applyAlignment="1">
      <alignment horizontal="center" vertical="center"/>
    </xf>
    <xf numFmtId="3" fontId="6" fillId="5" borderId="65" xfId="0" applyNumberFormat="1" applyFont="1" applyFill="1" applyBorder="1" applyAlignment="1">
      <alignment horizontal="center" vertical="center" wrapText="1"/>
    </xf>
    <xf numFmtId="0" fontId="6" fillId="5" borderId="61" xfId="0" applyFont="1" applyFill="1" applyBorder="1" applyAlignment="1">
      <alignment horizontal="left" vertical="center" wrapText="1"/>
    </xf>
    <xf numFmtId="3" fontId="6" fillId="5" borderId="48" xfId="0" applyNumberFormat="1" applyFont="1" applyFill="1" applyBorder="1" applyAlignment="1">
      <alignment horizontal="center" vertical="center" wrapText="1"/>
    </xf>
    <xf numFmtId="165" fontId="3" fillId="5" borderId="66" xfId="0" applyNumberFormat="1" applyFont="1" applyFill="1" applyBorder="1" applyAlignment="1">
      <alignment vertical="center" wrapText="1"/>
    </xf>
    <xf numFmtId="0" fontId="6" fillId="0" borderId="32" xfId="0" applyFont="1" applyBorder="1" applyAlignment="1">
      <alignment horizontal="center" vertical="center" wrapText="1"/>
    </xf>
    <xf numFmtId="0" fontId="6" fillId="0" borderId="33" xfId="0" applyFont="1" applyBorder="1" applyAlignment="1">
      <alignment horizontal="left" vertical="center" wrapText="1"/>
    </xf>
    <xf numFmtId="3" fontId="3" fillId="0" borderId="65" xfId="0" applyNumberFormat="1" applyFont="1" applyBorder="1" applyAlignment="1">
      <alignment horizontal="center" vertical="center" wrapText="1"/>
    </xf>
    <xf numFmtId="4" fontId="3" fillId="0" borderId="61" xfId="0" applyNumberFormat="1" applyFont="1" applyBorder="1" applyAlignment="1">
      <alignment horizontal="center" vertical="center" wrapText="1"/>
    </xf>
    <xf numFmtId="4" fontId="3" fillId="5" borderId="61" xfId="0" applyNumberFormat="1" applyFont="1" applyFill="1" applyBorder="1" applyAlignment="1">
      <alignment horizontal="center" vertical="center" wrapText="1"/>
    </xf>
    <xf numFmtId="0" fontId="10" fillId="0" borderId="49" xfId="0" applyFont="1" applyBorder="1" applyAlignment="1">
      <alignment horizontal="center" vertical="center"/>
    </xf>
    <xf numFmtId="0" fontId="6" fillId="0" borderId="50" xfId="0" applyFont="1" applyBorder="1" applyAlignment="1">
      <alignment horizontal="justify" vertical="center" wrapText="1"/>
    </xf>
    <xf numFmtId="0" fontId="6" fillId="0" borderId="50" xfId="0" applyFont="1" applyBorder="1" applyAlignment="1">
      <alignment horizontal="center" vertical="center" wrapText="1"/>
    </xf>
    <xf numFmtId="165" fontId="6" fillId="0" borderId="51" xfId="0" applyNumberFormat="1" applyFont="1" applyBorder="1" applyAlignment="1">
      <alignment vertical="center" wrapText="1"/>
    </xf>
    <xf numFmtId="3" fontId="6" fillId="4" borderId="65" xfId="0" applyNumberFormat="1" applyFont="1" applyFill="1" applyBorder="1" applyAlignment="1">
      <alignment horizontal="center" vertical="center" wrapText="1"/>
    </xf>
    <xf numFmtId="0" fontId="6" fillId="4" borderId="61" xfId="0" applyFont="1" applyFill="1" applyBorder="1" applyAlignment="1">
      <alignment horizontal="left" vertical="center" wrapText="1"/>
    </xf>
    <xf numFmtId="0" fontId="6" fillId="4" borderId="61" xfId="0" applyFont="1" applyFill="1" applyBorder="1" applyAlignment="1">
      <alignment horizontal="center" vertical="center" wrapText="1"/>
    </xf>
    <xf numFmtId="4" fontId="6" fillId="4" borderId="61" xfId="0" applyNumberFormat="1" applyFont="1" applyFill="1" applyBorder="1" applyAlignment="1">
      <alignment horizontal="center" vertical="center" wrapText="1"/>
    </xf>
    <xf numFmtId="165" fontId="6" fillId="4" borderId="62" xfId="0" applyNumberFormat="1" applyFont="1" applyFill="1" applyBorder="1" applyAlignment="1">
      <alignment horizontal="center" vertical="center" wrapText="1"/>
    </xf>
    <xf numFmtId="3" fontId="6" fillId="5" borderId="65" xfId="0" applyNumberFormat="1" applyFont="1" applyFill="1" applyBorder="1" applyAlignment="1">
      <alignment horizontal="center" vertical="center"/>
    </xf>
    <xf numFmtId="0" fontId="6" fillId="5" borderId="61" xfId="0" applyFont="1" applyFill="1" applyBorder="1" applyAlignment="1">
      <alignment horizontal="center" vertical="center" wrapText="1"/>
    </xf>
    <xf numFmtId="3" fontId="3" fillId="0" borderId="65" xfId="0" applyNumberFormat="1" applyFont="1" applyBorder="1" applyAlignment="1">
      <alignment horizontal="center" vertical="center"/>
    </xf>
    <xf numFmtId="0" fontId="10" fillId="5" borderId="65" xfId="0" applyFont="1" applyFill="1" applyBorder="1" applyAlignment="1">
      <alignment horizontal="center" vertical="center"/>
    </xf>
    <xf numFmtId="0" fontId="10" fillId="0" borderId="49" xfId="0" applyFont="1" applyBorder="1"/>
    <xf numFmtId="0" fontId="10" fillId="0" borderId="50" xfId="0" applyFont="1" applyBorder="1"/>
    <xf numFmtId="165" fontId="6" fillId="4" borderId="66" xfId="0" applyNumberFormat="1" applyFont="1" applyFill="1" applyBorder="1" applyAlignment="1">
      <alignment horizontal="center" vertical="center" wrapText="1"/>
    </xf>
    <xf numFmtId="0" fontId="6" fillId="5" borderId="61" xfId="0" applyFont="1" applyFill="1" applyBorder="1" applyAlignment="1">
      <alignment horizontal="justify" vertical="center"/>
    </xf>
    <xf numFmtId="3" fontId="3" fillId="5" borderId="65" xfId="0" applyNumberFormat="1" applyFont="1" applyFill="1" applyBorder="1" applyAlignment="1">
      <alignment horizontal="center" vertical="center"/>
    </xf>
    <xf numFmtId="165" fontId="3" fillId="5" borderId="66" xfId="0" applyNumberFormat="1" applyFont="1" applyFill="1" applyBorder="1" applyAlignment="1">
      <alignment horizontal="right" vertical="center" wrapText="1"/>
    </xf>
    <xf numFmtId="0" fontId="10" fillId="0" borderId="32" xfId="0" applyFont="1" applyBorder="1"/>
    <xf numFmtId="165" fontId="10" fillId="0" borderId="34" xfId="0" applyNumberFormat="1" applyFont="1" applyBorder="1"/>
    <xf numFmtId="37" fontId="6" fillId="4" borderId="65" xfId="6" applyNumberFormat="1" applyFont="1" applyFill="1" applyBorder="1" applyAlignment="1">
      <alignment horizontal="center" vertical="center"/>
    </xf>
    <xf numFmtId="0" fontId="6" fillId="4" borderId="61" xfId="0" applyFont="1" applyFill="1" applyBorder="1" applyAlignment="1">
      <alignment vertical="center"/>
    </xf>
    <xf numFmtId="37" fontId="3" fillId="5" borderId="65" xfId="6" applyNumberFormat="1" applyFont="1" applyFill="1" applyBorder="1" applyAlignment="1">
      <alignment horizontal="center" vertical="center"/>
    </xf>
    <xf numFmtId="168" fontId="3" fillId="5" borderId="61" xfId="4" applyNumberFormat="1" applyFont="1" applyFill="1" applyBorder="1" applyAlignment="1">
      <alignment horizontal="center" vertical="center" wrapText="1"/>
    </xf>
    <xf numFmtId="165" fontId="6" fillId="4" borderId="52" xfId="0" applyNumberFormat="1" applyFont="1" applyFill="1" applyBorder="1" applyAlignment="1">
      <alignment horizontal="center" vertical="center" wrapText="1"/>
    </xf>
    <xf numFmtId="165" fontId="3" fillId="5" borderId="61" xfId="0" applyNumberFormat="1" applyFont="1" applyFill="1" applyBorder="1" applyAlignment="1" applyProtection="1">
      <alignment horizontal="right" vertical="center" wrapText="1"/>
      <protection locked="0"/>
    </xf>
    <xf numFmtId="165" fontId="3" fillId="0" borderId="61" xfId="0" applyNumberFormat="1" applyFont="1" applyBorder="1" applyAlignment="1" applyProtection="1">
      <alignment horizontal="right" vertical="center" wrapText="1"/>
      <protection locked="0"/>
    </xf>
    <xf numFmtId="0" fontId="6" fillId="0" borderId="33" xfId="0" applyFont="1" applyBorder="1" applyAlignment="1" applyProtection="1">
      <alignment horizontal="right" vertical="center" wrapText="1"/>
      <protection locked="0"/>
    </xf>
    <xf numFmtId="165" fontId="6" fillId="4" borderId="52" xfId="0" applyNumberFormat="1" applyFont="1" applyFill="1" applyBorder="1" applyAlignment="1" applyProtection="1">
      <alignment horizontal="center" vertical="center" wrapText="1"/>
      <protection locked="0"/>
    </xf>
    <xf numFmtId="0" fontId="10" fillId="0" borderId="33" xfId="0" applyFont="1" applyBorder="1" applyProtection="1">
      <protection locked="0"/>
    </xf>
    <xf numFmtId="165" fontId="13" fillId="0" borderId="61" xfId="0" applyNumberFormat="1" applyFont="1" applyBorder="1" applyAlignment="1" applyProtection="1">
      <alignment horizontal="right" vertical="center" wrapText="1"/>
      <protection locked="0"/>
    </xf>
    <xf numFmtId="165" fontId="13" fillId="5" borderId="61" xfId="0" applyNumberFormat="1" applyFont="1" applyFill="1" applyBorder="1" applyAlignment="1" applyProtection="1">
      <alignment horizontal="right" vertical="center" wrapText="1"/>
      <protection locked="0"/>
    </xf>
    <xf numFmtId="0" fontId="3" fillId="5" borderId="61" xfId="0" applyFont="1" applyFill="1" applyBorder="1" applyAlignment="1" applyProtection="1">
      <alignment horizontal="right" vertical="center" wrapText="1"/>
      <protection locked="0"/>
    </xf>
    <xf numFmtId="165" fontId="3" fillId="0" borderId="61" xfId="5" applyNumberFormat="1" applyFont="1" applyBorder="1" applyAlignment="1" applyProtection="1">
      <alignment horizontal="right" vertical="center" wrapText="1"/>
      <protection locked="0"/>
    </xf>
    <xf numFmtId="0" fontId="6" fillId="0" borderId="50" xfId="0" applyFont="1" applyBorder="1" applyAlignment="1" applyProtection="1">
      <alignment horizontal="right" vertical="center" wrapText="1"/>
      <protection locked="0"/>
    </xf>
    <xf numFmtId="165" fontId="3" fillId="5" borderId="61" xfId="5" applyNumberFormat="1" applyFont="1" applyFill="1" applyBorder="1" applyAlignment="1" applyProtection="1">
      <alignment horizontal="right" vertical="center" wrapText="1"/>
      <protection locked="0"/>
    </xf>
    <xf numFmtId="0" fontId="3" fillId="0" borderId="0" xfId="0" applyFont="1" applyAlignment="1" applyProtection="1">
      <alignment horizontal="right" vertical="center" wrapText="1"/>
      <protection locked="0"/>
    </xf>
    <xf numFmtId="165" fontId="3" fillId="0" borderId="61" xfId="4" applyNumberFormat="1" applyFont="1" applyBorder="1" applyAlignment="1">
      <alignment horizontal="center" vertical="center" wrapText="1"/>
    </xf>
    <xf numFmtId="165" fontId="3" fillId="5" borderId="61" xfId="4" applyNumberFormat="1" applyFont="1" applyFill="1" applyBorder="1" applyAlignment="1">
      <alignment horizontal="center" vertical="center" wrapText="1"/>
    </xf>
    <xf numFmtId="165" fontId="6" fillId="0" borderId="33" xfId="0" applyNumberFormat="1" applyFont="1" applyBorder="1" applyAlignment="1">
      <alignment horizontal="center" vertical="center" wrapText="1"/>
    </xf>
    <xf numFmtId="165" fontId="10" fillId="0" borderId="33" xfId="0" applyNumberFormat="1" applyFont="1" applyBorder="1"/>
    <xf numFmtId="165" fontId="13" fillId="0" borderId="61" xfId="4" applyNumberFormat="1" applyFont="1" applyBorder="1" applyAlignment="1">
      <alignment horizontal="center" vertical="center" wrapText="1"/>
    </xf>
    <xf numFmtId="165" fontId="3" fillId="5" borderId="61" xfId="0" applyNumberFormat="1" applyFont="1" applyFill="1" applyBorder="1" applyAlignment="1">
      <alignment horizontal="center" vertical="center" wrapText="1"/>
    </xf>
    <xf numFmtId="165" fontId="3" fillId="0" borderId="61" xfId="0" applyNumberFormat="1" applyFont="1" applyBorder="1" applyAlignment="1">
      <alignment horizontal="center" vertical="center" wrapText="1"/>
    </xf>
    <xf numFmtId="165" fontId="6" fillId="0" borderId="50" xfId="0" applyNumberFormat="1" applyFont="1" applyBorder="1" applyAlignment="1">
      <alignment horizontal="center" vertical="center" wrapText="1"/>
    </xf>
    <xf numFmtId="165" fontId="3" fillId="0" borderId="18" xfId="8" applyNumberFormat="1" applyFont="1" applyFill="1" applyBorder="1" applyAlignment="1" applyProtection="1">
      <alignment vertical="center"/>
      <protection locked="0"/>
    </xf>
    <xf numFmtId="165" fontId="6" fillId="4" borderId="0" xfId="0" applyNumberFormat="1" applyFont="1" applyFill="1" applyAlignment="1">
      <alignment horizontal="right" vertical="center" wrapText="1"/>
    </xf>
    <xf numFmtId="0" fontId="3" fillId="0" borderId="5" xfId="1" applyFont="1" applyBorder="1" applyAlignment="1">
      <alignment horizontal="center" vertical="center" wrapText="1"/>
    </xf>
    <xf numFmtId="0" fontId="6" fillId="0" borderId="0" xfId="0" applyFont="1" applyAlignment="1">
      <alignment horizontal="center" vertical="center"/>
    </xf>
    <xf numFmtId="0" fontId="3" fillId="2" borderId="0" xfId="0" applyFont="1" applyFill="1" applyAlignment="1">
      <alignment horizontal="center" vertical="center" wrapText="1"/>
    </xf>
    <xf numFmtId="0" fontId="3" fillId="3" borderId="0" xfId="0" applyFont="1" applyFill="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xf>
    <xf numFmtId="0" fontId="6" fillId="0" borderId="24" xfId="7" applyFont="1" applyBorder="1" applyAlignment="1">
      <alignment vertical="center"/>
    </xf>
    <xf numFmtId="0" fontId="6" fillId="0" borderId="25" xfId="7" applyFont="1" applyBorder="1" applyAlignment="1">
      <alignment vertical="center"/>
    </xf>
    <xf numFmtId="4" fontId="6" fillId="0" borderId="25" xfId="7" applyNumberFormat="1" applyFont="1" applyBorder="1" applyAlignment="1">
      <alignment vertical="center"/>
    </xf>
    <xf numFmtId="3" fontId="3" fillId="0" borderId="15" xfId="7" applyNumberFormat="1" applyFont="1" applyBorder="1" applyAlignment="1">
      <alignment vertical="center"/>
    </xf>
    <xf numFmtId="3" fontId="3" fillId="0" borderId="16" xfId="7" applyNumberFormat="1" applyFont="1" applyBorder="1" applyAlignment="1">
      <alignment vertical="center"/>
    </xf>
    <xf numFmtId="3" fontId="3" fillId="0" borderId="17" xfId="7" applyNumberFormat="1" applyFont="1" applyBorder="1" applyAlignment="1">
      <alignment vertical="center"/>
    </xf>
    <xf numFmtId="0" fontId="6" fillId="0" borderId="29" xfId="7" applyFont="1" applyBorder="1" applyAlignment="1">
      <alignment vertical="center"/>
    </xf>
    <xf numFmtId="0" fontId="6" fillId="0" borderId="30" xfId="7" applyFont="1" applyBorder="1" applyAlignment="1">
      <alignment vertical="center"/>
    </xf>
    <xf numFmtId="3" fontId="3" fillId="0" borderId="15" xfId="7" applyNumberFormat="1" applyFont="1" applyBorder="1" applyAlignment="1">
      <alignment vertical="center" wrapText="1"/>
    </xf>
    <xf numFmtId="0" fontId="3" fillId="0" borderId="16" xfId="7" applyFont="1" applyBorder="1" applyAlignment="1">
      <alignment vertical="center" wrapText="1"/>
    </xf>
    <xf numFmtId="4" fontId="3" fillId="0" borderId="16" xfId="7" applyNumberFormat="1" applyFont="1" applyBorder="1" applyAlignment="1">
      <alignment vertical="center" wrapText="1"/>
    </xf>
    <xf numFmtId="0" fontId="3" fillId="0" borderId="19" xfId="7" applyFont="1" applyBorder="1" applyAlignment="1">
      <alignment vertical="center"/>
    </xf>
    <xf numFmtId="0" fontId="3" fillId="0" borderId="20" xfId="7" applyFont="1" applyBorder="1" applyAlignment="1">
      <alignment vertical="center"/>
    </xf>
    <xf numFmtId="4" fontId="3" fillId="0" borderId="20" xfId="7" applyNumberFormat="1" applyFont="1" applyBorder="1" applyAlignment="1">
      <alignment vertical="center"/>
    </xf>
    <xf numFmtId="3" fontId="3" fillId="0" borderId="19" xfId="7" applyNumberFormat="1" applyFont="1" applyBorder="1" applyAlignment="1">
      <alignment vertical="center"/>
    </xf>
    <xf numFmtId="0" fontId="6" fillId="0" borderId="19" xfId="7" applyFont="1" applyBorder="1" applyAlignment="1">
      <alignment vertical="center"/>
    </xf>
    <xf numFmtId="0" fontId="6" fillId="0" borderId="20" xfId="7" applyFont="1" applyBorder="1" applyAlignment="1">
      <alignment vertical="center"/>
    </xf>
    <xf numFmtId="4" fontId="6" fillId="0" borderId="20" xfId="7" applyNumberFormat="1" applyFont="1" applyBorder="1" applyAlignment="1">
      <alignment vertical="center"/>
    </xf>
    <xf numFmtId="0" fontId="24" fillId="8" borderId="36" xfId="13" applyFont="1" applyFill="1" applyBorder="1" applyAlignment="1" applyProtection="1">
      <alignment horizontal="center" vertical="center"/>
      <protection hidden="1"/>
    </xf>
    <xf numFmtId="10" fontId="17" fillId="0" borderId="36" xfId="11" applyNumberFormat="1" applyFont="1" applyBorder="1" applyAlignment="1" applyProtection="1">
      <alignment horizontal="center" vertical="center"/>
      <protection hidden="1"/>
    </xf>
    <xf numFmtId="1" fontId="17" fillId="0" borderId="36" xfId="11" applyNumberFormat="1" applyFont="1" applyBorder="1" applyAlignment="1" applyProtection="1">
      <alignment horizontal="center" vertical="center"/>
      <protection hidden="1"/>
    </xf>
    <xf numFmtId="0" fontId="19" fillId="0" borderId="0" xfId="11" applyFont="1" applyAlignment="1" applyProtection="1">
      <alignment horizontal="center" vertical="center"/>
      <protection hidden="1"/>
    </xf>
    <xf numFmtId="0" fontId="19" fillId="0" borderId="35" xfId="11" applyFont="1" applyBorder="1" applyAlignment="1" applyProtection="1">
      <alignment horizontal="center" vertical="center"/>
      <protection hidden="1"/>
    </xf>
    <xf numFmtId="0" fontId="19" fillId="0" borderId="37" xfId="11" applyFont="1" applyBorder="1" applyAlignment="1" applyProtection="1">
      <alignment horizontal="center" vertical="center"/>
      <protection hidden="1"/>
    </xf>
    <xf numFmtId="0" fontId="19" fillId="0" borderId="38" xfId="11" applyFont="1" applyBorder="1" applyAlignment="1" applyProtection="1">
      <alignment horizontal="center" vertical="center"/>
      <protection hidden="1"/>
    </xf>
    <xf numFmtId="0" fontId="21" fillId="0" borderId="36" xfId="12" applyFont="1" applyBorder="1" applyAlignment="1" applyProtection="1">
      <alignment horizontal="center" vertical="center" wrapText="1"/>
      <protection hidden="1"/>
    </xf>
    <xf numFmtId="0" fontId="20" fillId="7" borderId="36" xfId="11" applyFont="1" applyFill="1" applyBorder="1" applyAlignment="1" applyProtection="1">
      <alignment horizontal="center" vertical="center"/>
      <protection hidden="1"/>
    </xf>
    <xf numFmtId="165" fontId="17" fillId="0" borderId="36" xfId="11" applyNumberFormat="1" applyFont="1" applyBorder="1" applyAlignment="1" applyProtection="1">
      <alignment horizontal="center" vertical="center"/>
      <protection hidden="1"/>
    </xf>
    <xf numFmtId="9" fontId="14" fillId="0" borderId="36" xfId="11" applyNumberFormat="1" applyFont="1" applyBorder="1" applyAlignment="1" applyProtection="1">
      <alignment horizontal="center" vertical="center"/>
      <protection hidden="1"/>
    </xf>
    <xf numFmtId="2" fontId="14" fillId="0" borderId="39" xfId="11" applyNumberFormat="1" applyFont="1" applyBorder="1" applyAlignment="1" applyProtection="1">
      <alignment horizontal="center" vertical="center"/>
      <protection hidden="1"/>
    </xf>
    <xf numFmtId="2" fontId="14" fillId="0" borderId="42" xfId="11" applyNumberFormat="1" applyFont="1" applyBorder="1" applyAlignment="1" applyProtection="1">
      <alignment horizontal="center" vertical="center"/>
      <protection hidden="1"/>
    </xf>
    <xf numFmtId="173" fontId="26" fillId="6" borderId="40" xfId="11" applyNumberFormat="1" applyFont="1" applyFill="1" applyBorder="1" applyAlignment="1" applyProtection="1">
      <alignment horizontal="center" vertical="center"/>
      <protection hidden="1"/>
    </xf>
    <xf numFmtId="0" fontId="29" fillId="9" borderId="35" xfId="13" applyFont="1" applyFill="1" applyBorder="1" applyAlignment="1" applyProtection="1">
      <alignment horizontal="center" vertical="center"/>
      <protection hidden="1"/>
    </xf>
    <xf numFmtId="49" fontId="20" fillId="6" borderId="45" xfId="11" applyNumberFormat="1" applyFont="1" applyFill="1" applyBorder="1" applyAlignment="1" applyProtection="1">
      <alignment horizontal="center" vertical="center" wrapText="1"/>
      <protection hidden="1"/>
    </xf>
    <xf numFmtId="49" fontId="20" fillId="6" borderId="35" xfId="11" applyNumberFormat="1" applyFont="1" applyFill="1" applyBorder="1" applyAlignment="1" applyProtection="1">
      <alignment horizontal="center" vertical="center" wrapText="1"/>
      <protection hidden="1"/>
    </xf>
    <xf numFmtId="49" fontId="20" fillId="6" borderId="39" xfId="11" applyNumberFormat="1" applyFont="1" applyFill="1" applyBorder="1" applyAlignment="1" applyProtection="1">
      <alignment horizontal="center" vertical="center" wrapText="1"/>
      <protection hidden="1"/>
    </xf>
    <xf numFmtId="49" fontId="20" fillId="6" borderId="42" xfId="11" applyNumberFormat="1" applyFont="1" applyFill="1" applyBorder="1" applyAlignment="1" applyProtection="1">
      <alignment horizontal="center" vertical="center" wrapText="1"/>
      <protection hidden="1"/>
    </xf>
    <xf numFmtId="0" fontId="31" fillId="11" borderId="35" xfId="13" applyFont="1" applyFill="1" applyBorder="1" applyAlignment="1" applyProtection="1">
      <alignment horizontal="center" vertical="center"/>
      <protection hidden="1"/>
    </xf>
    <xf numFmtId="0" fontId="6" fillId="0" borderId="0" xfId="0" applyFont="1" applyAlignment="1" applyProtection="1">
      <alignment horizontal="center" vertical="center"/>
      <protection locked="0"/>
    </xf>
    <xf numFmtId="3" fontId="35" fillId="12" borderId="57" xfId="16" applyNumberFormat="1" applyFont="1" applyFill="1" applyBorder="1" applyAlignment="1">
      <alignment horizontal="center" vertical="center" wrapText="1"/>
    </xf>
    <xf numFmtId="3" fontId="35" fillId="12" borderId="21" xfId="16" applyNumberFormat="1" applyFont="1" applyFill="1" applyBorder="1" applyAlignment="1">
      <alignment horizontal="center" vertical="center" wrapText="1"/>
    </xf>
    <xf numFmtId="3" fontId="35" fillId="12" borderId="57" xfId="16" applyNumberFormat="1" applyFont="1" applyFill="1" applyBorder="1" applyAlignment="1">
      <alignment horizontal="center" vertical="center"/>
    </xf>
    <xf numFmtId="3" fontId="35" fillId="12" borderId="21" xfId="16" applyNumberFormat="1" applyFont="1" applyFill="1" applyBorder="1" applyAlignment="1">
      <alignment horizontal="center" vertical="center"/>
    </xf>
    <xf numFmtId="0" fontId="36" fillId="0" borderId="59" xfId="0" applyFont="1" applyBorder="1" applyAlignment="1" applyProtection="1">
      <alignment vertical="center" wrapText="1"/>
      <protection locked="0"/>
    </xf>
    <xf numFmtId="0" fontId="37" fillId="10" borderId="0" xfId="16" applyFont="1" applyFill="1" applyAlignment="1" applyProtection="1">
      <alignment horizontal="center" vertical="center" wrapText="1"/>
      <protection locked="0"/>
    </xf>
    <xf numFmtId="0" fontId="33" fillId="12" borderId="19" xfId="16" applyFont="1" applyFill="1" applyBorder="1" applyAlignment="1">
      <alignment vertical="center" wrapText="1"/>
    </xf>
    <xf numFmtId="0" fontId="33" fillId="12" borderId="21" xfId="16" applyFont="1" applyFill="1" applyBorder="1" applyAlignment="1">
      <alignment vertical="center" wrapText="1"/>
    </xf>
    <xf numFmtId="3" fontId="35" fillId="12" borderId="20" xfId="16" applyNumberFormat="1" applyFont="1" applyFill="1" applyBorder="1" applyAlignment="1">
      <alignment horizontal="center" vertical="center" wrapText="1"/>
    </xf>
    <xf numFmtId="0" fontId="35" fillId="12" borderId="57" xfId="16" applyFont="1" applyFill="1" applyBorder="1" applyAlignment="1">
      <alignment horizontal="center" vertical="center" wrapText="1"/>
    </xf>
    <xf numFmtId="0" fontId="35" fillId="12" borderId="21" xfId="16" applyFont="1" applyFill="1" applyBorder="1" applyAlignment="1">
      <alignment horizontal="center" vertical="center" wrapText="1"/>
    </xf>
  </cellXfs>
  <cellStyles count="18">
    <cellStyle name="Hipervínculo" xfId="10" builtinId="8"/>
    <cellStyle name="Hipervínculo 3" xfId="13" xr:uid="{A7BA82D4-F971-4684-BB7D-9ECEA78F70F7}"/>
    <cellStyle name="Millares 11" xfId="4" xr:uid="{61ABB4FC-E445-4AFC-A322-16BC39FDAF91}"/>
    <cellStyle name="Millares 2 77 2 3" xfId="14" xr:uid="{EBBD0527-C961-46EC-B06D-F3B9F06A3A16}"/>
    <cellStyle name="Millares_FORMULARIO 4 - M-OFERENTE PPTA ECONOMICA" xfId="17" xr:uid="{4BD6E379-C39B-4CA4-B0A4-74DA70ABBCA2}"/>
    <cellStyle name="Moneda 2 2 2 2 2" xfId="8" xr:uid="{ADA42CFD-7054-4975-A38E-6D4C805BF6A9}"/>
    <cellStyle name="Moneda 2 4" xfId="5" xr:uid="{713F3471-5BDF-4AF4-A8E3-BF6B6706B965}"/>
    <cellStyle name="Normal" xfId="0" builtinId="0"/>
    <cellStyle name="Normal 10 2" xfId="11" xr:uid="{722AE4A9-5868-45F1-9BBC-B5AAFBEB6161}"/>
    <cellStyle name="Normal 12 2 2" xfId="12" xr:uid="{35519BB2-AA0B-40A5-B125-FB3449F5B0DA}"/>
    <cellStyle name="Normal 2" xfId="3" xr:uid="{0BA45865-B903-4BC7-81F6-D752C5B4BF40}"/>
    <cellStyle name="Normal 2 10 2 2" xfId="9" xr:uid="{3C004B3D-9415-421E-AAD2-459B6D09C847}"/>
    <cellStyle name="Normal 3" xfId="1" xr:uid="{D7F9CB4B-A731-4752-8D43-31705AB57621}"/>
    <cellStyle name="Normal 3 11" xfId="16" xr:uid="{4653FD68-032B-4FD3-93E0-B76BFDDDEA26}"/>
    <cellStyle name="Normal 3 2 2" xfId="7" xr:uid="{C2325319-BD8E-4251-BE0B-59CCD04CEF04}"/>
    <cellStyle name="Normal 4" xfId="2" xr:uid="{B9D8DD87-F21B-4E9E-A0C0-05A82C85FD22}"/>
    <cellStyle name="Normal_Libro1" xfId="6" xr:uid="{9589FECE-3C50-4EED-8A62-75FAF5DAC1C0}"/>
    <cellStyle name="Porcentaje 2 2" xfId="15" xr:uid="{CFC01513-113B-49B4-95BA-FAC280954B69}"/>
  </cellStyles>
  <dxfs count="29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alignment horizontal="left" vertical="center" textRotation="0" wrapText="1" indent="0" justifyLastLine="0" shrinkToFit="0" readingOrder="0"/>
      <protection locked="1"/>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alignment horizontal="left" vertical="center" textRotation="0" wrapText="1" indent="0" justifyLastLine="0" shrinkToFit="0" readingOrder="0"/>
      <protection locked="1"/>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protection locked="1"/>
    </dxf>
    <dxf>
      <border outline="0">
        <right style="thin">
          <color theme="1" tint="0.499984740745262"/>
        </right>
        <top style="thin">
          <color theme="1" tint="0.499984740745262"/>
        </top>
        <bottom style="thin">
          <color theme="1" tint="0.499984740745262"/>
        </bottom>
      </border>
    </dxf>
    <dxf>
      <font>
        <strike val="0"/>
        <outline val="0"/>
        <shadow val="0"/>
        <u val="none"/>
        <vertAlign val="baseline"/>
        <sz val="10"/>
        <name val="Calibri"/>
        <family val="2"/>
        <scheme val="minor"/>
      </font>
      <protection locked="1"/>
    </dxf>
    <dxf>
      <border outline="0">
        <bottom style="thin">
          <color theme="1" tint="0.499984740745262"/>
        </bottom>
      </border>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alignment horizontal="justify" vertical="center" textRotation="0" wrapText="1" indent="0" justifyLastLine="0" shrinkToFit="0" readingOrder="0"/>
      <protection locked="1"/>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protection locked="1"/>
    </dxf>
    <dxf>
      <border outline="0">
        <top style="thin">
          <color theme="1" tint="0.499984740745262"/>
        </top>
      </border>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8" formatCode="#,##0.0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theme="1"/>
        <name val="Calibri"/>
        <family val="2"/>
        <scheme val="minor"/>
      </font>
      <numFmt numFmtId="165" formatCode="&quot;$&quot;\ #,##0.00"/>
      <protection locked="1"/>
    </dxf>
    <dxf>
      <font>
        <strike val="0"/>
        <outline val="0"/>
        <shadow val="0"/>
        <u val="none"/>
        <vertAlign val="baseline"/>
        <sz val="10"/>
        <name val="Calibri"/>
        <family val="2"/>
        <scheme val="minor"/>
      </font>
      <numFmt numFmtId="165" formatCode="&quot;$&quot;\ #,##0.00"/>
      <protection locked="1"/>
    </dxf>
    <dxf>
      <font>
        <b val="0"/>
        <i val="0"/>
        <strike val="0"/>
        <condense val="0"/>
        <extend val="0"/>
        <outline val="0"/>
        <shadow val="0"/>
        <u val="none"/>
        <vertAlign val="baseline"/>
        <sz val="10"/>
        <color theme="1"/>
        <name val="Calibri"/>
        <family val="2"/>
        <scheme val="minor"/>
      </font>
      <protection locked="1"/>
    </dxf>
    <dxf>
      <font>
        <strike val="0"/>
        <outline val="0"/>
        <shadow val="0"/>
        <u val="none"/>
        <vertAlign val="baseline"/>
        <sz val="10"/>
        <name val="Calibri"/>
        <family val="2"/>
        <scheme val="minor"/>
      </font>
      <numFmt numFmtId="165" formatCode="&quot;$&quot;\ #,##0.00"/>
      <protection locked="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alignment horizontal="left" vertical="center" textRotation="0" wrapText="1" indent="0" justifyLastLine="0" shrinkToFit="0" readingOrder="0"/>
      <protection locked="1"/>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numFmt numFmtId="5" formatCode="#,##0;\-#,##0"/>
      <alignment horizontal="center" vertical="center" textRotation="0" wrapText="0" indent="0" justifyLastLine="0" shrinkToFit="0" readingOrder="0"/>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alignment horizontal="left" vertical="center" textRotation="0" wrapText="1" indent="0" justifyLastLine="0" shrinkToFit="0" readingOrder="0"/>
      <protection locked="1"/>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theme="1"/>
        <name val="Calibri"/>
        <family val="2"/>
        <scheme val="minor"/>
      </font>
      <numFmt numFmtId="165" formatCode="&quot;$&quot;\ #,##0.00"/>
      <protection locked="1"/>
    </dxf>
    <dxf>
      <font>
        <strike val="0"/>
        <outline val="0"/>
        <shadow val="0"/>
        <u val="none"/>
        <vertAlign val="baseline"/>
        <sz val="10"/>
        <name val="Calibri"/>
        <family val="2"/>
        <scheme val="minor"/>
      </font>
      <numFmt numFmtId="165" formatCode="&quot;$&quot;\ #,##0.00"/>
      <protection locked="1"/>
    </dxf>
    <dxf>
      <font>
        <b val="0"/>
        <i val="0"/>
        <strike val="0"/>
        <condense val="0"/>
        <extend val="0"/>
        <outline val="0"/>
        <shadow val="0"/>
        <u val="none"/>
        <vertAlign val="baseline"/>
        <sz val="10"/>
        <color theme="1"/>
        <name val="Calibri"/>
        <family val="2"/>
        <scheme val="minor"/>
      </font>
      <protection locked="1"/>
    </dxf>
    <dxf>
      <font>
        <strike val="0"/>
        <outline val="0"/>
        <shadow val="0"/>
        <u val="none"/>
        <vertAlign val="baseline"/>
        <sz val="10"/>
        <name val="Calibri"/>
        <family val="2"/>
        <scheme val="minor"/>
      </font>
      <numFmt numFmtId="165" formatCode="&quot;$&quot;\ #,##0.00"/>
      <protection locked="1"/>
    </dxf>
    <dxf>
      <font>
        <b val="0"/>
        <i val="0"/>
        <strike val="0"/>
        <condense val="0"/>
        <extend val="0"/>
        <outline val="0"/>
        <shadow val="0"/>
        <u val="none"/>
        <vertAlign val="baseline"/>
        <sz val="10"/>
        <color theme="1"/>
        <name val="Calibri"/>
        <family val="2"/>
        <scheme val="minor"/>
      </font>
      <protection locked="1"/>
    </dxf>
    <dxf>
      <font>
        <strike val="0"/>
        <outline val="0"/>
        <shadow val="0"/>
        <u val="none"/>
        <vertAlign val="baseline"/>
        <sz val="10"/>
        <name val="Calibri"/>
        <family val="2"/>
        <scheme val="minor"/>
      </font>
      <numFmt numFmtId="4" formatCode="#,##0.00"/>
      <fill>
        <patternFill patternType="none">
          <fgColor indexed="64"/>
          <bgColor auto="1"/>
        </patternFill>
      </fill>
      <protection locked="1"/>
    </dxf>
    <dxf>
      <font>
        <b val="0"/>
        <i val="0"/>
        <strike val="0"/>
        <condense val="0"/>
        <extend val="0"/>
        <outline val="0"/>
        <shadow val="0"/>
        <u val="none"/>
        <vertAlign val="baseline"/>
        <sz val="10"/>
        <color theme="1"/>
        <name val="Calibri"/>
        <family val="2"/>
        <scheme val="minor"/>
      </font>
      <protection locked="1"/>
    </dxf>
    <dxf>
      <font>
        <strike val="0"/>
        <outline val="0"/>
        <shadow val="0"/>
        <u val="none"/>
        <vertAlign val="baseline"/>
        <sz val="10"/>
        <name val="Calibri"/>
        <family val="2"/>
        <scheme val="minor"/>
      </font>
      <numFmt numFmtId="0" formatCode="General"/>
      <protection locked="1"/>
    </dxf>
    <dxf>
      <font>
        <b val="0"/>
        <i val="0"/>
        <strike val="0"/>
        <condense val="0"/>
        <extend val="0"/>
        <outline val="0"/>
        <shadow val="0"/>
        <u val="none"/>
        <vertAlign val="baseline"/>
        <sz val="10"/>
        <color theme="1"/>
        <name val="Calibri"/>
        <family val="2"/>
        <scheme val="minor"/>
      </font>
      <protection locked="1"/>
    </dxf>
    <dxf>
      <font>
        <strike val="0"/>
        <outline val="0"/>
        <shadow val="0"/>
        <u val="none"/>
        <vertAlign val="baseline"/>
        <sz val="10"/>
        <name val="Calibri"/>
        <family val="2"/>
        <scheme val="minor"/>
      </font>
      <numFmt numFmtId="0" formatCode="General"/>
      <protection locked="1"/>
    </dxf>
    <dxf>
      <font>
        <b val="0"/>
        <i val="0"/>
        <strike val="0"/>
        <condense val="0"/>
        <extend val="0"/>
        <outline val="0"/>
        <shadow val="0"/>
        <u val="none"/>
        <vertAlign val="baseline"/>
        <sz val="10"/>
        <color theme="1"/>
        <name val="Calibri"/>
        <family val="2"/>
        <scheme val="minor"/>
      </font>
      <protection locked="1"/>
    </dxf>
    <dxf>
      <font>
        <b val="0"/>
        <i val="0"/>
        <strike val="0"/>
        <condense val="0"/>
        <extend val="0"/>
        <outline val="0"/>
        <shadow val="0"/>
        <u val="none"/>
        <vertAlign val="baseline"/>
        <sz val="10"/>
        <color auto="1"/>
        <name val="Calibri"/>
        <family val="2"/>
        <scheme val="minor"/>
      </font>
      <numFmt numFmtId="3" formatCode="#,##0"/>
      <alignment horizontal="center" vertical="center" textRotation="0" wrapText="0" indent="0" justifyLastLine="0" shrinkToFit="0" readingOrder="0"/>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dxf>
    <dxf>
      <font>
        <b val="0"/>
        <i val="0"/>
        <strike val="0"/>
        <condense val="0"/>
        <extend val="0"/>
        <outline val="0"/>
        <shadow val="0"/>
        <u val="none"/>
        <vertAlign val="baseline"/>
        <sz val="10"/>
        <color theme="1"/>
        <name val="Calibri"/>
        <family val="2"/>
        <scheme val="minor"/>
      </font>
      <protection locked="1"/>
    </dxf>
    <dxf>
      <font>
        <strike val="0"/>
        <outline val="0"/>
        <shadow val="0"/>
        <u val="none"/>
        <vertAlign val="baseline"/>
        <sz val="10"/>
        <name val="Calibri"/>
        <family val="2"/>
        <scheme val="minor"/>
      </font>
      <numFmt numFmtId="0" formatCode="General"/>
      <protection locked="1"/>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alignment horizontal="left" vertical="center" textRotation="0" wrapText="1" indent="0" justifyLastLine="0" shrinkToFit="0" readingOrder="0"/>
      <protection locked="1"/>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alignment horizontal="left" vertical="center" textRotation="0" wrapText="1" indent="0" justifyLastLine="0" shrinkToFit="0" readingOrder="0"/>
      <protection locked="1"/>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auto="1"/>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auto="1"/>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protection locked="1"/>
    </dxf>
    <dxf>
      <font>
        <strike val="0"/>
        <outline val="0"/>
        <shadow val="0"/>
        <u val="none"/>
        <vertAlign val="baseline"/>
        <sz val="10"/>
        <name val="Calibri"/>
        <family val="2"/>
        <scheme val="minor"/>
      </font>
      <numFmt numFmtId="0" formatCode="General"/>
      <fill>
        <patternFill patternType="none">
          <fgColor indexed="64"/>
          <bgColor auto="1"/>
        </patternFill>
      </fill>
      <protection locked="1"/>
    </dxf>
    <dxf>
      <font>
        <b val="0"/>
        <i val="0"/>
        <strike val="0"/>
        <condense val="0"/>
        <extend val="0"/>
        <outline val="0"/>
        <shadow val="0"/>
        <u val="none"/>
        <vertAlign val="baseline"/>
        <sz val="10"/>
        <color theme="1"/>
        <name val="Calibri"/>
        <family val="2"/>
        <scheme val="minor"/>
      </font>
      <protection locked="1"/>
    </dxf>
    <dxf>
      <font>
        <strike val="0"/>
        <outline val="0"/>
        <shadow val="0"/>
        <u val="none"/>
        <vertAlign val="baseline"/>
        <sz val="10"/>
        <name val="Calibri"/>
        <family val="2"/>
        <scheme val="minor"/>
      </font>
      <numFmt numFmtId="0" formatCode="General"/>
      <fill>
        <patternFill patternType="none">
          <fgColor indexed="64"/>
          <bgColor auto="1"/>
        </patternFill>
      </fill>
      <protection locked="1"/>
    </dxf>
    <dxf>
      <font>
        <b val="0"/>
        <i val="0"/>
        <strike val="0"/>
        <condense val="0"/>
        <extend val="0"/>
        <outline val="0"/>
        <shadow val="0"/>
        <u val="none"/>
        <vertAlign val="baseline"/>
        <sz val="10"/>
        <color theme="1"/>
        <name val="Calibri"/>
        <family val="2"/>
        <scheme val="minor"/>
      </font>
      <protection locked="1"/>
    </dxf>
    <dxf>
      <font>
        <strike val="0"/>
        <outline val="0"/>
        <shadow val="0"/>
        <u val="none"/>
        <vertAlign val="baseline"/>
        <sz val="10"/>
        <name val="Calibri"/>
        <family val="2"/>
        <scheme val="minor"/>
      </font>
      <fill>
        <patternFill patternType="none">
          <fgColor indexed="64"/>
          <bgColor auto="1"/>
        </patternFill>
      </fill>
      <protection locked="1"/>
    </dxf>
    <dxf>
      <font>
        <strike val="0"/>
        <outline val="0"/>
        <shadow val="0"/>
        <u val="none"/>
        <vertAlign val="baseline"/>
        <sz val="10"/>
        <name val="Calibri"/>
        <family val="2"/>
        <scheme val="minor"/>
      </font>
      <protection locked="1"/>
    </dxf>
    <dxf>
      <border outline="0">
        <right style="thin">
          <color theme="1" tint="0.499984740745262"/>
        </right>
        <bottom style="thin">
          <color theme="1" tint="0.499984740745262"/>
        </bottom>
      </border>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protection locked="1"/>
    </dxf>
    <dxf>
      <border outline="0">
        <right style="thin">
          <color theme="1" tint="0.499984740745262"/>
        </right>
        <top style="thin">
          <color theme="1" tint="0.499984740745262"/>
        </top>
        <bottom style="thin">
          <color theme="1" tint="0.499984740745262"/>
        </bottom>
      </border>
    </dxf>
    <dxf>
      <font>
        <strike val="0"/>
        <outline val="0"/>
        <shadow val="0"/>
        <u val="none"/>
        <vertAlign val="baseline"/>
        <sz val="10"/>
        <name val="Calibri"/>
        <family val="2"/>
        <scheme val="minor"/>
      </font>
      <protection locked="1"/>
    </dxf>
    <dxf>
      <border outline="0">
        <bottom style="thin">
          <color theme="1" tint="0.499984740745262"/>
        </bottom>
      </border>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indexed="65"/>
        </patternFill>
      </fill>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lef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3" formatCode="#,##0"/>
      <fill>
        <patternFill patternType="none">
          <fgColor indexed="64"/>
          <bgColor indexed="65"/>
        </patternFill>
      </fill>
      <alignment horizontal="center" vertical="center" textRotation="0" wrapText="1" indent="0" justifyLastLine="0" shrinkToFit="0" readingOrder="0"/>
      <protection locked="1"/>
    </dxf>
    <dxf>
      <font>
        <strike val="0"/>
        <outline val="0"/>
        <shadow val="0"/>
        <u val="none"/>
        <vertAlign val="baseline"/>
        <sz val="10"/>
        <name val="Calibri"/>
        <family val="2"/>
        <scheme val="minor"/>
      </font>
      <protection locked="1"/>
    </dxf>
    <dxf>
      <border outline="0">
        <top style="thin">
          <color theme="1" tint="0.499984740745262"/>
        </top>
      </border>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indexed="65"/>
        </patternFill>
      </fill>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lef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3" formatCode="#,##0"/>
      <fill>
        <patternFill patternType="none">
          <fgColor indexed="64"/>
          <bgColor indexed="65"/>
        </patternFill>
      </fill>
      <alignment horizontal="center" vertical="center" textRotation="0" wrapText="1" indent="0" justifyLastLine="0" shrinkToFit="0" readingOrder="0"/>
      <protection locked="1"/>
    </dxf>
    <dxf>
      <font>
        <strike val="0"/>
        <outline val="0"/>
        <shadow val="0"/>
        <u val="none"/>
        <vertAlign val="baseline"/>
        <sz val="10"/>
        <name val="Calibri"/>
        <family val="2"/>
        <scheme val="minor"/>
      </font>
      <protection locked="1"/>
    </dxf>
    <dxf>
      <border outline="0">
        <top style="thin">
          <color theme="1" tint="0.499984740745262"/>
        </top>
      </border>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theme="1"/>
        <name val="Calibri"/>
        <family val="2"/>
        <scheme val="minor"/>
      </font>
      <numFmt numFmtId="165" formatCode="&quot;$&quot;\ #,##0.00"/>
      <protection locked="1"/>
    </dxf>
    <dxf>
      <font>
        <strike val="0"/>
        <outline val="0"/>
        <shadow val="0"/>
        <u val="none"/>
        <vertAlign val="baseline"/>
        <sz val="10"/>
        <name val="Calibri"/>
        <family val="2"/>
        <scheme val="minor"/>
      </font>
      <numFmt numFmtId="165" formatCode="&quot;$&quot;\ #,##0.00"/>
      <fill>
        <patternFill patternType="none">
          <fgColor indexed="64"/>
          <bgColor auto="1"/>
        </patternFill>
      </fill>
      <protection locked="1"/>
    </dxf>
    <dxf>
      <font>
        <b val="0"/>
        <i val="0"/>
        <strike val="0"/>
        <condense val="0"/>
        <extend val="0"/>
        <outline val="0"/>
        <shadow val="0"/>
        <u val="none"/>
        <vertAlign val="baseline"/>
        <sz val="10"/>
        <color theme="1"/>
        <name val="Calibri"/>
        <family val="2"/>
        <scheme val="minor"/>
      </font>
      <protection locked="1"/>
    </dxf>
    <dxf>
      <font>
        <strike val="0"/>
        <outline val="0"/>
        <shadow val="0"/>
        <u val="none"/>
        <vertAlign val="baseline"/>
        <sz val="10"/>
        <name val="Calibri"/>
        <family val="2"/>
        <scheme val="minor"/>
      </font>
      <fill>
        <patternFill patternType="none">
          <fgColor indexed="64"/>
          <bgColor auto="1"/>
        </patternFill>
      </fill>
      <protection locked="1"/>
    </dxf>
    <dxf>
      <font>
        <b val="0"/>
        <i val="0"/>
        <strike val="0"/>
        <condense val="0"/>
        <extend val="0"/>
        <outline val="0"/>
        <shadow val="0"/>
        <u val="none"/>
        <vertAlign val="baseline"/>
        <sz val="10"/>
        <color theme="1"/>
        <name val="Calibri"/>
        <family val="2"/>
        <scheme val="minor"/>
      </font>
      <protection locked="1"/>
    </dxf>
    <dxf>
      <font>
        <strike val="0"/>
        <outline val="0"/>
        <shadow val="0"/>
        <u val="none"/>
        <vertAlign val="baseline"/>
        <sz val="10"/>
        <name val="Calibri"/>
        <family val="2"/>
        <scheme val="minor"/>
      </font>
      <numFmt numFmtId="4" formatCode="#,##0.00"/>
      <fill>
        <patternFill patternType="none">
          <fgColor indexed="64"/>
          <bgColor auto="1"/>
        </patternFill>
      </fill>
      <protection locked="1"/>
    </dxf>
    <dxf>
      <font>
        <b val="0"/>
        <i val="0"/>
        <strike val="0"/>
        <condense val="0"/>
        <extend val="0"/>
        <outline val="0"/>
        <shadow val="0"/>
        <u val="none"/>
        <vertAlign val="baseline"/>
        <sz val="10"/>
        <color theme="1"/>
        <name val="Calibri"/>
        <family val="2"/>
        <scheme val="minor"/>
      </font>
      <protection locked="1"/>
    </dxf>
    <dxf>
      <font>
        <strike val="0"/>
        <outline val="0"/>
        <shadow val="0"/>
        <u val="none"/>
        <vertAlign val="baseline"/>
        <sz val="10"/>
        <name val="Calibri"/>
        <family val="2"/>
        <scheme val="minor"/>
      </font>
      <fill>
        <patternFill patternType="none">
          <fgColor indexed="64"/>
          <bgColor auto="1"/>
        </patternFill>
      </fill>
      <protection locked="1"/>
    </dxf>
    <dxf>
      <font>
        <b val="0"/>
        <i val="0"/>
        <strike val="0"/>
        <condense val="0"/>
        <extend val="0"/>
        <outline val="0"/>
        <shadow val="0"/>
        <u val="none"/>
        <vertAlign val="baseline"/>
        <sz val="10"/>
        <color theme="1"/>
        <name val="Calibri"/>
        <family val="2"/>
        <scheme val="minor"/>
      </font>
      <protection locked="1"/>
    </dxf>
    <dxf>
      <font>
        <strike val="0"/>
        <outline val="0"/>
        <shadow val="0"/>
        <u val="none"/>
        <vertAlign val="baseline"/>
        <sz val="10"/>
        <name val="Calibri"/>
        <family val="2"/>
        <scheme val="minor"/>
      </font>
      <fill>
        <patternFill patternType="none">
          <fgColor indexed="64"/>
          <bgColor auto="1"/>
        </patternFill>
      </fill>
      <protection locked="1"/>
    </dxf>
    <dxf>
      <font>
        <b val="0"/>
        <i val="0"/>
        <strike val="0"/>
        <condense val="0"/>
        <extend val="0"/>
        <outline val="0"/>
        <shadow val="0"/>
        <u val="none"/>
        <vertAlign val="baseline"/>
        <sz val="10"/>
        <color theme="1"/>
        <name val="Calibri"/>
        <family val="2"/>
        <scheme val="minor"/>
      </font>
      <alignment horizontal="center" vertical="bottom" textRotation="0" wrapText="0" indent="0" justifyLastLine="0" shrinkToFit="0" readingOrder="0"/>
      <protection locked="1"/>
    </dxf>
    <dxf>
      <font>
        <strike val="0"/>
        <outline val="0"/>
        <shadow val="0"/>
        <u val="none"/>
        <vertAlign val="baseline"/>
        <sz val="10"/>
        <name val="Calibri"/>
        <family val="2"/>
        <scheme val="minor"/>
      </font>
      <fill>
        <patternFill patternType="none">
          <fgColor indexed="64"/>
          <bgColor auto="1"/>
        </patternFill>
      </fill>
      <protection locked="1"/>
    </dxf>
    <dxf>
      <font>
        <strike val="0"/>
        <outline val="0"/>
        <shadow val="0"/>
        <u val="none"/>
        <vertAlign val="baseline"/>
        <sz val="10"/>
        <name val="Calibri"/>
        <family val="2"/>
        <scheme val="minor"/>
      </font>
      <protection locked="1"/>
    </dxf>
    <dxf>
      <border outline="0">
        <right style="thin">
          <color theme="1" tint="0.499984740745262"/>
        </right>
        <top style="thin">
          <color theme="1" tint="0.499984740745262"/>
        </top>
      </border>
    </dxf>
    <dxf>
      <font>
        <strike val="0"/>
        <outline val="0"/>
        <shadow val="0"/>
        <u val="none"/>
        <vertAlign val="baseline"/>
        <sz val="10"/>
        <name val="Calibri"/>
        <family val="2"/>
        <scheme val="minor"/>
      </font>
      <fill>
        <patternFill patternType="none">
          <fgColor indexed="64"/>
          <bgColor auto="1"/>
        </patternFill>
      </fill>
      <protection locked="1"/>
    </dxf>
    <dxf>
      <border outline="0">
        <bottom style="thin">
          <color theme="1" tint="0.499984740745262"/>
        </bottom>
      </border>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alignment horizontal="center" vertical="center" textRotation="0" wrapText="0" indent="0" justifyLastLine="0" shrinkToFit="0" readingOrder="0"/>
      <protection locked="1"/>
    </dxf>
    <dxf>
      <font>
        <strike val="0"/>
        <outline val="0"/>
        <shadow val="0"/>
        <u val="none"/>
        <vertAlign val="baseline"/>
        <sz val="10"/>
        <name val="Calibri"/>
        <family val="2"/>
        <scheme val="minor"/>
      </font>
      <protection locked="1"/>
    </dxf>
    <dxf>
      <border outline="0">
        <top style="thin">
          <color theme="1" tint="0.499984740745262"/>
        </top>
      </border>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indexed="65"/>
        </patternFill>
      </fill>
      <alignment horizontal="center" vertical="center" textRotation="0" wrapText="1" indent="0" justifyLastLine="0" shrinkToFit="0" readingOrder="0"/>
      <protection locked="1"/>
    </dxf>
    <dxf>
      <font>
        <b val="0"/>
        <i val="0"/>
        <strike val="0"/>
        <condense val="0"/>
        <extend val="0"/>
        <outline val="0"/>
        <shadow val="0"/>
        <u val="none"/>
        <vertAlign val="baseline"/>
        <sz val="10"/>
        <color rgb="FFF8F8F8"/>
        <name val="Calibri"/>
        <family val="2"/>
        <scheme val="minor"/>
      </font>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justify" vertical="center" textRotation="0" wrapText="1" indent="0" justifyLastLine="0" shrinkToFit="0" readingOrder="0"/>
      <protection locked="1"/>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dxf>
    <dxf>
      <font>
        <strike val="0"/>
        <outline val="0"/>
        <shadow val="0"/>
        <u val="none"/>
        <vertAlign val="baseline"/>
        <sz val="10"/>
        <name val="Calibri"/>
        <family val="2"/>
        <scheme val="minor"/>
      </font>
      <protection locked="1"/>
    </dxf>
    <dxf>
      <border outline="0">
        <left style="thin">
          <color theme="4" tint="0.39997558519241921"/>
        </left>
        <right style="thin">
          <color theme="1" tint="0.499984740745262"/>
        </right>
        <top style="thin">
          <color theme="1" tint="0.499984740745262"/>
        </top>
      </border>
    </dxf>
    <dxf>
      <font>
        <strike val="0"/>
        <outline val="0"/>
        <shadow val="0"/>
        <u val="none"/>
        <vertAlign val="baseline"/>
        <sz val="10"/>
        <name val="Calibri"/>
        <family val="2"/>
        <scheme val="minor"/>
      </font>
      <protection locked="1"/>
    </dxf>
    <dxf>
      <font>
        <strike val="0"/>
        <outline val="0"/>
        <shadow val="0"/>
        <u val="none"/>
        <vertAlign val="baseline"/>
        <sz val="10"/>
        <name val="Calibri"/>
        <family val="2"/>
        <scheme val="minor"/>
      </font>
      <protection locked="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3BF0F38-B136-4A89-B569-AB49F058D078}" name="POE_PRELIMINARES" displayName="POE_PRELIMINARES" ref="B11:G19" totalsRowCount="1" headerRowDxfId="297" dataDxfId="296" totalsRowDxfId="294" tableBorderDxfId="295">
  <autoFilter ref="B11:G18" xr:uid="{9D3CDC7A-A081-44AD-A7C4-29312ECAE507}"/>
  <sortState xmlns:xlrd2="http://schemas.microsoft.com/office/spreadsheetml/2017/richdata2" ref="B12:G12">
    <sortCondition ref="B11:B12"/>
  </sortState>
  <tableColumns count="6">
    <tableColumn id="1" xr3:uid="{75BB7F90-3EBD-4635-A7A1-5BE2B4EF097A}" name="1" totalsRowLabel="Total" dataDxfId="293" totalsRowDxfId="292"/>
    <tableColumn id="2" xr3:uid="{4CCA792B-B7B3-4811-A769-BA7D4710616B}" name="ACTIVIDADES PRELIMINARES, DESMONTES Y DEMOLICIONES" dataDxfId="291" totalsRowDxfId="290"/>
    <tableColumn id="3" xr3:uid="{A2954B13-B85B-47D4-A705-B148786E0D15}" name="UND." totalsRowFunction="count" dataDxfId="289" totalsRowDxfId="288"/>
    <tableColumn id="4" xr3:uid="{DF35227C-2478-48BF-B977-6227FC4599BD}" name="CANTIDAD" dataDxfId="287" totalsRowDxfId="286" dataCellStyle="Millares 11"/>
    <tableColumn id="5" xr3:uid="{38F3D2A2-491E-4F2C-A214-3D0AD221E341}" name="VALOR UNITARIO" dataDxfId="285" totalsRowDxfId="284"/>
    <tableColumn id="6" xr3:uid="{5F99EEBB-9183-4F5A-8512-51E472BC75EB}" name="VALOR TOTAL                                " totalsRowFunction="sum" dataDxfId="283" totalsRowDxfId="282" dataCellStyle="Moneda 2 4">
      <calculatedColumnFormula>IFERROR(ROUND((E12*F12),0),"")</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A7945B4-063A-41EC-846B-470C70CC8E00}" name="PE_MOVIMIENTO_TIERRAS" displayName="PE_MOVIMIENTO_TIERRAS" ref="B20:G24" totalsRowCount="1" headerRowDxfId="281" dataDxfId="280" totalsRowDxfId="278" tableBorderDxfId="279">
  <autoFilter ref="B20:G23" xr:uid="{A0DBE5BE-34F9-4DA6-8FD2-41A33BC43975}"/>
  <tableColumns count="6">
    <tableColumn id="1" xr3:uid="{8DFCA595-FBFD-44D4-8F08-0E110A4231F6}" name="2" totalsRowLabel="Total" dataDxfId="277" totalsRowDxfId="276"/>
    <tableColumn id="2" xr3:uid="{FE03C4B4-BF9B-4652-A2EF-5779058ADF8B}" name="MOVIMIENTO DE TIERRAS" dataDxfId="275" totalsRowDxfId="274"/>
    <tableColumn id="3" xr3:uid="{DA49ACC4-0FAE-4C0A-A176-3C9A33902D7B}" name="UND." dataDxfId="273" totalsRowDxfId="272"/>
    <tableColumn id="4" xr3:uid="{3534E0D0-5D3E-47A5-9DBB-C5B6A7341A04}" name="CANTIDAD" dataDxfId="271" totalsRowDxfId="270" dataCellStyle="Millares 11">
      <calculatedColumnFormula>E204*0.3</calculatedColumnFormula>
    </tableColumn>
    <tableColumn id="5" xr3:uid="{DCD440C5-3086-4F89-A95A-30B2427A65C2}" name="VALOR UNITARIO" dataDxfId="269" totalsRowDxfId="268" dataCellStyle="Moneda 2 4"/>
    <tableColumn id="6" xr3:uid="{00394B5C-BDE8-424B-A3FF-C5647BA8AC06}" name="VALOR TOTAL                                " totalsRowFunction="sum" dataDxfId="267" totalsRowDxfId="266" dataCellStyle="Moneda 2 4">
      <calculatedColumnFormula>IFERROR(ROUND($E21*$F21,0),"")</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98112DD-F491-454C-A81E-52BB2D83EBC7}" name="POE_REDES_HIDROSANITARIAS" displayName="POE_REDES_HIDROSANITARIAS" ref="B28:G89" totalsRowCount="1" headerRowDxfId="265" dataDxfId="263" totalsRowDxfId="261" headerRowBorderDxfId="264" tableBorderDxfId="262">
  <autoFilter ref="B28:G88" xr:uid="{FC877E5C-9906-4C8E-9421-2901E4C76DF9}"/>
  <tableColumns count="6">
    <tableColumn id="1" xr3:uid="{33659E56-7CFC-4265-BC9F-CD0485A472F2}" name="7" totalsRowLabel="Total" dataDxfId="260" totalsRowDxfId="259"/>
    <tableColumn id="2" xr3:uid="{435DA0F8-F030-4EDD-8ED0-0ECDDF5E4F84}" name="REDES HIDRÁULICAS, SANITARIAS, AGUAS DE RECOLECCIÓN Y RCI" dataDxfId="258" totalsRowDxfId="257"/>
    <tableColumn id="3" xr3:uid="{EECD5D41-0097-4FCF-8C5D-3D9247D06B0F}" name="UND." dataDxfId="256" totalsRowDxfId="255"/>
    <tableColumn id="4" xr3:uid="{DABF64D3-2A2B-4CB1-B9D5-048AF56EDC5E}" name="CANTIDAD" dataDxfId="254" totalsRowDxfId="253"/>
    <tableColumn id="5" xr3:uid="{8F3CD11A-D470-470B-848A-5430C41776EB}" name="VALOR UNITARIO" dataDxfId="252" totalsRowDxfId="251"/>
    <tableColumn id="6" xr3:uid="{58F20159-09D4-4274-8849-8EA4F40AFDA1}" name="VALOR TOTAL                                " totalsRowFunction="sum" dataDxfId="250" totalsRowDxfId="249">
      <calculatedColumnFormula>IFERROR(ROUND($E29*$F29,0),"")</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3E7D464-A2BB-4D79-B17C-215AF333D080}" name="POE_INSTALACIONES_ELÉCTRICAS_E_ILUMINACIÓN" displayName="POE_INSTALACIONES_ELÉCTRICAS_E_ILUMINACIÓN" ref="B90:G127" totalsRowCount="1" headerRowDxfId="248" dataDxfId="247" totalsRowDxfId="245" tableBorderDxfId="246">
  <autoFilter ref="B90:G126" xr:uid="{892BD973-779C-4F2E-B6DC-5A8D81A148EB}"/>
  <tableColumns count="6">
    <tableColumn id="1" xr3:uid="{70539614-8661-4599-BDD5-A6C2B6160B06}" name="8" totalsRowLabel="Total" dataDxfId="244" totalsRowDxfId="243"/>
    <tableColumn id="2" xr3:uid="{4428DE3F-E2EE-4B09-97DA-10F35383AC75}" name="INSTALACIONES ELÉCTRICAS E ILUMINACIÓN" dataDxfId="242" totalsRowDxfId="241"/>
    <tableColumn id="3" xr3:uid="{0FC87863-B73C-4B0F-BC9F-9003478C0208}" name="UND." dataDxfId="240" totalsRowDxfId="239"/>
    <tableColumn id="4" xr3:uid="{F4C2C94C-BE09-4F59-A1AE-A72541CD05DE}" name="CANTIDAD" dataDxfId="238" totalsRowDxfId="237"/>
    <tableColumn id="5" xr3:uid="{7E6F3DB0-DCF3-48C2-A349-36E64418B8A7}" name="VALOR UNITARIO" dataDxfId="236" totalsRowDxfId="235"/>
    <tableColumn id="6" xr3:uid="{6D78C2E4-857A-453F-804D-D92ACD1D1E20}" name="VALOR TOTAL                                " totalsRowFunction="sum" dataDxfId="234" totalsRowDxfId="233" dataCellStyle="Moneda 2 4">
      <calculatedColumnFormula>IFERROR(ROUND($E91*$F91,0),"")</calculatedColumnFormula>
    </tableColumn>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5ED289FD-93E9-4D62-AB04-AEC4762C07B5}" name="POE_REDES_ESPECIALES" displayName="POE_REDES_ESPECIALES" ref="B128:G140" totalsRowCount="1" headerRowDxfId="232" dataDxfId="231" totalsRowDxfId="229" tableBorderDxfId="230">
  <autoFilter ref="B128:G139" xr:uid="{4F285366-2201-418E-A004-93406E8DC660}"/>
  <tableColumns count="6">
    <tableColumn id="1" xr3:uid="{1754B46C-2ACE-44CA-9EFD-6E510C80AED7}" name="9" totalsRowLabel="Total" dataDxfId="228" totalsRowDxfId="227"/>
    <tableColumn id="2" xr3:uid="{73CD7BB9-B984-48C5-A899-745B6D9E481F}" name="REDES ESPECIALES" dataDxfId="226" totalsRowDxfId="225"/>
    <tableColumn id="3" xr3:uid="{4AE4A1D9-1E45-458E-8598-063013DFF086}" name="UND." dataDxfId="224" totalsRowDxfId="223"/>
    <tableColumn id="4" xr3:uid="{3F0A7E3F-508E-4578-8F17-97B84C3293E4}" name="CANTIDAD" dataDxfId="222" totalsRowDxfId="221"/>
    <tableColumn id="5" xr3:uid="{CEC616CC-DF1F-493A-853B-B81C7A876265}" name="VALOR UNITARIO" dataDxfId="220" totalsRowDxfId="219"/>
    <tableColumn id="6" xr3:uid="{8ECAA847-E238-4B03-ABED-416DC82CBA60}" name="VALOR TOTAL                                " totalsRowFunction="sum" dataDxfId="218" totalsRowDxfId="217" dataCellStyle="Moneda 2 4">
      <calculatedColumnFormula>IFERROR(ROUND($E129*$F129,0),"")</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9E498A-B828-4D49-8D25-20C7FAA8E215}" name="POE_PAÑETES" displayName="POE_PAÑETES" ref="B145:G147" totalsRowCount="1" headerRowDxfId="216" dataDxfId="214" totalsRowDxfId="212" headerRowBorderDxfId="215" tableBorderDxfId="213">
  <autoFilter ref="B145:G146" xr:uid="{E3AC9C1D-A66F-428D-A184-7D3F7509DA4B}"/>
  <tableColumns count="6">
    <tableColumn id="1" xr3:uid="{EFFF64DB-AACF-4DDB-9939-2293E89FFEF7}" name="12" totalsRowLabel="Total" dataDxfId="211" totalsRowDxfId="210"/>
    <tableColumn id="2" xr3:uid="{263024C5-5C13-47B1-B362-ABAF9E6023A9}" name="PAÑETES" dataDxfId="209" totalsRowDxfId="208"/>
    <tableColumn id="3" xr3:uid="{CEAA0977-968A-44A4-9DB9-090D457E9A92}" name="UND." dataDxfId="207" totalsRowDxfId="206"/>
    <tableColumn id="4" xr3:uid="{A3363FAB-DC3C-4BF5-92E2-90590F761A31}" name="CANTIDAD" dataDxfId="205" totalsRowDxfId="204" dataCellStyle="Millares 11">
      <calculatedColumnFormula>ROUND((46.4*0.2),2)</calculatedColumnFormula>
    </tableColumn>
    <tableColumn id="5" xr3:uid="{941ACE3B-67ED-4FA4-8A45-78708E258D2F}" name="VALOR UNITARIO" dataDxfId="203" totalsRowDxfId="202" dataCellStyle="Moneda 2 4"/>
    <tableColumn id="6" xr3:uid="{73CFF49C-9F62-4FBA-895D-C365ADB071AE}" name="VALOR TOTAL                                " totalsRowFunction="sum" dataDxfId="201" totalsRowDxfId="200" dataCellStyle="Moneda 2 4">
      <calculatedColumnFormula>IFERROR(ROUND($E146*$F146,0),"")</calculatedColumnFormula>
    </tableColumn>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B9BA8256-92E0-4765-9E2F-E6FBA141D3EC}" name="POE_PISOS_Y_ENCHAPES" displayName="POE_PISOS_Y_ENCHAPES" ref="B148:G165" totalsRowCount="1" headerRowDxfId="199" dataDxfId="198" totalsRowDxfId="196" tableBorderDxfId="197">
  <autoFilter ref="B148:G164" xr:uid="{1FD60CD3-4C4E-4C72-B5C2-D745E7DC9B4F}"/>
  <tableColumns count="6">
    <tableColumn id="1" xr3:uid="{CB06F83B-55C6-42BD-940A-D98467174021}" name="13" totalsRowLabel="Total" dataDxfId="195" totalsRowDxfId="194"/>
    <tableColumn id="2" xr3:uid="{AC7E8D3F-A5E9-4974-A0F6-55FD05CAF36E}" name="PISOS Y ENCHAPES" dataDxfId="193" totalsRowDxfId="192"/>
    <tableColumn id="3" xr3:uid="{80A4AFB9-14F1-434B-9A7A-ABA4263D29FD}" name="UND." dataDxfId="191" totalsRowDxfId="190"/>
    <tableColumn id="4" xr3:uid="{45C17855-0DB5-4516-9546-233FA78FC459}" name="CANTIDAD" dataDxfId="189" totalsRowDxfId="188" dataCellStyle="Millares 11"/>
    <tableColumn id="5" xr3:uid="{D61BFB3F-3663-44E7-A643-55E58359B794}" name="VALOR UNITARIO" dataDxfId="187" totalsRowDxfId="186" dataCellStyle="Moneda 2 4"/>
    <tableColumn id="6" xr3:uid="{F86AB45C-667C-49AC-9F72-52A8C89C439C}" name="VALOR TOTAL                                " totalsRowFunction="sum" dataDxfId="185" totalsRowDxfId="184" dataCellStyle="Moneda 2 4">
      <calculatedColumnFormula>IFERROR(ROUND($E149*$F149,0),"")</calculatedColumnFormula>
    </tableColumn>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82ADD03-9311-4433-9E91-4DE3ED574589}" name="POE_CERRADURAS" displayName="POE_CERRADURAS" ref="B172:G176" totalsRowCount="1" headerRowDxfId="183" dataDxfId="182" totalsRowDxfId="181">
  <autoFilter ref="B172:G175" xr:uid="{6DCB0B7A-3E97-4021-A274-D8A1FE81FB07}"/>
  <tableColumns count="6">
    <tableColumn id="1" xr3:uid="{3A8167CF-20C8-4734-8159-1D7E6060DDAF}" name="16" totalsRowLabel="Total" dataDxfId="180" totalsRowDxfId="179"/>
    <tableColumn id="2" xr3:uid="{DBB2D2E7-2762-40CA-A8F6-E94820E82699}" name="CERRADURAS" dataDxfId="178" totalsRowDxfId="177"/>
    <tableColumn id="3" xr3:uid="{79169660-09E3-49EF-B6EA-6993A1843183}" name="UND." dataDxfId="176" totalsRowDxfId="175"/>
    <tableColumn id="4" xr3:uid="{6B398F76-0611-4F9D-80EA-746D0CE5702F}" name="CANTIDAD" dataDxfId="174" totalsRowDxfId="173" dataCellStyle="Millares 11"/>
    <tableColumn id="5" xr3:uid="{5F8A959C-32D7-400A-AC9F-898283B634FA}" name="VALOR UNITARIO" dataDxfId="172" totalsRowDxfId="171" dataCellStyle="Moneda 2 4"/>
    <tableColumn id="6" xr3:uid="{80C81957-34A2-49F6-8953-38E522781F0D}" name="VALOR TOTAL                                " totalsRowFunction="sum" dataDxfId="170" totalsRowDxfId="169" dataCellStyle="Moneda 2 4">
      <calculatedColumnFormula>IFERROR(ROUND($E173*$F173,0),"")</calculatedColumnFormula>
    </tableColumn>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F5C472E1-BE45-4085-958A-CA93312B9CCB}" name="POE_DOTACIÓN_BAÑOS" displayName="POE_DOTACIÓN_BAÑOS" ref="B177:G192" totalsRowCount="1" headerRowDxfId="168" dataDxfId="167" totalsRowDxfId="166">
  <autoFilter ref="B177:G191" xr:uid="{E1861818-A16E-40B3-9D65-6AC813CC8014}"/>
  <tableColumns count="6">
    <tableColumn id="1" xr3:uid="{C0EB198E-CC15-4C87-8102-1686C6284ADF}" name="17" totalsRowLabel="Total" dataDxfId="165" totalsRowDxfId="164"/>
    <tableColumn id="2" xr3:uid="{1589C1A6-BB85-432D-BDA5-462FD8240BC2}" name="DOTACIÓN DE BAÑOS, GRIFERÍAS Y ACCESORIOS" dataDxfId="163" totalsRowDxfId="162"/>
    <tableColumn id="3" xr3:uid="{5198134C-3B29-464A-A734-A872540DAF8F}" name="UND." dataDxfId="161" totalsRowDxfId="160"/>
    <tableColumn id="4" xr3:uid="{9D9DA303-C4B2-4AF7-8DD2-A680A4D1AFA3}" name="CANTIDAD" dataDxfId="159" totalsRowDxfId="158" dataCellStyle="Millares 11">
      <calculatedColumnFormula>1+2+1</calculatedColumnFormula>
    </tableColumn>
    <tableColumn id="5" xr3:uid="{F5817B7D-8FA4-4155-8BF7-21B7582A120F}" name="VALOR UNITARIO" dataDxfId="157" totalsRowDxfId="156" dataCellStyle="Moneda 2 4"/>
    <tableColumn id="6" xr3:uid="{C2293F50-40AF-4FC1-93B1-1399500171E6}" name="VALOR TOTAL                                " totalsRowFunction="sum" dataDxfId="155" totalsRowDxfId="154" dataCellStyle="Moneda 2 4">
      <calculatedColumnFormula>IFERROR(ROUND($E178*$F178,0),"")</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206FB532-CF9B-412D-924A-E7CE927CCA92}" name="POE_PINTURAS" displayName="POE_PINTURAS" ref="B193:G197" totalsRowCount="1" headerRowDxfId="153" dataDxfId="152" totalsRowDxfId="151">
  <autoFilter ref="B193:G196" xr:uid="{E44406AC-E13E-464C-B73E-4F8B97CD5CA7}"/>
  <tableColumns count="6">
    <tableColumn id="1" xr3:uid="{35F30BFA-D280-4FAF-9023-63FD37BDA2AD}" name="18" totalsRowLabel="Total" dataDxfId="150" totalsRowDxfId="149"/>
    <tableColumn id="2" xr3:uid="{6F015BFB-61B7-4F98-967F-C7502A0CB692}" name="PINTURAS" dataDxfId="148" totalsRowDxfId="147"/>
    <tableColumn id="3" xr3:uid="{143B1FE4-8633-4EB5-AA56-7DEDA43A04A7}" name="UND." dataDxfId="146" totalsRowDxfId="145"/>
    <tableColumn id="4" xr3:uid="{28180DC5-AA96-4757-B132-6E7C731D3669}" name="CANTIDAD" dataDxfId="144" totalsRowDxfId="143" dataCellStyle="Millares 11">
      <calculatedColumnFormula array="1">POE_PAÑETES[CANTIDAD]+(34*2.5)</calculatedColumnFormula>
    </tableColumn>
    <tableColumn id="5" xr3:uid="{FA18A90E-E231-4D2E-B9F6-4F38CE5B8EBA}" name="VALOR UNITARIO" dataDxfId="142" totalsRowDxfId="141" dataCellStyle="Moneda 2 4"/>
    <tableColumn id="6" xr3:uid="{2EBE90D2-E284-40CF-BE83-49B41271D390}" name="VALOR TOTAL                                " totalsRowFunction="sum" dataDxfId="140" totalsRowDxfId="139" dataCellStyle="Moneda 2 4">
      <calculatedColumnFormula>IFERROR(ROUND($E194*$F194,0),"")</calculatedColumnFormula>
    </tableColumn>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7D88FF2-3AC6-4D2D-8491-3D17C7BC091A}" name="POE_VIDRIOS_Y_ESPEJOS" displayName="POE_VIDRIOS_Y_ESPEJOS" ref="B198:G200" totalsRowCount="1" headerRowDxfId="138" dataDxfId="137" totalsRowDxfId="136">
  <autoFilter ref="B198:G199" xr:uid="{BAB067C8-0756-4E04-AFFD-3777616EDB77}"/>
  <tableColumns count="6">
    <tableColumn id="1" xr3:uid="{EC34F80B-0116-4630-B9B9-741E31CBA959}" name="19" totalsRowLabel="Total" dataDxfId="135" totalsRowDxfId="134"/>
    <tableColumn id="2" xr3:uid="{95F237F3-B440-4103-BFE2-B194563F471D}" name="VIDRIOS Y ESPEJOS" dataDxfId="133" totalsRowDxfId="132"/>
    <tableColumn id="3" xr3:uid="{CE93CB28-4504-4EC0-9105-C29F3E74390B}" name="UND." dataDxfId="131" totalsRowDxfId="130"/>
    <tableColumn id="4" xr3:uid="{BF563A6F-D8F5-48CB-AE79-8D1F2055BBDA}" name="CANTIDAD" dataDxfId="129" totalsRowDxfId="128"/>
    <tableColumn id="5" xr3:uid="{382702DA-52E0-4208-933A-340975A71BE8}" name="VALOR UNITARIO" dataDxfId="127" totalsRowDxfId="126"/>
    <tableColumn id="6" xr3:uid="{3EF92784-1E43-42C8-BCDA-E3B6033B81A4}" name="VALOR TOTAL                                " totalsRowFunction="sum" dataDxfId="125" totalsRowDxfId="124">
      <calculatedColumnFormula>IFERROR(ROUND($E199*$F199,0),"")</calculatedColumnFormula>
    </tableColumn>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6F222116-6EFF-44C8-A6B9-429B3B947D11}" name="POE_OBRAS_EXTERIORES" displayName="POE_OBRAS_EXTERIORES" ref="B201:G209" totalsRowCount="1" headerRowDxfId="123" dataDxfId="122" totalsRowDxfId="121">
  <autoFilter ref="B201:G208" xr:uid="{2903DF24-8510-476B-9F71-69D8830337FB}"/>
  <tableColumns count="6">
    <tableColumn id="1" xr3:uid="{F3548C8C-A6A2-43E0-9988-F570B313DD32}" name="21" totalsRowLabel="Total" dataDxfId="120" totalsRowDxfId="119"/>
    <tableColumn id="2" xr3:uid="{01928804-4A54-4C48-BEC2-53FF6622B6EA}" name="OBRAS EXTERIORES" dataDxfId="118" totalsRowDxfId="117"/>
    <tableColumn id="3" xr3:uid="{2AC1A1FC-8C9A-4780-8A9C-5D3BDF6703F6}" name="UND." dataDxfId="116" totalsRowDxfId="115"/>
    <tableColumn id="4" xr3:uid="{9B255CF2-E98F-438B-A753-C00F7F7EDD0A}" name="CANTIDAD" dataDxfId="114" totalsRowDxfId="113" dataCellStyle="Millares 11">
      <calculatedColumnFormula>35.07+8.82+16+6.67+43.76+79.24+60</calculatedColumnFormula>
    </tableColumn>
    <tableColumn id="5" xr3:uid="{84486B0B-41C4-46F6-98C3-921BF17AE524}" name="VALOR UNITARIO" dataDxfId="112" totalsRowDxfId="111" dataCellStyle="Moneda 2 4"/>
    <tableColumn id="6" xr3:uid="{8B0C6A5A-6E4F-408D-8BFE-9B309C66C2E6}" name="VALOR TOTAL                                " totalsRowFunction="sum" dataDxfId="110" totalsRowDxfId="109" dataCellStyle="Moneda 2 4">
      <calculatedColumnFormula>IFERROR(ROUND($E202*$F202,0),"")</calculatedColumnFormula>
    </tableColumn>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28C5640B-B749-4B29-9E8A-291D4A771E5F}" name="POE_AISLAMIENTO_ACUSTICO" displayName="POE_AISLAMIENTO_ACUSTICO" ref="B210:G212" totalsRowCount="1" headerRowDxfId="108" dataDxfId="107" totalsRowDxfId="106">
  <autoFilter ref="B210:G211" xr:uid="{FB874DF7-2BE6-4AC8-BC17-B003CDDFE821}"/>
  <tableColumns count="6">
    <tableColumn id="1" xr3:uid="{D91CAF6C-FA99-4AC2-B458-187BCBE40ACB}" name="23" totalsRowLabel="Total" dataDxfId="105" totalsRowDxfId="104" dataCellStyle="Normal_Libro1"/>
    <tableColumn id="2" xr3:uid="{B120E570-F5F9-40D5-AF23-4D2E9CF8566A}" name="AISLAMIENTO ACUSTICO" dataDxfId="103" totalsRowDxfId="102"/>
    <tableColumn id="3" xr3:uid="{CF3125B6-4CF6-4FBA-98F0-E93121000338}" name="UND." dataDxfId="101" totalsRowDxfId="100"/>
    <tableColumn id="4" xr3:uid="{81830A7E-ADEF-4200-8F3B-F02F6E22B56A}" name="CANTIDAD" dataDxfId="99" totalsRowDxfId="98" dataCellStyle="Millares 11">
      <calculatedColumnFormula>ROUND((4.41*4),2)</calculatedColumnFormula>
    </tableColumn>
    <tableColumn id="5" xr3:uid="{01417062-ECE5-4447-AD55-E21D62069E6C}" name="VALOR UNITARIO" dataDxfId="97" totalsRowDxfId="96"/>
    <tableColumn id="6" xr3:uid="{D11F6B33-2B67-43E4-A9AC-9FCADFF526B2}" name="VALOR TOTAL                                " totalsRowFunction="sum" dataDxfId="95" totalsRowDxfId="94">
      <calculatedColumnFormula>IFERROR(ROUND($E211*$F211,0),"")</calculatedColumnFormula>
    </tableColumn>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AC40CE71-781D-4405-97A3-B50FAD737103}" name="POE_ASEO" displayName="POE_ASEO" ref="B213:G215" totalsRowCount="1" headerRowDxfId="93" dataDxfId="92" totalsRowDxfId="91">
  <autoFilter ref="B213:G214" xr:uid="{C9C6A0EA-B8AF-4B8B-87E8-124607168DD1}"/>
  <tableColumns count="6">
    <tableColumn id="1" xr3:uid="{D266C5E6-60B6-4D99-87FE-08FB6AC49FF6}" name="24" totalsRowLabel="Total" dataDxfId="90" totalsRowDxfId="89"/>
    <tableColumn id="2" xr3:uid="{C74154BB-17B4-4B51-946A-9E35ED562DD5}" name="ASEO" dataDxfId="88" totalsRowDxfId="87"/>
    <tableColumn id="3" xr3:uid="{78CDFC58-B419-4B8E-83E8-267CEAA1C943}" name="UND." dataDxfId="86" totalsRowDxfId="85"/>
    <tableColumn id="4" xr3:uid="{62BDECEE-677B-4B34-8BEF-7BF1C37E53AD}" name="CANTIDAD" dataDxfId="84" totalsRowDxfId="83" dataCellStyle="Millares 11"/>
    <tableColumn id="5" xr3:uid="{FF03A7C3-CBB6-47EB-B07B-416327E8D63B}" name="VALOR UNITARIO" dataDxfId="82" totalsRowDxfId="81" dataCellStyle="Moneda 2 4"/>
    <tableColumn id="6" xr3:uid="{DD1E06F9-E430-4E8F-B802-BC7E385CDBE3}" name="VALOR TOTAL                                " totalsRowFunction="sum" dataDxfId="80" totalsRowDxfId="79" dataCellStyle="Moneda 2 4">
      <calculatedColumnFormula>IFERROR(ROUND($E214*$F214,0),"")</calculatedColumnFormula>
    </tableColumn>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19C19FB0-CEB0-4CE1-8625-0C7680102C66}" name="PE_REFUERZO" displayName="PE_REFUERZO" ref="B25:G27" totalsRowCount="1" headerRowDxfId="78" dataDxfId="77" totalsRowDxfId="75" tableBorderDxfId="76">
  <autoFilter ref="B25:G26" xr:uid="{01B81AFA-98FE-424D-A33B-2E09C59BA03B}"/>
  <tableColumns count="6">
    <tableColumn id="1" xr3:uid="{4856199D-E421-468C-BB8F-D32A73B5EE89}" name="4" totalsRowLabel="Total" dataDxfId="74" totalsRowDxfId="73"/>
    <tableColumn id="2" xr3:uid="{658C3CC9-BAD7-47F9-AE28-9174A2C5E717}" name="REFUERZO" dataDxfId="72" totalsRowDxfId="71"/>
    <tableColumn id="3" xr3:uid="{9CB6990F-2455-44ED-9649-99C68DE41431}" name="UND." dataDxfId="70" totalsRowDxfId="69"/>
    <tableColumn id="4" xr3:uid="{397D3954-D34F-4A9D-94F3-6FB7CE687332}" name="CANTIDAD" dataDxfId="68" totalsRowDxfId="67" dataCellStyle="Millares 11"/>
    <tableColumn id="5" xr3:uid="{F78F70AB-F535-48CE-A17C-B5C65AA79767}" name="VALOR UNITARIO" dataDxfId="66" totalsRowDxfId="65" dataCellStyle="Moneda 2 4"/>
    <tableColumn id="6" xr3:uid="{0C976DAD-7663-43AC-9FA3-97D4419D0617}" name="VALOR TOTAL                                " totalsRowFunction="sum" dataDxfId="64" totalsRowDxfId="63" dataCellStyle="Moneda 2 4">
      <calculatedColumnFormula>IFERROR(ROUND($E26*$F26,0),"")</calculatedColumnFormula>
    </tableColumn>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F5655D12-47CE-426A-997C-46CB7DF43B94}" name="POE_CUBIERTAS_Y_CIELO_RASOS" displayName="POE_CUBIERTAS_Y_CIELO_RASOS" ref="B141:G144" totalsRowCount="1" headerRowDxfId="62" dataDxfId="60" totalsRowDxfId="58" headerRowBorderDxfId="61" tableBorderDxfId="59">
  <autoFilter ref="B141:G143" xr:uid="{A4960E92-4B04-4718-837F-D0CC624386C8}"/>
  <tableColumns count="6">
    <tableColumn id="1" xr3:uid="{032D49B8-1185-4DDB-B987-AAC67414DD57}" name="11" totalsRowLabel="Total" dataDxfId="57" totalsRowDxfId="56"/>
    <tableColumn id="2" xr3:uid="{561E0520-E682-4B2D-B04B-9E63D202A34D}" name="CUBIERTAS,_CIELO_RASOS E IMPERMEABILIZACIONES" dataDxfId="55" totalsRowDxfId="54"/>
    <tableColumn id="3" xr3:uid="{F5727161-5137-4F5C-B5B2-F95FF82D182B}" name="UND." dataDxfId="53" totalsRowDxfId="52"/>
    <tableColumn id="4" xr3:uid="{C8CF91B0-5D1B-45A5-AA06-1C5E9B6A49F0}" name="CANTIDAD" dataDxfId="51" totalsRowDxfId="50" dataCellStyle="Millares 11">
      <calculatedColumnFormula>(4+3+4+3)*2.5+(4*3*2)</calculatedColumnFormula>
    </tableColumn>
    <tableColumn id="5" xr3:uid="{C9393C21-EA4D-4C15-B122-B2B91501EF5A}" name="VALOR UNITARIO" dataDxfId="49" totalsRowDxfId="48" dataCellStyle="Moneda 2 4"/>
    <tableColumn id="6" xr3:uid="{E6FE6405-E4F7-4592-B90B-473F26CDD7A6}" name="VALOR TOTAL                                " totalsRowFunction="sum" dataDxfId="47" totalsRowDxfId="46" dataCellStyle="Moneda 2 4">
      <calculatedColumnFormula>IFERROR(ROUND($E142*$F142,0),"")</calculatedColumnFormula>
    </tableColumn>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F4011A16-286F-4249-AF3D-DC4BC49785E4}" name="POE_CARPINTERIA_MADERA" displayName="POE_CARPINTERIA_MADERA" ref="B166:G168" totalsRowCount="1" headerRowDxfId="45" dataDxfId="44" totalsRowDxfId="43">
  <autoFilter ref="B166:G167" xr:uid="{389BDAF2-3212-40CB-AB50-D4CCBEE748F7}"/>
  <tableColumns count="6">
    <tableColumn id="1" xr3:uid="{71575EFA-4CBF-4DE1-A2D8-D57488C7C47E}" name="14" totalsRowLabel="Total" dataDxfId="42" totalsRowDxfId="41"/>
    <tableColumn id="2" xr3:uid="{FEDB1717-8DD2-457A-B1E3-5029BF5EAE55}" name="CARPINTERÍA EN MADERA" dataDxfId="40" totalsRowDxfId="39"/>
    <tableColumn id="3" xr3:uid="{847E2AB1-4E41-481F-BC38-64F1C82E2BA1}" name="UND." dataDxfId="38" totalsRowDxfId="37"/>
    <tableColumn id="4" xr3:uid="{9F0A594D-A218-45E6-A1D2-0F67BDF495BA}" name="CANTIDAD" dataDxfId="36" totalsRowDxfId="35" dataCellStyle="Millares 11">
      <calculatedColumnFormula>18.79+14.04</calculatedColumnFormula>
    </tableColumn>
    <tableColumn id="5" xr3:uid="{26D97E4C-2AE0-4C96-B02D-89A446AFDF99}" name="VALOR UNITARIO" dataDxfId="34" totalsRowDxfId="33" dataCellStyle="Moneda 2 4"/>
    <tableColumn id="6" xr3:uid="{86BB87CB-7D0D-4512-8CB1-5ADF9224F8BC}" name="VALOR TOTAL                                " totalsRowFunction="sum" dataDxfId="32" totalsRowDxfId="31" dataCellStyle="Moneda 2 4">
      <calculatedColumnFormula>IFERROR(ROUND($E167*$F167,0),"")</calculatedColumnFormula>
    </tableColumn>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16ED8D80-4A40-4E9A-A59A-E0B6592056DC}" name="POE_CARPINTERÍA_METÁLICA" displayName="POE_CARPINTERÍA_METÁLICA" ref="B169:G171" totalsRowCount="1" headerRowDxfId="30" dataDxfId="29" totalsRowDxfId="28">
  <autoFilter ref="B169:G170" xr:uid="{ABD96AF4-8304-4B0D-88E4-2B29DEFEC342}"/>
  <tableColumns count="6">
    <tableColumn id="1" xr3:uid="{D8EAA798-BF99-4C1D-B70C-8ACCAE17227D}" name="15" totalsRowLabel="Total" dataDxfId="27" totalsRowDxfId="26"/>
    <tableColumn id="2" xr3:uid="{A8E3B3F2-C21D-498A-A822-4A3E93B5FB59}" name="CARPINTERÍA METÁLICA" dataDxfId="25" totalsRowDxfId="24"/>
    <tableColumn id="3" xr3:uid="{4397E8E8-849E-4C42-AB80-370C549121F2}" name="UND." dataDxfId="23" totalsRowDxfId="22"/>
    <tableColumn id="4" xr3:uid="{556DBAFD-0F7A-48EB-A146-82E2AA87464F}" name="CANTIDAD" dataDxfId="21" totalsRowDxfId="20" dataCellStyle="Millares 11"/>
    <tableColumn id="5" xr3:uid="{208F920C-102F-462A-8139-2997D8F1754B}" name="VALOR UNITARIO" dataDxfId="19" totalsRowDxfId="18" dataCellStyle="Moneda 2 4"/>
    <tableColumn id="6" xr3:uid="{9DE1367B-73C7-47CE-B4B6-578664566B78}" name="VALOR TOTAL                                " totalsRowFunction="sum" dataDxfId="17" totalsRowDxfId="16" dataCellStyle="Moneda 2 4">
      <calculatedColumnFormula>IFERROR(ROUND($E170*$F170,0),"")</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1.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656C3-A7AB-4A48-BC72-F80908FDAD27}">
  <sheetPr codeName="Hoja11">
    <pageSetUpPr fitToPage="1"/>
  </sheetPr>
  <dimension ref="A1:K231"/>
  <sheetViews>
    <sheetView showGridLines="0" view="pageBreakPreview" zoomScaleNormal="100" zoomScaleSheetLayoutView="100" workbookViewId="0">
      <selection activeCell="I10" sqref="I10"/>
    </sheetView>
  </sheetViews>
  <sheetFormatPr baseColWidth="10" defaultColWidth="11.5546875" defaultRowHeight="13.8" x14ac:dyDescent="0.3"/>
  <cols>
    <col min="1" max="1" width="2.6640625" style="2" customWidth="1"/>
    <col min="2" max="2" width="21.33203125" style="1" bestFit="1" customWidth="1"/>
    <col min="3" max="3" width="82.6640625" style="2" customWidth="1"/>
    <col min="4" max="4" width="12.33203125" style="2" customWidth="1"/>
    <col min="5" max="5" width="15.5546875" style="2" customWidth="1"/>
    <col min="6" max="6" width="20.88671875" style="3" customWidth="1"/>
    <col min="7" max="7" width="34.5546875" style="11" customWidth="1"/>
    <col min="8" max="8" width="2.6640625" style="2" customWidth="1"/>
    <col min="9" max="9" width="25.5546875" style="1" bestFit="1" customWidth="1"/>
    <col min="10" max="10" width="16.33203125" style="2" bestFit="1" customWidth="1"/>
    <col min="11" max="16384" width="11.5546875" style="2"/>
  </cols>
  <sheetData>
    <row r="1" spans="1:11" ht="15" thickTop="1" thickBot="1" x14ac:dyDescent="0.35">
      <c r="A1" s="99"/>
      <c r="B1" s="100"/>
      <c r="C1" s="101"/>
      <c r="D1" s="102"/>
      <c r="E1" s="103"/>
      <c r="F1" s="104"/>
      <c r="G1" s="105"/>
      <c r="H1" s="106"/>
    </row>
    <row r="2" spans="1:11" ht="14.4" thickTop="1" x14ac:dyDescent="0.3">
      <c r="A2" s="107"/>
      <c r="B2" s="308" t="s">
        <v>0</v>
      </c>
      <c r="C2" s="308"/>
      <c r="D2" s="108"/>
      <c r="G2" s="109"/>
      <c r="H2" s="110"/>
    </row>
    <row r="3" spans="1:11" x14ac:dyDescent="0.3">
      <c r="A3" s="107"/>
      <c r="B3" s="111" t="s">
        <v>1</v>
      </c>
      <c r="C3" s="112" t="s">
        <v>2</v>
      </c>
      <c r="D3" s="108"/>
      <c r="G3" s="109"/>
      <c r="H3" s="110"/>
    </row>
    <row r="4" spans="1:11" ht="14.4" thickBot="1" x14ac:dyDescent="0.35">
      <c r="A4" s="107"/>
      <c r="B4" s="113" t="s">
        <v>3</v>
      </c>
      <c r="C4" s="114">
        <v>1</v>
      </c>
      <c r="D4" s="115"/>
      <c r="G4" s="109"/>
      <c r="H4" s="110"/>
    </row>
    <row r="5" spans="1:11" ht="14.4" thickTop="1" x14ac:dyDescent="0.3">
      <c r="A5" s="107"/>
      <c r="B5" s="116"/>
      <c r="C5" s="117"/>
      <c r="D5" s="108"/>
      <c r="E5" s="118"/>
      <c r="F5" s="119"/>
      <c r="G5" s="109"/>
      <c r="H5" s="110"/>
    </row>
    <row r="6" spans="1:11" x14ac:dyDescent="0.3">
      <c r="A6" s="107"/>
      <c r="B6" s="309" t="s">
        <v>474</v>
      </c>
      <c r="C6" s="309"/>
      <c r="D6" s="309"/>
      <c r="E6" s="309"/>
      <c r="F6" s="309"/>
      <c r="G6" s="309"/>
      <c r="H6" s="110"/>
    </row>
    <row r="7" spans="1:11" ht="27" customHeight="1" x14ac:dyDescent="0.3">
      <c r="A7" s="107"/>
      <c r="B7" s="310" t="s">
        <v>4</v>
      </c>
      <c r="C7" s="310"/>
      <c r="D7" s="310"/>
      <c r="E7" s="310"/>
      <c r="F7" s="310"/>
      <c r="G7" s="310"/>
      <c r="H7" s="110"/>
    </row>
    <row r="8" spans="1:11" ht="27" customHeight="1" x14ac:dyDescent="0.3">
      <c r="A8" s="107"/>
      <c r="B8" s="311" t="s">
        <v>5</v>
      </c>
      <c r="C8" s="311"/>
      <c r="D8" s="311"/>
      <c r="E8" s="311"/>
      <c r="F8" s="311"/>
      <c r="G8" s="311"/>
      <c r="H8" s="110"/>
    </row>
    <row r="9" spans="1:11" x14ac:dyDescent="0.3">
      <c r="A9" s="107"/>
      <c r="B9" s="312"/>
      <c r="C9" s="312"/>
      <c r="D9" s="312"/>
      <c r="E9" s="312"/>
      <c r="F9" s="312"/>
      <c r="G9" s="312"/>
      <c r="H9" s="110"/>
    </row>
    <row r="10" spans="1:11" x14ac:dyDescent="0.3">
      <c r="A10" s="121"/>
      <c r="B10" s="122" t="s">
        <v>6</v>
      </c>
      <c r="C10" s="122" t="s">
        <v>7</v>
      </c>
      <c r="D10" s="123"/>
      <c r="E10" s="124"/>
      <c r="F10" s="125"/>
      <c r="G10" s="126"/>
      <c r="H10" s="110"/>
    </row>
    <row r="11" spans="1:11" x14ac:dyDescent="0.3">
      <c r="A11" s="107"/>
      <c r="B11" s="127" t="s">
        <v>8</v>
      </c>
      <c r="C11" s="128" t="s">
        <v>9</v>
      </c>
      <c r="D11" s="129" t="s">
        <v>10</v>
      </c>
      <c r="E11" s="130" t="s">
        <v>11</v>
      </c>
      <c r="F11" s="131" t="s">
        <v>12</v>
      </c>
      <c r="G11" s="132" t="s">
        <v>13</v>
      </c>
      <c r="H11" s="110"/>
    </row>
    <row r="12" spans="1:11" x14ac:dyDescent="0.3">
      <c r="A12" s="107"/>
      <c r="B12" s="133" t="s">
        <v>14</v>
      </c>
      <c r="C12" s="134" t="s">
        <v>283</v>
      </c>
      <c r="D12" s="135"/>
      <c r="E12" s="8"/>
      <c r="F12" s="136" t="s">
        <v>284</v>
      </c>
      <c r="G12" s="12" t="str">
        <f t="shared" ref="G12" si="0">IFERROR(ROUND((E12*F12),0),"")</f>
        <v/>
      </c>
      <c r="H12" s="110"/>
      <c r="J12" s="4"/>
      <c r="K12" s="4"/>
    </row>
    <row r="13" spans="1:11" x14ac:dyDescent="0.3">
      <c r="A13" s="107"/>
      <c r="B13" s="1" t="s">
        <v>15</v>
      </c>
      <c r="C13" s="137" t="s">
        <v>285</v>
      </c>
      <c r="D13" s="135" t="s">
        <v>286</v>
      </c>
      <c r="E13" s="8">
        <f>ROUND((36.9*1.5),0)</f>
        <v>55</v>
      </c>
      <c r="F13" s="136">
        <v>6600</v>
      </c>
      <c r="G13" s="12">
        <f>IFERROR(ROUND((E13*F13),0),"")</f>
        <v>363000</v>
      </c>
      <c r="H13" s="110"/>
      <c r="J13" s="5"/>
    </row>
    <row r="14" spans="1:11" x14ac:dyDescent="0.3">
      <c r="A14" s="107"/>
      <c r="B14" s="138" t="s">
        <v>16</v>
      </c>
      <c r="C14" s="134" t="s">
        <v>287</v>
      </c>
      <c r="D14" s="135"/>
      <c r="E14" s="8"/>
      <c r="F14" s="136" t="s">
        <v>284</v>
      </c>
      <c r="G14" s="12" t="str">
        <f t="shared" ref="G14:G18" si="1">IFERROR(ROUND((E14*F14),0),"")</f>
        <v/>
      </c>
      <c r="H14" s="110"/>
      <c r="J14" s="5"/>
    </row>
    <row r="15" spans="1:11" ht="41.4" x14ac:dyDescent="0.3">
      <c r="A15" s="107"/>
      <c r="B15" s="139" t="s">
        <v>17</v>
      </c>
      <c r="C15" s="137" t="s">
        <v>288</v>
      </c>
      <c r="D15" s="135" t="s">
        <v>286</v>
      </c>
      <c r="E15" s="8">
        <f>ROUND((7*1.2),2)</f>
        <v>8.4</v>
      </c>
      <c r="F15" s="136">
        <v>25774</v>
      </c>
      <c r="G15" s="12">
        <f>IFERROR(ROUND((E15*F15),0),"")</f>
        <v>216502</v>
      </c>
      <c r="H15" s="110"/>
      <c r="J15" s="5"/>
    </row>
    <row r="16" spans="1:11" ht="41.4" x14ac:dyDescent="0.3">
      <c r="A16" s="107"/>
      <c r="B16" s="139" t="s">
        <v>18</v>
      </c>
      <c r="C16" s="137" t="s">
        <v>289</v>
      </c>
      <c r="D16" s="135" t="s">
        <v>286</v>
      </c>
      <c r="E16" s="6">
        <f>ROUND(((10.39*2)+(16.5+14.04+7.24+48.62+3.12+3.12+3.59)+(14.07+6.25+2.45)),2)</f>
        <v>139.78</v>
      </c>
      <c r="F16" s="136">
        <v>9640</v>
      </c>
      <c r="G16" s="12">
        <f t="shared" si="1"/>
        <v>1347479</v>
      </c>
      <c r="H16" s="110"/>
      <c r="J16" s="5"/>
    </row>
    <row r="17" spans="1:10" ht="27.6" x14ac:dyDescent="0.3">
      <c r="A17" s="107"/>
      <c r="B17" s="139" t="s">
        <v>19</v>
      </c>
      <c r="C17" s="137" t="s">
        <v>290</v>
      </c>
      <c r="D17" s="135" t="s">
        <v>286</v>
      </c>
      <c r="E17" s="6">
        <v>2</v>
      </c>
      <c r="F17" s="136">
        <v>23710</v>
      </c>
      <c r="G17" s="12">
        <f t="shared" si="1"/>
        <v>47420</v>
      </c>
      <c r="H17" s="110"/>
      <c r="J17" s="5"/>
    </row>
    <row r="18" spans="1:10" ht="27.6" x14ac:dyDescent="0.3">
      <c r="A18" s="107"/>
      <c r="B18" s="139" t="s">
        <v>20</v>
      </c>
      <c r="C18" s="137" t="s">
        <v>291</v>
      </c>
      <c r="D18" s="135" t="s">
        <v>286</v>
      </c>
      <c r="E18" s="8">
        <f>ROUND((46.4*0.12),2)</f>
        <v>5.57</v>
      </c>
      <c r="F18" s="136">
        <v>9451</v>
      </c>
      <c r="G18" s="12">
        <f t="shared" si="1"/>
        <v>52642</v>
      </c>
      <c r="H18" s="110"/>
      <c r="J18" s="5"/>
    </row>
    <row r="19" spans="1:10" x14ac:dyDescent="0.3">
      <c r="A19" s="107"/>
      <c r="B19" s="1" t="s">
        <v>21</v>
      </c>
      <c r="C19" s="137"/>
      <c r="D19" s="140">
        <f>SUBTOTAL(103,POE_PRELIMINARES[UND.])</f>
        <v>5</v>
      </c>
      <c r="E19" s="135"/>
      <c r="F19" s="141"/>
      <c r="G19" s="142">
        <f>SUBTOTAL(109,POE_PRELIMINARES[[VALOR TOTAL                                ]])</f>
        <v>2027043</v>
      </c>
      <c r="H19" s="110"/>
      <c r="J19" s="5"/>
    </row>
    <row r="20" spans="1:10" x14ac:dyDescent="0.3">
      <c r="A20" s="107"/>
      <c r="B20" s="127" t="s">
        <v>22</v>
      </c>
      <c r="C20" s="128" t="s">
        <v>23</v>
      </c>
      <c r="D20" s="129" t="s">
        <v>10</v>
      </c>
      <c r="E20" s="130" t="s">
        <v>11</v>
      </c>
      <c r="F20" s="131" t="s">
        <v>12</v>
      </c>
      <c r="G20" s="132" t="s">
        <v>13</v>
      </c>
      <c r="H20" s="110"/>
      <c r="J20" s="5"/>
    </row>
    <row r="21" spans="1:10" ht="27.6" x14ac:dyDescent="0.3">
      <c r="A21" s="107"/>
      <c r="B21" s="139" t="s">
        <v>24</v>
      </c>
      <c r="C21" s="137" t="s">
        <v>292</v>
      </c>
      <c r="D21" s="135" t="s">
        <v>286</v>
      </c>
      <c r="E21" s="8">
        <f>ROUND((E204*0.1),2)</f>
        <v>24.96</v>
      </c>
      <c r="F21" s="136">
        <v>18287</v>
      </c>
      <c r="G21" s="12">
        <f t="shared" ref="G21:G23" si="2">IFERROR(ROUND($E21*$F21,0),"")</f>
        <v>456444</v>
      </c>
      <c r="H21" s="110"/>
      <c r="J21" s="5"/>
    </row>
    <row r="22" spans="1:10" ht="55.2" x14ac:dyDescent="0.3">
      <c r="A22" s="107"/>
      <c r="B22" s="139" t="s">
        <v>25</v>
      </c>
      <c r="C22" s="137" t="s">
        <v>293</v>
      </c>
      <c r="D22" s="135" t="s">
        <v>294</v>
      </c>
      <c r="E22" s="8">
        <f>ROUND((E21*0.3),2)</f>
        <v>7.49</v>
      </c>
      <c r="F22" s="136">
        <v>42438</v>
      </c>
      <c r="G22" s="12">
        <f t="shared" si="2"/>
        <v>317861</v>
      </c>
      <c r="H22" s="110"/>
      <c r="J22" s="5"/>
    </row>
    <row r="23" spans="1:10" ht="27.6" x14ac:dyDescent="0.3">
      <c r="A23" s="107"/>
      <c r="B23" s="139" t="s">
        <v>26</v>
      </c>
      <c r="C23" s="137" t="s">
        <v>295</v>
      </c>
      <c r="D23" s="135" t="s">
        <v>294</v>
      </c>
      <c r="E23" s="8">
        <f>ROUND(((E22*0.15)+(E204*0.1*0.2)),2)</f>
        <v>6.11</v>
      </c>
      <c r="F23" s="136">
        <v>20449</v>
      </c>
      <c r="G23" s="12">
        <f t="shared" si="2"/>
        <v>124943</v>
      </c>
      <c r="H23" s="110"/>
      <c r="I23" s="7"/>
      <c r="J23" s="5"/>
    </row>
    <row r="24" spans="1:10" x14ac:dyDescent="0.3">
      <c r="A24" s="107"/>
      <c r="B24" s="1" t="s">
        <v>21</v>
      </c>
      <c r="C24" s="137"/>
      <c r="D24" s="135"/>
      <c r="E24" s="135"/>
      <c r="F24" s="141"/>
      <c r="G24" s="142">
        <f>SUBTOTAL(109,PE_MOVIMIENTO_TIERRAS[[VALOR TOTAL                                ]])</f>
        <v>899248</v>
      </c>
      <c r="H24" s="110"/>
      <c r="J24" s="5"/>
    </row>
    <row r="25" spans="1:10" x14ac:dyDescent="0.3">
      <c r="A25" s="107"/>
      <c r="B25" s="127" t="s">
        <v>27</v>
      </c>
      <c r="C25" s="128" t="s">
        <v>28</v>
      </c>
      <c r="D25" s="129" t="s">
        <v>10</v>
      </c>
      <c r="E25" s="130" t="s">
        <v>11</v>
      </c>
      <c r="F25" s="131" t="s">
        <v>12</v>
      </c>
      <c r="G25" s="132" t="s">
        <v>13</v>
      </c>
      <c r="H25" s="110"/>
      <c r="J25" s="5"/>
    </row>
    <row r="26" spans="1:10" ht="27.6" x14ac:dyDescent="0.3">
      <c r="A26" s="107"/>
      <c r="B26" s="139" t="s">
        <v>29</v>
      </c>
      <c r="C26" s="137" t="s">
        <v>296</v>
      </c>
      <c r="D26" s="135" t="s">
        <v>297</v>
      </c>
      <c r="E26" s="8">
        <v>10</v>
      </c>
      <c r="F26" s="136">
        <v>13262</v>
      </c>
      <c r="G26" s="12">
        <f t="shared" ref="G26" si="3">IFERROR(ROUND($E26*$F26,0),"")</f>
        <v>132620</v>
      </c>
      <c r="H26" s="110"/>
      <c r="J26" s="5"/>
    </row>
    <row r="27" spans="1:10" x14ac:dyDescent="0.3">
      <c r="A27" s="107"/>
      <c r="B27" s="1" t="s">
        <v>21</v>
      </c>
      <c r="C27" s="137"/>
      <c r="D27" s="135"/>
      <c r="E27" s="135"/>
      <c r="F27" s="141"/>
      <c r="G27" s="142">
        <f>SUBTOTAL(109,PE_REFUERZO[[VALOR TOTAL                                ]])</f>
        <v>132620</v>
      </c>
      <c r="H27" s="110"/>
      <c r="J27" s="5"/>
    </row>
    <row r="28" spans="1:10" x14ac:dyDescent="0.3">
      <c r="A28" s="107"/>
      <c r="B28" s="127" t="s">
        <v>30</v>
      </c>
      <c r="C28" s="128" t="s">
        <v>31</v>
      </c>
      <c r="D28" s="129" t="s">
        <v>10</v>
      </c>
      <c r="E28" s="130" t="s">
        <v>11</v>
      </c>
      <c r="F28" s="131" t="s">
        <v>12</v>
      </c>
      <c r="G28" s="132" t="s">
        <v>13</v>
      </c>
      <c r="H28" s="110"/>
    </row>
    <row r="29" spans="1:10" x14ac:dyDescent="0.3">
      <c r="A29" s="107"/>
      <c r="B29" s="96" t="s">
        <v>32</v>
      </c>
      <c r="C29" s="134" t="s">
        <v>298</v>
      </c>
      <c r="D29" s="135"/>
      <c r="E29" s="8"/>
      <c r="F29" s="136"/>
      <c r="G29" s="12"/>
      <c r="H29" s="110"/>
    </row>
    <row r="30" spans="1:10" ht="55.2" x14ac:dyDescent="0.3">
      <c r="A30" s="107"/>
      <c r="B30" s="143" t="s">
        <v>33</v>
      </c>
      <c r="C30" s="137" t="s">
        <v>299</v>
      </c>
      <c r="D30" s="135" t="s">
        <v>297</v>
      </c>
      <c r="E30" s="8">
        <v>1</v>
      </c>
      <c r="F30" s="136">
        <v>1059024</v>
      </c>
      <c r="G30" s="12">
        <f t="shared" ref="G30:G70" si="4">IFERROR(ROUND($E30*$F30,0),"")</f>
        <v>1059024</v>
      </c>
      <c r="H30" s="110"/>
    </row>
    <row r="31" spans="1:10" ht="55.2" x14ac:dyDescent="0.3">
      <c r="A31" s="107"/>
      <c r="B31" s="143" t="s">
        <v>34</v>
      </c>
      <c r="C31" s="137" t="s">
        <v>300</v>
      </c>
      <c r="D31" s="135" t="s">
        <v>297</v>
      </c>
      <c r="E31" s="8">
        <v>1</v>
      </c>
      <c r="F31" s="136">
        <v>707234</v>
      </c>
      <c r="G31" s="12">
        <f t="shared" si="4"/>
        <v>707234</v>
      </c>
      <c r="H31" s="110"/>
    </row>
    <row r="32" spans="1:10" ht="55.2" x14ac:dyDescent="0.3">
      <c r="A32" s="107"/>
      <c r="B32" s="143" t="s">
        <v>35</v>
      </c>
      <c r="C32" s="137" t="s">
        <v>301</v>
      </c>
      <c r="D32" s="135" t="s">
        <v>297</v>
      </c>
      <c r="E32" s="8">
        <v>1</v>
      </c>
      <c r="F32" s="136">
        <v>554049</v>
      </c>
      <c r="G32" s="12">
        <f>IFERROR(ROUND($E32*$F32,0),"")</f>
        <v>554049</v>
      </c>
      <c r="H32" s="110"/>
    </row>
    <row r="33" spans="1:8" ht="27.6" x14ac:dyDescent="0.3">
      <c r="A33" s="107"/>
      <c r="B33" s="143" t="s">
        <v>36</v>
      </c>
      <c r="C33" s="137" t="s">
        <v>302</v>
      </c>
      <c r="D33" s="135" t="s">
        <v>303</v>
      </c>
      <c r="E33" s="8">
        <v>34</v>
      </c>
      <c r="F33" s="136">
        <v>97932</v>
      </c>
      <c r="G33" s="12">
        <f t="shared" si="4"/>
        <v>3329688</v>
      </c>
      <c r="H33" s="110"/>
    </row>
    <row r="34" spans="1:8" x14ac:dyDescent="0.3">
      <c r="A34" s="107"/>
      <c r="B34" s="144" t="s">
        <v>37</v>
      </c>
      <c r="C34" s="134" t="s">
        <v>304</v>
      </c>
      <c r="D34" s="135"/>
      <c r="E34" s="8"/>
      <c r="F34" s="136" t="s">
        <v>284</v>
      </c>
      <c r="G34" s="12" t="str">
        <f t="shared" si="4"/>
        <v/>
      </c>
      <c r="H34" s="110"/>
    </row>
    <row r="35" spans="1:8" ht="27.6" x14ac:dyDescent="0.3">
      <c r="A35" s="107"/>
      <c r="B35" s="143" t="s">
        <v>38</v>
      </c>
      <c r="C35" s="137" t="s">
        <v>305</v>
      </c>
      <c r="D35" s="135" t="s">
        <v>303</v>
      </c>
      <c r="E35" s="8">
        <v>24</v>
      </c>
      <c r="F35" s="136">
        <v>45124</v>
      </c>
      <c r="G35" s="12">
        <f t="shared" si="4"/>
        <v>1082976</v>
      </c>
      <c r="H35" s="110"/>
    </row>
    <row r="36" spans="1:8" ht="27.6" x14ac:dyDescent="0.3">
      <c r="A36" s="107"/>
      <c r="B36" s="143" t="s">
        <v>39</v>
      </c>
      <c r="C36" s="137" t="s">
        <v>306</v>
      </c>
      <c r="D36" s="135" t="s">
        <v>303</v>
      </c>
      <c r="E36" s="8">
        <v>10</v>
      </c>
      <c r="F36" s="136">
        <v>38569</v>
      </c>
      <c r="G36" s="12">
        <f t="shared" si="4"/>
        <v>385690</v>
      </c>
      <c r="H36" s="110"/>
    </row>
    <row r="37" spans="1:8" ht="27.6" x14ac:dyDescent="0.3">
      <c r="A37" s="107"/>
      <c r="B37" s="143" t="s">
        <v>40</v>
      </c>
      <c r="C37" s="137" t="s">
        <v>307</v>
      </c>
      <c r="D37" s="135" t="s">
        <v>303</v>
      </c>
      <c r="E37" s="8">
        <v>18</v>
      </c>
      <c r="F37" s="136">
        <v>30947</v>
      </c>
      <c r="G37" s="12">
        <f t="shared" si="4"/>
        <v>557046</v>
      </c>
      <c r="H37" s="110"/>
    </row>
    <row r="38" spans="1:8" ht="27.6" x14ac:dyDescent="0.3">
      <c r="A38" s="107"/>
      <c r="B38" s="143" t="s">
        <v>41</v>
      </c>
      <c r="C38" s="137" t="s">
        <v>308</v>
      </c>
      <c r="D38" s="135" t="s">
        <v>297</v>
      </c>
      <c r="E38" s="8">
        <v>22</v>
      </c>
      <c r="F38" s="136">
        <v>75819</v>
      </c>
      <c r="G38" s="12">
        <f t="shared" si="4"/>
        <v>1668018</v>
      </c>
      <c r="H38" s="110"/>
    </row>
    <row r="39" spans="1:8" ht="27.6" x14ac:dyDescent="0.3">
      <c r="A39" s="107"/>
      <c r="B39" s="143" t="s">
        <v>42</v>
      </c>
      <c r="C39" s="137" t="s">
        <v>309</v>
      </c>
      <c r="D39" s="135" t="s">
        <v>297</v>
      </c>
      <c r="E39" s="8">
        <v>1</v>
      </c>
      <c r="F39" s="136">
        <v>51608</v>
      </c>
      <c r="G39" s="12">
        <f t="shared" si="4"/>
        <v>51608</v>
      </c>
      <c r="H39" s="110"/>
    </row>
    <row r="40" spans="1:8" ht="27.6" x14ac:dyDescent="0.3">
      <c r="A40" s="107"/>
      <c r="B40" s="143" t="s">
        <v>43</v>
      </c>
      <c r="C40" s="137" t="s">
        <v>310</v>
      </c>
      <c r="D40" s="135" t="s">
        <v>297</v>
      </c>
      <c r="E40" s="8">
        <v>15</v>
      </c>
      <c r="F40" s="136">
        <v>40820</v>
      </c>
      <c r="G40" s="12">
        <f t="shared" si="4"/>
        <v>612300</v>
      </c>
      <c r="H40" s="110"/>
    </row>
    <row r="41" spans="1:8" ht="27.6" x14ac:dyDescent="0.3">
      <c r="A41" s="107"/>
      <c r="B41" s="143" t="s">
        <v>44</v>
      </c>
      <c r="C41" s="137" t="s">
        <v>311</v>
      </c>
      <c r="D41" s="135" t="s">
        <v>297</v>
      </c>
      <c r="E41" s="8">
        <v>15</v>
      </c>
      <c r="F41" s="136">
        <v>120617</v>
      </c>
      <c r="G41" s="12">
        <f t="shared" si="4"/>
        <v>1809255</v>
      </c>
      <c r="H41" s="110"/>
    </row>
    <row r="42" spans="1:8" ht="27.6" x14ac:dyDescent="0.3">
      <c r="A42" s="107"/>
      <c r="B42" s="143" t="s">
        <v>45</v>
      </c>
      <c r="C42" s="137" t="s">
        <v>312</v>
      </c>
      <c r="D42" s="135" t="s">
        <v>297</v>
      </c>
      <c r="E42" s="8">
        <v>15</v>
      </c>
      <c r="F42" s="136">
        <v>75125</v>
      </c>
      <c r="G42" s="12">
        <f t="shared" si="4"/>
        <v>1126875</v>
      </c>
      <c r="H42" s="110"/>
    </row>
    <row r="43" spans="1:8" ht="27.6" x14ac:dyDescent="0.3">
      <c r="A43" s="107"/>
      <c r="B43" s="143" t="s">
        <v>46</v>
      </c>
      <c r="C43" s="137" t="s">
        <v>313</v>
      </c>
      <c r="D43" s="135" t="s">
        <v>297</v>
      </c>
      <c r="E43" s="8">
        <v>2</v>
      </c>
      <c r="F43" s="136">
        <v>63148</v>
      </c>
      <c r="G43" s="12">
        <f t="shared" si="4"/>
        <v>126296</v>
      </c>
      <c r="H43" s="110"/>
    </row>
    <row r="44" spans="1:8" ht="41.4" x14ac:dyDescent="0.3">
      <c r="A44" s="107"/>
      <c r="B44" s="143" t="s">
        <v>47</v>
      </c>
      <c r="C44" s="137" t="s">
        <v>314</v>
      </c>
      <c r="D44" s="135" t="s">
        <v>297</v>
      </c>
      <c r="E44" s="8">
        <v>1</v>
      </c>
      <c r="F44" s="136">
        <v>4235166</v>
      </c>
      <c r="G44" s="12">
        <f t="shared" si="4"/>
        <v>4235166</v>
      </c>
      <c r="H44" s="110"/>
    </row>
    <row r="45" spans="1:8" ht="41.4" x14ac:dyDescent="0.3">
      <c r="A45" s="107"/>
      <c r="B45" s="143" t="s">
        <v>48</v>
      </c>
      <c r="C45" s="137" t="s">
        <v>315</v>
      </c>
      <c r="D45" s="135" t="s">
        <v>297</v>
      </c>
      <c r="E45" s="8">
        <v>1</v>
      </c>
      <c r="F45" s="136">
        <v>3294315</v>
      </c>
      <c r="G45" s="12">
        <f t="shared" si="4"/>
        <v>3294315</v>
      </c>
      <c r="H45" s="110"/>
    </row>
    <row r="46" spans="1:8" ht="41.4" x14ac:dyDescent="0.3">
      <c r="A46" s="107"/>
      <c r="B46" s="143" t="s">
        <v>49</v>
      </c>
      <c r="C46" s="137" t="s">
        <v>316</v>
      </c>
      <c r="D46" s="135" t="s">
        <v>303</v>
      </c>
      <c r="E46" s="8">
        <v>6</v>
      </c>
      <c r="F46" s="136">
        <v>53058</v>
      </c>
      <c r="G46" s="12">
        <f t="shared" si="4"/>
        <v>318348</v>
      </c>
      <c r="H46" s="110"/>
    </row>
    <row r="47" spans="1:8" ht="41.4" x14ac:dyDescent="0.3">
      <c r="A47" s="107"/>
      <c r="B47" s="143" t="s">
        <v>50</v>
      </c>
      <c r="C47" s="137" t="s">
        <v>317</v>
      </c>
      <c r="D47" s="135" t="s">
        <v>303</v>
      </c>
      <c r="E47" s="8">
        <v>6</v>
      </c>
      <c r="F47" s="136">
        <v>37368</v>
      </c>
      <c r="G47" s="12">
        <f t="shared" si="4"/>
        <v>224208</v>
      </c>
      <c r="H47" s="110"/>
    </row>
    <row r="48" spans="1:8" x14ac:dyDescent="0.3">
      <c r="A48" s="107"/>
      <c r="B48" s="144" t="s">
        <v>51</v>
      </c>
      <c r="C48" s="134" t="s">
        <v>318</v>
      </c>
      <c r="D48" s="135"/>
      <c r="E48" s="8"/>
      <c r="F48" s="136" t="s">
        <v>284</v>
      </c>
      <c r="G48" s="12" t="str">
        <f t="shared" si="4"/>
        <v/>
      </c>
      <c r="H48" s="110"/>
    </row>
    <row r="49" spans="1:10" ht="41.4" x14ac:dyDescent="0.3">
      <c r="A49" s="107"/>
      <c r="B49" s="143" t="s">
        <v>52</v>
      </c>
      <c r="C49" s="137" t="s">
        <v>319</v>
      </c>
      <c r="D49" s="135" t="s">
        <v>297</v>
      </c>
      <c r="E49" s="8">
        <v>1</v>
      </c>
      <c r="F49" s="136">
        <v>812919</v>
      </c>
      <c r="G49" s="12">
        <f t="shared" si="4"/>
        <v>812919</v>
      </c>
      <c r="H49" s="110"/>
    </row>
    <row r="50" spans="1:10" ht="27.6" x14ac:dyDescent="0.3">
      <c r="A50" s="107"/>
      <c r="B50" s="143" t="s">
        <v>53</v>
      </c>
      <c r="C50" s="137" t="s">
        <v>320</v>
      </c>
      <c r="D50" s="135" t="s">
        <v>303</v>
      </c>
      <c r="E50" s="8">
        <v>30</v>
      </c>
      <c r="F50" s="136">
        <v>48297</v>
      </c>
      <c r="G50" s="12">
        <f t="shared" si="4"/>
        <v>1448910</v>
      </c>
      <c r="H50" s="110"/>
    </row>
    <row r="51" spans="1:10" ht="27.6" x14ac:dyDescent="0.3">
      <c r="A51" s="107"/>
      <c r="B51" s="143" t="s">
        <v>54</v>
      </c>
      <c r="C51" s="137" t="s">
        <v>321</v>
      </c>
      <c r="D51" s="135" t="s">
        <v>303</v>
      </c>
      <c r="E51" s="8">
        <v>15</v>
      </c>
      <c r="F51" s="136">
        <v>78567</v>
      </c>
      <c r="G51" s="12">
        <f t="shared" si="4"/>
        <v>1178505</v>
      </c>
      <c r="H51" s="110"/>
    </row>
    <row r="52" spans="1:10" ht="27.6" x14ac:dyDescent="0.3">
      <c r="A52" s="107"/>
      <c r="B52" s="143" t="s">
        <v>55</v>
      </c>
      <c r="C52" s="137" t="s">
        <v>322</v>
      </c>
      <c r="D52" s="135" t="s">
        <v>303</v>
      </c>
      <c r="E52" s="8">
        <v>10</v>
      </c>
      <c r="F52" s="136">
        <v>45182</v>
      </c>
      <c r="G52" s="12">
        <f t="shared" si="4"/>
        <v>451820</v>
      </c>
      <c r="H52" s="110"/>
    </row>
    <row r="53" spans="1:10" ht="27.6" x14ac:dyDescent="0.3">
      <c r="A53" s="107"/>
      <c r="B53" s="143" t="s">
        <v>56</v>
      </c>
      <c r="C53" s="137" t="s">
        <v>323</v>
      </c>
      <c r="D53" s="135" t="s">
        <v>303</v>
      </c>
      <c r="E53" s="8">
        <v>15</v>
      </c>
      <c r="F53" s="136">
        <v>28020</v>
      </c>
      <c r="G53" s="12">
        <f t="shared" si="4"/>
        <v>420300</v>
      </c>
      <c r="H53" s="110"/>
    </row>
    <row r="54" spans="1:10" ht="27.6" x14ac:dyDescent="0.3">
      <c r="A54" s="107"/>
      <c r="B54" s="143" t="s">
        <v>57</v>
      </c>
      <c r="C54" s="137" t="s">
        <v>324</v>
      </c>
      <c r="D54" s="135" t="s">
        <v>303</v>
      </c>
      <c r="E54" s="8">
        <v>10</v>
      </c>
      <c r="F54" s="136">
        <v>16115</v>
      </c>
      <c r="G54" s="12">
        <f t="shared" si="4"/>
        <v>161150</v>
      </c>
      <c r="H54" s="110"/>
    </row>
    <row r="55" spans="1:10" ht="27.6" x14ac:dyDescent="0.3">
      <c r="A55" s="107"/>
      <c r="B55" s="143" t="s">
        <v>58</v>
      </c>
      <c r="C55" s="137" t="s">
        <v>325</v>
      </c>
      <c r="D55" s="135" t="s">
        <v>303</v>
      </c>
      <c r="E55" s="8">
        <v>15</v>
      </c>
      <c r="F55" s="136">
        <v>12893</v>
      </c>
      <c r="G55" s="12">
        <f t="shared" si="4"/>
        <v>193395</v>
      </c>
      <c r="H55" s="110"/>
    </row>
    <row r="56" spans="1:10" ht="27.6" x14ac:dyDescent="0.3">
      <c r="A56" s="107"/>
      <c r="B56" s="143" t="s">
        <v>59</v>
      </c>
      <c r="C56" s="137" t="s">
        <v>326</v>
      </c>
      <c r="D56" s="135" t="s">
        <v>303</v>
      </c>
      <c r="E56" s="8">
        <v>25</v>
      </c>
      <c r="F56" s="136">
        <v>11274</v>
      </c>
      <c r="G56" s="12">
        <f t="shared" si="4"/>
        <v>281850</v>
      </c>
      <c r="H56" s="110"/>
    </row>
    <row r="57" spans="1:10" ht="27.6" x14ac:dyDescent="0.3">
      <c r="A57" s="107"/>
      <c r="B57" s="143" t="s">
        <v>60</v>
      </c>
      <c r="C57" s="137" t="s">
        <v>327</v>
      </c>
      <c r="D57" s="135" t="s">
        <v>297</v>
      </c>
      <c r="E57" s="8">
        <v>21</v>
      </c>
      <c r="F57" s="136">
        <v>86324</v>
      </c>
      <c r="G57" s="12">
        <f t="shared" si="4"/>
        <v>1812804</v>
      </c>
      <c r="H57" s="110"/>
    </row>
    <row r="58" spans="1:10" ht="27.6" x14ac:dyDescent="0.3">
      <c r="A58" s="107"/>
      <c r="B58" s="143" t="s">
        <v>61</v>
      </c>
      <c r="C58" s="137" t="s">
        <v>328</v>
      </c>
      <c r="D58" s="135" t="s">
        <v>297</v>
      </c>
      <c r="E58" s="8">
        <v>1</v>
      </c>
      <c r="F58" s="136">
        <v>51793</v>
      </c>
      <c r="G58" s="12">
        <f t="shared" si="4"/>
        <v>51793</v>
      </c>
      <c r="H58" s="110"/>
    </row>
    <row r="59" spans="1:10" ht="27.6" x14ac:dyDescent="0.3">
      <c r="A59" s="107"/>
      <c r="B59" s="143" t="s">
        <v>62</v>
      </c>
      <c r="C59" s="137" t="s">
        <v>329</v>
      </c>
      <c r="D59" s="135" t="s">
        <v>297</v>
      </c>
      <c r="E59" s="8">
        <v>1</v>
      </c>
      <c r="F59" s="136">
        <v>40664</v>
      </c>
      <c r="G59" s="12">
        <f t="shared" si="4"/>
        <v>40664</v>
      </c>
      <c r="H59" s="110"/>
    </row>
    <row r="60" spans="1:10" ht="27.6" x14ac:dyDescent="0.3">
      <c r="A60" s="107"/>
      <c r="B60" s="143" t="s">
        <v>63</v>
      </c>
      <c r="C60" s="137" t="s">
        <v>330</v>
      </c>
      <c r="D60" s="135" t="s">
        <v>297</v>
      </c>
      <c r="E60" s="8">
        <v>22</v>
      </c>
      <c r="F60" s="136">
        <v>36513</v>
      </c>
      <c r="G60" s="12">
        <f t="shared" si="4"/>
        <v>803286</v>
      </c>
      <c r="H60" s="110"/>
      <c r="J60" s="9"/>
    </row>
    <row r="61" spans="1:10" ht="27.6" x14ac:dyDescent="0.3">
      <c r="A61" s="107"/>
      <c r="B61" s="143" t="s">
        <v>64</v>
      </c>
      <c r="C61" s="137" t="s">
        <v>331</v>
      </c>
      <c r="D61" s="135" t="s">
        <v>297</v>
      </c>
      <c r="E61" s="8">
        <v>3</v>
      </c>
      <c r="F61" s="136">
        <v>1219593</v>
      </c>
      <c r="G61" s="12">
        <f t="shared" si="4"/>
        <v>3658779</v>
      </c>
      <c r="H61" s="110"/>
    </row>
    <row r="62" spans="1:10" ht="27.6" x14ac:dyDescent="0.3">
      <c r="A62" s="107"/>
      <c r="B62" s="143" t="s">
        <v>65</v>
      </c>
      <c r="C62" s="137" t="s">
        <v>332</v>
      </c>
      <c r="D62" s="135" t="s">
        <v>297</v>
      </c>
      <c r="E62" s="8">
        <v>1</v>
      </c>
      <c r="F62" s="136">
        <v>876870</v>
      </c>
      <c r="G62" s="12">
        <f t="shared" si="4"/>
        <v>876870</v>
      </c>
      <c r="H62" s="110"/>
    </row>
    <row r="63" spans="1:10" ht="27.6" x14ac:dyDescent="0.3">
      <c r="A63" s="107"/>
      <c r="B63" s="143" t="s">
        <v>66</v>
      </c>
      <c r="C63" s="137" t="s">
        <v>333</v>
      </c>
      <c r="D63" s="135" t="s">
        <v>297</v>
      </c>
      <c r="E63" s="8">
        <v>1</v>
      </c>
      <c r="F63" s="136">
        <v>505150</v>
      </c>
      <c r="G63" s="12">
        <f t="shared" si="4"/>
        <v>505150</v>
      </c>
      <c r="H63" s="110"/>
    </row>
    <row r="64" spans="1:10" ht="27.6" x14ac:dyDescent="0.3">
      <c r="A64" s="107"/>
      <c r="B64" s="143" t="s">
        <v>67</v>
      </c>
      <c r="C64" s="137" t="s">
        <v>334</v>
      </c>
      <c r="D64" s="135" t="s">
        <v>297</v>
      </c>
      <c r="E64" s="8">
        <v>7</v>
      </c>
      <c r="F64" s="136">
        <v>317628</v>
      </c>
      <c r="G64" s="12">
        <f t="shared" si="4"/>
        <v>2223396</v>
      </c>
      <c r="H64" s="110"/>
    </row>
    <row r="65" spans="1:10" ht="27.6" x14ac:dyDescent="0.3">
      <c r="A65" s="107"/>
      <c r="B65" s="143" t="s">
        <v>68</v>
      </c>
      <c r="C65" s="137" t="s">
        <v>335</v>
      </c>
      <c r="D65" s="135" t="s">
        <v>297</v>
      </c>
      <c r="E65" s="8">
        <v>1</v>
      </c>
      <c r="F65" s="136">
        <v>183743</v>
      </c>
      <c r="G65" s="12">
        <f t="shared" si="4"/>
        <v>183743</v>
      </c>
      <c r="H65" s="110"/>
    </row>
    <row r="66" spans="1:10" ht="27.6" x14ac:dyDescent="0.3">
      <c r="A66" s="107"/>
      <c r="B66" s="143" t="s">
        <v>69</v>
      </c>
      <c r="C66" s="137" t="s">
        <v>336</v>
      </c>
      <c r="D66" s="135" t="s">
        <v>297</v>
      </c>
      <c r="E66" s="8">
        <v>1</v>
      </c>
      <c r="F66" s="136">
        <v>132647</v>
      </c>
      <c r="G66" s="12">
        <f t="shared" si="4"/>
        <v>132647</v>
      </c>
      <c r="H66" s="110"/>
    </row>
    <row r="67" spans="1:10" ht="27.6" x14ac:dyDescent="0.3">
      <c r="A67" s="107"/>
      <c r="B67" s="143" t="s">
        <v>70</v>
      </c>
      <c r="C67" s="137" t="s">
        <v>337</v>
      </c>
      <c r="D67" s="135" t="s">
        <v>297</v>
      </c>
      <c r="E67" s="8">
        <v>1</v>
      </c>
      <c r="F67" s="136">
        <v>108903</v>
      </c>
      <c r="G67" s="12">
        <f t="shared" si="4"/>
        <v>108903</v>
      </c>
      <c r="H67" s="110"/>
    </row>
    <row r="68" spans="1:10" ht="27.6" x14ac:dyDescent="0.3">
      <c r="A68" s="107"/>
      <c r="B68" s="143" t="s">
        <v>71</v>
      </c>
      <c r="C68" s="137" t="s">
        <v>338</v>
      </c>
      <c r="D68" s="135" t="s">
        <v>297</v>
      </c>
      <c r="E68" s="8">
        <v>3</v>
      </c>
      <c r="F68" s="136">
        <v>1524083</v>
      </c>
      <c r="G68" s="12">
        <f t="shared" si="4"/>
        <v>4572249</v>
      </c>
      <c r="H68" s="110"/>
    </row>
    <row r="69" spans="1:10" ht="27.6" x14ac:dyDescent="0.3">
      <c r="A69" s="107"/>
      <c r="B69" s="143" t="s">
        <v>72</v>
      </c>
      <c r="C69" s="137" t="s">
        <v>339</v>
      </c>
      <c r="D69" s="135" t="s">
        <v>297</v>
      </c>
      <c r="E69" s="8">
        <v>1</v>
      </c>
      <c r="F69" s="136">
        <v>968525</v>
      </c>
      <c r="G69" s="12">
        <f t="shared" si="4"/>
        <v>968525</v>
      </c>
      <c r="H69" s="110"/>
    </row>
    <row r="70" spans="1:10" ht="27.6" x14ac:dyDescent="0.3">
      <c r="A70" s="107"/>
      <c r="B70" s="143" t="s">
        <v>73</v>
      </c>
      <c r="C70" s="137" t="s">
        <v>340</v>
      </c>
      <c r="D70" s="135" t="s">
        <v>297</v>
      </c>
      <c r="E70" s="8">
        <v>1</v>
      </c>
      <c r="F70" s="136">
        <v>516275</v>
      </c>
      <c r="G70" s="12">
        <f t="shared" si="4"/>
        <v>516275</v>
      </c>
      <c r="H70" s="110"/>
    </row>
    <row r="71" spans="1:10" ht="27.6" x14ac:dyDescent="0.3">
      <c r="A71" s="107"/>
      <c r="B71" s="143" t="s">
        <v>74</v>
      </c>
      <c r="C71" s="137" t="s">
        <v>341</v>
      </c>
      <c r="D71" s="135" t="s">
        <v>297</v>
      </c>
      <c r="E71" s="8">
        <v>1</v>
      </c>
      <c r="F71" s="136">
        <v>371659</v>
      </c>
      <c r="G71" s="12">
        <f>IFERROR(ROUND($E71*$F71,0),"")</f>
        <v>371659</v>
      </c>
      <c r="H71" s="110"/>
    </row>
    <row r="72" spans="1:10" ht="27.6" x14ac:dyDescent="0.3">
      <c r="A72" s="107"/>
      <c r="B72" s="143" t="s">
        <v>75</v>
      </c>
      <c r="C72" s="137" t="s">
        <v>342</v>
      </c>
      <c r="D72" s="135" t="s">
        <v>297</v>
      </c>
      <c r="E72" s="8">
        <v>1</v>
      </c>
      <c r="F72" s="136">
        <v>173278</v>
      </c>
      <c r="G72" s="12">
        <f t="shared" ref="G72:G88" si="5">IFERROR(ROUND($E72*$F72,0),"")</f>
        <v>173278</v>
      </c>
      <c r="H72" s="110"/>
    </row>
    <row r="73" spans="1:10" ht="27.6" x14ac:dyDescent="0.3">
      <c r="A73" s="107"/>
      <c r="B73" s="143" t="s">
        <v>76</v>
      </c>
      <c r="C73" s="137" t="s">
        <v>343</v>
      </c>
      <c r="D73" s="135" t="s">
        <v>297</v>
      </c>
      <c r="E73" s="8">
        <v>1</v>
      </c>
      <c r="F73" s="136">
        <v>123234</v>
      </c>
      <c r="G73" s="12">
        <f t="shared" si="5"/>
        <v>123234</v>
      </c>
      <c r="H73" s="110"/>
      <c r="J73" s="10"/>
    </row>
    <row r="74" spans="1:10" ht="27.6" x14ac:dyDescent="0.3">
      <c r="A74" s="107"/>
      <c r="B74" s="143" t="s">
        <v>77</v>
      </c>
      <c r="C74" s="137" t="s">
        <v>344</v>
      </c>
      <c r="D74" s="135" t="s">
        <v>297</v>
      </c>
      <c r="E74" s="8">
        <v>1</v>
      </c>
      <c r="F74" s="136">
        <v>86693</v>
      </c>
      <c r="G74" s="12">
        <f t="shared" si="5"/>
        <v>86693</v>
      </c>
      <c r="H74" s="110"/>
      <c r="J74" s="10"/>
    </row>
    <row r="75" spans="1:10" x14ac:dyDescent="0.3">
      <c r="A75" s="107"/>
      <c r="B75" s="143" t="s">
        <v>78</v>
      </c>
      <c r="C75" s="137" t="s">
        <v>345</v>
      </c>
      <c r="D75" s="135" t="s">
        <v>297</v>
      </c>
      <c r="E75" s="8">
        <v>4</v>
      </c>
      <c r="F75" s="136">
        <v>52620</v>
      </c>
      <c r="G75" s="12">
        <f t="shared" si="5"/>
        <v>210480</v>
      </c>
      <c r="H75" s="110"/>
      <c r="J75" s="10"/>
    </row>
    <row r="76" spans="1:10" x14ac:dyDescent="0.3">
      <c r="A76" s="107"/>
      <c r="B76" s="133" t="s">
        <v>79</v>
      </c>
      <c r="C76" s="134" t="s">
        <v>346</v>
      </c>
      <c r="D76" s="135"/>
      <c r="E76" s="8"/>
      <c r="F76" s="136" t="s">
        <v>284</v>
      </c>
      <c r="G76" s="12" t="str">
        <f t="shared" si="5"/>
        <v/>
      </c>
      <c r="H76" s="110"/>
      <c r="J76" s="10"/>
    </row>
    <row r="77" spans="1:10" ht="27.6" x14ac:dyDescent="0.3">
      <c r="A77" s="107"/>
      <c r="B77" s="143" t="s">
        <v>80</v>
      </c>
      <c r="C77" s="137" t="s">
        <v>347</v>
      </c>
      <c r="D77" s="135" t="s">
        <v>303</v>
      </c>
      <c r="E77" s="8">
        <v>6</v>
      </c>
      <c r="F77" s="136">
        <v>32371</v>
      </c>
      <c r="G77" s="12">
        <f t="shared" si="5"/>
        <v>194226</v>
      </c>
      <c r="H77" s="110"/>
      <c r="J77" s="10"/>
    </row>
    <row r="78" spans="1:10" ht="27.6" x14ac:dyDescent="0.3">
      <c r="A78" s="107"/>
      <c r="B78" s="143" t="s">
        <v>81</v>
      </c>
      <c r="C78" s="137" t="s">
        <v>348</v>
      </c>
      <c r="D78" s="135" t="s">
        <v>303</v>
      </c>
      <c r="E78" s="8">
        <v>6</v>
      </c>
      <c r="F78" s="136">
        <v>28633</v>
      </c>
      <c r="G78" s="12">
        <f t="shared" si="5"/>
        <v>171798</v>
      </c>
      <c r="H78" s="110"/>
      <c r="J78" s="10"/>
    </row>
    <row r="79" spans="1:10" ht="27.6" x14ac:dyDescent="0.3">
      <c r="A79" s="107"/>
      <c r="B79" s="143" t="s">
        <v>82</v>
      </c>
      <c r="C79" s="137" t="s">
        <v>349</v>
      </c>
      <c r="D79" s="135" t="s">
        <v>297</v>
      </c>
      <c r="E79" s="8">
        <v>2</v>
      </c>
      <c r="F79" s="136">
        <v>182924</v>
      </c>
      <c r="G79" s="12">
        <f t="shared" si="5"/>
        <v>365848</v>
      </c>
      <c r="H79" s="110"/>
      <c r="J79" s="10"/>
    </row>
    <row r="80" spans="1:10" x14ac:dyDescent="0.3">
      <c r="A80" s="107"/>
      <c r="B80" s="145" t="s">
        <v>83</v>
      </c>
      <c r="C80" s="134" t="s">
        <v>350</v>
      </c>
      <c r="D80" s="135"/>
      <c r="E80" s="8"/>
      <c r="F80" s="136" t="s">
        <v>284</v>
      </c>
      <c r="G80" s="12" t="str">
        <f t="shared" si="5"/>
        <v/>
      </c>
      <c r="H80" s="110"/>
      <c r="J80" s="10"/>
    </row>
    <row r="81" spans="1:8" ht="55.2" x14ac:dyDescent="0.3">
      <c r="A81" s="107"/>
      <c r="B81" s="143" t="s">
        <v>84</v>
      </c>
      <c r="C81" s="137" t="s">
        <v>351</v>
      </c>
      <c r="D81" s="135" t="s">
        <v>297</v>
      </c>
      <c r="E81" s="8">
        <v>1</v>
      </c>
      <c r="F81" s="136">
        <v>228585</v>
      </c>
      <c r="G81" s="12">
        <f t="shared" si="5"/>
        <v>228585</v>
      </c>
      <c r="H81" s="110"/>
    </row>
    <row r="82" spans="1:8" ht="27.6" x14ac:dyDescent="0.3">
      <c r="A82" s="107"/>
      <c r="B82" s="143" t="s">
        <v>85</v>
      </c>
      <c r="C82" s="137" t="s">
        <v>352</v>
      </c>
      <c r="D82" s="135" t="s">
        <v>297</v>
      </c>
      <c r="E82" s="8">
        <v>1</v>
      </c>
      <c r="F82" s="136">
        <v>1731445</v>
      </c>
      <c r="G82" s="12">
        <f t="shared" si="5"/>
        <v>1731445</v>
      </c>
      <c r="H82" s="110"/>
    </row>
    <row r="83" spans="1:8" ht="27.6" x14ac:dyDescent="0.3">
      <c r="A83" s="107"/>
      <c r="B83" s="1" t="s">
        <v>86</v>
      </c>
      <c r="C83" s="137" t="s">
        <v>353</v>
      </c>
      <c r="D83" s="135" t="s">
        <v>297</v>
      </c>
      <c r="E83" s="8">
        <v>2</v>
      </c>
      <c r="F83" s="136">
        <v>25482100</v>
      </c>
      <c r="G83" s="12">
        <f>IFERROR(ROUND($E83*$F83,0),"")</f>
        <v>50964200</v>
      </c>
      <c r="H83" s="110"/>
    </row>
    <row r="84" spans="1:8" x14ac:dyDescent="0.3">
      <c r="A84" s="107"/>
      <c r="B84" s="120" t="s">
        <v>87</v>
      </c>
      <c r="C84" s="134" t="s">
        <v>354</v>
      </c>
      <c r="D84" s="135"/>
      <c r="E84" s="8"/>
      <c r="F84" s="136"/>
      <c r="G84" s="12"/>
      <c r="H84" s="110"/>
    </row>
    <row r="85" spans="1:8" x14ac:dyDescent="0.3">
      <c r="A85" s="107"/>
      <c r="B85" s="108" t="s">
        <v>88</v>
      </c>
      <c r="C85" s="137" t="s">
        <v>355</v>
      </c>
      <c r="D85" s="135" t="s">
        <v>297</v>
      </c>
      <c r="E85" s="8">
        <v>1</v>
      </c>
      <c r="F85" s="136">
        <v>1221500</v>
      </c>
      <c r="G85" s="12">
        <f t="shared" si="5"/>
        <v>1221500</v>
      </c>
      <c r="H85" s="110"/>
    </row>
    <row r="86" spans="1:8" x14ac:dyDescent="0.3">
      <c r="A86" s="107"/>
      <c r="B86" s="108" t="s">
        <v>89</v>
      </c>
      <c r="C86" s="137" t="s">
        <v>356</v>
      </c>
      <c r="D86" s="135" t="s">
        <v>297</v>
      </c>
      <c r="E86" s="8">
        <v>1</v>
      </c>
      <c r="F86" s="136">
        <v>733320</v>
      </c>
      <c r="G86" s="12">
        <f t="shared" si="5"/>
        <v>733320</v>
      </c>
      <c r="H86" s="110"/>
    </row>
    <row r="87" spans="1:8" x14ac:dyDescent="0.3">
      <c r="A87" s="107"/>
      <c r="B87" s="108" t="s">
        <v>90</v>
      </c>
      <c r="C87" s="137" t="s">
        <v>357</v>
      </c>
      <c r="D87" s="135" t="s">
        <v>297</v>
      </c>
      <c r="E87" s="8">
        <v>1</v>
      </c>
      <c r="F87" s="136">
        <v>2441951</v>
      </c>
      <c r="G87" s="12">
        <f t="shared" si="5"/>
        <v>2441951</v>
      </c>
      <c r="H87" s="110"/>
    </row>
    <row r="88" spans="1:8" x14ac:dyDescent="0.3">
      <c r="A88" s="107"/>
      <c r="B88" s="108" t="s">
        <v>91</v>
      </c>
      <c r="C88" s="137" t="s">
        <v>358</v>
      </c>
      <c r="D88" s="135" t="s">
        <v>297</v>
      </c>
      <c r="E88" s="8">
        <v>1</v>
      </c>
      <c r="F88" s="136">
        <v>1831725</v>
      </c>
      <c r="G88" s="12">
        <f t="shared" si="5"/>
        <v>1831725</v>
      </c>
      <c r="H88" s="110"/>
    </row>
    <row r="89" spans="1:8" x14ac:dyDescent="0.3">
      <c r="A89" s="107"/>
      <c r="B89" s="146" t="s">
        <v>21</v>
      </c>
      <c r="F89" s="2"/>
      <c r="G89" s="11">
        <f>SUBTOTAL(109,POE_REDES_HIDROSANITARIAS[[VALOR TOTAL                                ]])</f>
        <v>103395971</v>
      </c>
      <c r="H89" s="110"/>
    </row>
    <row r="90" spans="1:8" x14ac:dyDescent="0.3">
      <c r="A90" s="107"/>
      <c r="B90" s="127" t="s">
        <v>92</v>
      </c>
      <c r="C90" s="128" t="s">
        <v>93</v>
      </c>
      <c r="D90" s="129" t="s">
        <v>10</v>
      </c>
      <c r="E90" s="130" t="s">
        <v>11</v>
      </c>
      <c r="F90" s="131" t="s">
        <v>12</v>
      </c>
      <c r="G90" s="132" t="s">
        <v>13</v>
      </c>
      <c r="H90" s="110"/>
    </row>
    <row r="91" spans="1:8" x14ac:dyDescent="0.3">
      <c r="A91" s="107"/>
      <c r="B91" s="147" t="s">
        <v>94</v>
      </c>
      <c r="C91" s="148" t="s">
        <v>359</v>
      </c>
      <c r="D91" s="135"/>
      <c r="E91" s="8"/>
      <c r="F91" s="136"/>
      <c r="G91" s="12"/>
      <c r="H91" s="110"/>
    </row>
    <row r="92" spans="1:8" ht="144.75" customHeight="1" x14ac:dyDescent="0.3">
      <c r="A92" s="107"/>
      <c r="B92" s="149" t="s">
        <v>95</v>
      </c>
      <c r="C92" s="150" t="s">
        <v>360</v>
      </c>
      <c r="D92" s="135" t="s">
        <v>297</v>
      </c>
      <c r="E92" s="8">
        <v>1</v>
      </c>
      <c r="F92" s="136">
        <v>4354580</v>
      </c>
      <c r="G92" s="12">
        <f>IFERROR(ROUND($E92*$F92,0),"")</f>
        <v>4354580</v>
      </c>
      <c r="H92" s="110"/>
    </row>
    <row r="93" spans="1:8" ht="57.75" customHeight="1" x14ac:dyDescent="0.3">
      <c r="A93" s="107"/>
      <c r="B93" s="149" t="s">
        <v>96</v>
      </c>
      <c r="C93" s="150" t="s">
        <v>361</v>
      </c>
      <c r="D93" s="135" t="s">
        <v>297</v>
      </c>
      <c r="E93" s="8">
        <v>1</v>
      </c>
      <c r="F93" s="136">
        <v>2374000</v>
      </c>
      <c r="G93" s="12">
        <f>IFERROR(ROUND($E93*$F93,0),"")</f>
        <v>2374000</v>
      </c>
      <c r="H93" s="110"/>
    </row>
    <row r="94" spans="1:8" x14ac:dyDescent="0.3">
      <c r="A94" s="107"/>
      <c r="B94" s="147" t="s">
        <v>97</v>
      </c>
      <c r="C94" s="148" t="s">
        <v>362</v>
      </c>
      <c r="D94" s="135"/>
      <c r="E94" s="8"/>
      <c r="F94" s="136"/>
      <c r="G94" s="12"/>
      <c r="H94" s="110"/>
    </row>
    <row r="95" spans="1:8" ht="27.6" x14ac:dyDescent="0.3">
      <c r="A95" s="107"/>
      <c r="B95" s="149" t="s">
        <v>98</v>
      </c>
      <c r="C95" s="150" t="s">
        <v>363</v>
      </c>
      <c r="D95" s="135" t="s">
        <v>303</v>
      </c>
      <c r="E95" s="8">
        <v>45</v>
      </c>
      <c r="F95" s="136">
        <v>33728</v>
      </c>
      <c r="G95" s="12">
        <f>IFERROR(ROUND($E95*$F95,0),"")</f>
        <v>1517760</v>
      </c>
      <c r="H95" s="110"/>
    </row>
    <row r="96" spans="1:8" x14ac:dyDescent="0.3">
      <c r="A96" s="107"/>
      <c r="B96" s="151" t="s">
        <v>99</v>
      </c>
      <c r="C96" s="152" t="s">
        <v>364</v>
      </c>
      <c r="D96" s="135"/>
      <c r="E96" s="8"/>
      <c r="F96" s="136"/>
      <c r="G96" s="12"/>
      <c r="H96" s="110"/>
    </row>
    <row r="97" spans="1:8" ht="41.4" x14ac:dyDescent="0.3">
      <c r="A97" s="107"/>
      <c r="B97" s="149" t="s">
        <v>100</v>
      </c>
      <c r="C97" s="150" t="s">
        <v>365</v>
      </c>
      <c r="D97" s="135" t="s">
        <v>297</v>
      </c>
      <c r="E97" s="8">
        <v>1</v>
      </c>
      <c r="F97" s="136">
        <v>1535277</v>
      </c>
      <c r="G97" s="12">
        <f>IFERROR(ROUND($E97*$F97,0),"")</f>
        <v>1535277</v>
      </c>
      <c r="H97" s="110"/>
    </row>
    <row r="98" spans="1:8" x14ac:dyDescent="0.3">
      <c r="A98" s="107"/>
      <c r="B98" s="151" t="s">
        <v>101</v>
      </c>
      <c r="C98" s="152" t="s">
        <v>366</v>
      </c>
      <c r="D98" s="135"/>
      <c r="E98" s="8"/>
      <c r="F98" s="136" t="s">
        <v>284</v>
      </c>
      <c r="G98" s="12" t="str">
        <f>IFERROR(ROUND($E98*$F98,0),"")</f>
        <v/>
      </c>
      <c r="H98" s="110"/>
    </row>
    <row r="99" spans="1:8" ht="41.4" x14ac:dyDescent="0.3">
      <c r="A99" s="107"/>
      <c r="B99" s="149" t="s">
        <v>102</v>
      </c>
      <c r="C99" s="150" t="s">
        <v>367</v>
      </c>
      <c r="D99" s="135" t="s">
        <v>303</v>
      </c>
      <c r="E99" s="8">
        <v>45</v>
      </c>
      <c r="F99" s="136">
        <v>75463</v>
      </c>
      <c r="G99" s="12">
        <f>IFERROR(ROUND($E99*$F99,0),"")</f>
        <v>3395835</v>
      </c>
      <c r="H99" s="110"/>
    </row>
    <row r="100" spans="1:8" ht="46.5" customHeight="1" x14ac:dyDescent="0.3">
      <c r="A100" s="107"/>
      <c r="B100" s="1" t="s">
        <v>103</v>
      </c>
      <c r="C100" s="150" t="s">
        <v>368</v>
      </c>
      <c r="D100" s="135" t="s">
        <v>303</v>
      </c>
      <c r="E100" s="8">
        <v>20</v>
      </c>
      <c r="F100" s="136">
        <v>478299</v>
      </c>
      <c r="G100" s="12">
        <f>IFERROR(ROUND($E100*$F100,0),"")</f>
        <v>9565980</v>
      </c>
      <c r="H100" s="110"/>
    </row>
    <row r="101" spans="1:8" x14ac:dyDescent="0.3">
      <c r="A101" s="107"/>
      <c r="B101" s="147" t="s">
        <v>104</v>
      </c>
      <c r="C101" s="148" t="s">
        <v>369</v>
      </c>
      <c r="D101" s="135"/>
      <c r="E101" s="8"/>
      <c r="F101" s="136"/>
      <c r="G101" s="12"/>
      <c r="H101" s="110"/>
    </row>
    <row r="102" spans="1:8" ht="27.6" x14ac:dyDescent="0.3">
      <c r="A102" s="107"/>
      <c r="B102" s="1" t="s">
        <v>105</v>
      </c>
      <c r="C102" s="150" t="s">
        <v>370</v>
      </c>
      <c r="D102" s="135" t="s">
        <v>303</v>
      </c>
      <c r="E102" s="13">
        <v>500</v>
      </c>
      <c r="F102" s="136">
        <v>17021</v>
      </c>
      <c r="G102" s="12">
        <f>IFERROR(ROUND($E102*$F102,0),"")</f>
        <v>8510500</v>
      </c>
      <c r="H102" s="110"/>
    </row>
    <row r="103" spans="1:8" x14ac:dyDescent="0.3">
      <c r="A103" s="107"/>
      <c r="B103" s="147" t="s">
        <v>106</v>
      </c>
      <c r="C103" s="148" t="s">
        <v>371</v>
      </c>
      <c r="D103" s="135"/>
      <c r="E103" s="8"/>
      <c r="F103" s="136"/>
      <c r="G103" s="12"/>
      <c r="H103" s="110"/>
    </row>
    <row r="104" spans="1:8" ht="27.6" x14ac:dyDescent="0.3">
      <c r="A104" s="107"/>
      <c r="B104" s="1" t="s">
        <v>107</v>
      </c>
      <c r="C104" s="150" t="s">
        <v>372</v>
      </c>
      <c r="D104" s="135" t="s">
        <v>303</v>
      </c>
      <c r="E104" s="8">
        <v>150</v>
      </c>
      <c r="F104" s="136">
        <v>64166</v>
      </c>
      <c r="G104" s="12">
        <f>IFERROR(ROUND($E104*$F104,0),"")</f>
        <v>9624900</v>
      </c>
      <c r="H104" s="110"/>
    </row>
    <row r="105" spans="1:8" ht="27.6" x14ac:dyDescent="0.3">
      <c r="A105" s="107"/>
      <c r="B105" s="1" t="s">
        <v>108</v>
      </c>
      <c r="C105" s="150" t="s">
        <v>373</v>
      </c>
      <c r="D105" s="135" t="s">
        <v>303</v>
      </c>
      <c r="E105" s="8">
        <v>20</v>
      </c>
      <c r="F105" s="136">
        <v>127415</v>
      </c>
      <c r="G105" s="12">
        <f>IFERROR(ROUND($E105*$F105,0),"")</f>
        <v>2548300</v>
      </c>
      <c r="H105" s="110"/>
    </row>
    <row r="106" spans="1:8" x14ac:dyDescent="0.3">
      <c r="A106" s="107"/>
      <c r="B106" s="147" t="s">
        <v>109</v>
      </c>
      <c r="C106" s="148" t="s">
        <v>374</v>
      </c>
      <c r="D106" s="135"/>
      <c r="E106" s="8"/>
      <c r="F106" s="136"/>
      <c r="G106" s="12"/>
      <c r="H106" s="110"/>
    </row>
    <row r="107" spans="1:8" ht="57.75" customHeight="1" x14ac:dyDescent="0.3">
      <c r="A107" s="107"/>
      <c r="B107" s="1" t="s">
        <v>110</v>
      </c>
      <c r="C107" s="150" t="s">
        <v>375</v>
      </c>
      <c r="D107" s="135" t="s">
        <v>297</v>
      </c>
      <c r="E107" s="8">
        <v>20</v>
      </c>
      <c r="F107" s="136">
        <v>728637</v>
      </c>
      <c r="G107" s="12">
        <f>IFERROR(ROUND($E107*$F107,0),"")</f>
        <v>14572740</v>
      </c>
      <c r="H107" s="110"/>
    </row>
    <row r="108" spans="1:8" ht="27.6" x14ac:dyDescent="0.3">
      <c r="A108" s="107"/>
      <c r="B108" s="108" t="s">
        <v>111</v>
      </c>
      <c r="C108" s="150" t="s">
        <v>376</v>
      </c>
      <c r="D108" s="135" t="s">
        <v>297</v>
      </c>
      <c r="E108" s="8">
        <v>20</v>
      </c>
      <c r="F108" s="136">
        <v>408918</v>
      </c>
      <c r="G108" s="12">
        <f>IFERROR(ROUND($E108*$F108,0),"")</f>
        <v>8178360</v>
      </c>
      <c r="H108" s="110"/>
    </row>
    <row r="109" spans="1:8" x14ac:dyDescent="0.3">
      <c r="A109" s="107"/>
      <c r="B109" s="1" t="s">
        <v>112</v>
      </c>
      <c r="C109" s="150" t="s">
        <v>377</v>
      </c>
      <c r="D109" s="135" t="s">
        <v>297</v>
      </c>
      <c r="E109" s="8">
        <v>10</v>
      </c>
      <c r="F109" s="136">
        <v>139799</v>
      </c>
      <c r="G109" s="12">
        <f t="shared" ref="G109:G111" si="6">IFERROR(ROUND($E109*$F109,0),"")</f>
        <v>1397990</v>
      </c>
      <c r="H109" s="110"/>
    </row>
    <row r="110" spans="1:8" ht="58.5" customHeight="1" x14ac:dyDescent="0.3">
      <c r="A110" s="107"/>
      <c r="B110" s="1" t="s">
        <v>113</v>
      </c>
      <c r="C110" s="150" t="s">
        <v>378</v>
      </c>
      <c r="D110" s="135" t="s">
        <v>297</v>
      </c>
      <c r="E110" s="8">
        <v>20</v>
      </c>
      <c r="F110" s="136">
        <v>107849</v>
      </c>
      <c r="G110" s="12">
        <f t="shared" si="6"/>
        <v>2156980</v>
      </c>
      <c r="H110" s="110"/>
    </row>
    <row r="111" spans="1:8" ht="26.25" customHeight="1" x14ac:dyDescent="0.3">
      <c r="A111" s="107"/>
      <c r="B111" s="1" t="s">
        <v>114</v>
      </c>
      <c r="C111" s="150" t="s">
        <v>379</v>
      </c>
      <c r="D111" s="135" t="s">
        <v>297</v>
      </c>
      <c r="E111" s="8">
        <v>20</v>
      </c>
      <c r="F111" s="136">
        <v>346069</v>
      </c>
      <c r="G111" s="12">
        <f t="shared" si="6"/>
        <v>6921380</v>
      </c>
      <c r="H111" s="110"/>
    </row>
    <row r="112" spans="1:8" ht="29.25" customHeight="1" x14ac:dyDescent="0.3">
      <c r="A112" s="107"/>
      <c r="B112" s="1" t="s">
        <v>115</v>
      </c>
      <c r="C112" s="150" t="s">
        <v>380</v>
      </c>
      <c r="D112" s="135" t="s">
        <v>297</v>
      </c>
      <c r="E112" s="8">
        <v>10</v>
      </c>
      <c r="F112" s="136">
        <v>679996</v>
      </c>
      <c r="G112" s="12">
        <f>IFERROR(ROUND($E112*$F112,0),"")</f>
        <v>6799960</v>
      </c>
      <c r="H112" s="110"/>
    </row>
    <row r="113" spans="1:8" x14ac:dyDescent="0.3">
      <c r="A113" s="107"/>
      <c r="B113" s="1" t="s">
        <v>116</v>
      </c>
      <c r="C113" s="150" t="s">
        <v>381</v>
      </c>
      <c r="D113" s="135" t="s">
        <v>297</v>
      </c>
      <c r="E113" s="8">
        <v>20</v>
      </c>
      <c r="F113" s="136">
        <v>195780</v>
      </c>
      <c r="G113" s="12">
        <f t="shared" ref="G113:G114" si="7">IFERROR(ROUND($E113*$F113,0),"")</f>
        <v>3915600</v>
      </c>
      <c r="H113" s="110"/>
    </row>
    <row r="114" spans="1:8" x14ac:dyDescent="0.3">
      <c r="A114" s="107"/>
      <c r="B114" s="1" t="s">
        <v>117</v>
      </c>
      <c r="C114" s="150" t="s">
        <v>382</v>
      </c>
      <c r="D114" s="135" t="s">
        <v>297</v>
      </c>
      <c r="E114" s="8">
        <v>1.5</v>
      </c>
      <c r="F114" s="136">
        <v>463555</v>
      </c>
      <c r="G114" s="12">
        <f t="shared" si="7"/>
        <v>695333</v>
      </c>
      <c r="H114" s="110"/>
    </row>
    <row r="115" spans="1:8" x14ac:dyDescent="0.3">
      <c r="A115" s="107"/>
      <c r="B115" s="151" t="s">
        <v>118</v>
      </c>
      <c r="C115" s="152" t="s">
        <v>383</v>
      </c>
      <c r="D115" s="135"/>
      <c r="E115" s="8"/>
      <c r="F115" s="136"/>
      <c r="G115" s="12"/>
      <c r="H115" s="110"/>
    </row>
    <row r="116" spans="1:8" ht="55.2" x14ac:dyDescent="0.3">
      <c r="A116" s="107"/>
      <c r="B116" s="14" t="s">
        <v>119</v>
      </c>
      <c r="C116" s="150" t="s">
        <v>120</v>
      </c>
      <c r="D116" s="135" t="s">
        <v>297</v>
      </c>
      <c r="E116" s="8">
        <v>3</v>
      </c>
      <c r="F116" s="136">
        <v>1873762</v>
      </c>
      <c r="G116" s="12">
        <f>IFERROR(ROUND($E116*$F116,0),"")</f>
        <v>5621286</v>
      </c>
      <c r="H116" s="110"/>
    </row>
    <row r="117" spans="1:8" x14ac:dyDescent="0.3">
      <c r="A117" s="107"/>
      <c r="B117" s="153" t="s">
        <v>121</v>
      </c>
      <c r="C117" s="152" t="s">
        <v>384</v>
      </c>
      <c r="D117" s="135"/>
      <c r="E117" s="8"/>
      <c r="F117" s="136"/>
      <c r="G117" s="12"/>
      <c r="H117" s="110"/>
    </row>
    <row r="118" spans="1:8" x14ac:dyDescent="0.3">
      <c r="A118" s="107"/>
      <c r="B118" s="1" t="s">
        <v>122</v>
      </c>
      <c r="C118" s="150" t="s">
        <v>385</v>
      </c>
      <c r="D118" s="135" t="s">
        <v>297</v>
      </c>
      <c r="E118" s="8">
        <v>1</v>
      </c>
      <c r="F118" s="154">
        <v>4500000</v>
      </c>
      <c r="G118" s="12">
        <f t="shared" ref="G118:G120" si="8">IFERROR(ROUND($E118*$F118,0),"")</f>
        <v>4500000</v>
      </c>
      <c r="H118" s="110"/>
    </row>
    <row r="119" spans="1:8" x14ac:dyDescent="0.3">
      <c r="A119" s="107"/>
      <c r="B119" s="1" t="s">
        <v>123</v>
      </c>
      <c r="C119" s="150" t="s">
        <v>386</v>
      </c>
      <c r="D119" s="135" t="s">
        <v>297</v>
      </c>
      <c r="E119" s="8">
        <v>1</v>
      </c>
      <c r="F119" s="154">
        <v>5748100</v>
      </c>
      <c r="G119" s="12">
        <f t="shared" si="8"/>
        <v>5748100</v>
      </c>
      <c r="H119" s="110"/>
    </row>
    <row r="120" spans="1:8" ht="90" customHeight="1" x14ac:dyDescent="0.3">
      <c r="A120" s="107"/>
      <c r="B120" s="1" t="s">
        <v>124</v>
      </c>
      <c r="C120" s="150" t="s">
        <v>387</v>
      </c>
      <c r="D120" s="135" t="s">
        <v>297</v>
      </c>
      <c r="E120" s="8">
        <v>1</v>
      </c>
      <c r="F120" s="154">
        <v>3453250</v>
      </c>
      <c r="G120" s="12">
        <f t="shared" si="8"/>
        <v>3453250</v>
      </c>
      <c r="H120" s="110"/>
    </row>
    <row r="121" spans="1:8" ht="27.6" x14ac:dyDescent="0.3">
      <c r="A121" s="107"/>
      <c r="B121" s="1" t="s">
        <v>125</v>
      </c>
      <c r="C121" s="150" t="s">
        <v>388</v>
      </c>
      <c r="D121" s="135" t="s">
        <v>297</v>
      </c>
      <c r="E121" s="8">
        <v>1</v>
      </c>
      <c r="F121" s="136">
        <v>2323650</v>
      </c>
      <c r="G121" s="12">
        <f>IFERROR(ROUND($E121*$F121,0),"")</f>
        <v>2323650</v>
      </c>
      <c r="H121" s="110"/>
    </row>
    <row r="122" spans="1:8" x14ac:dyDescent="0.3">
      <c r="A122" s="107"/>
      <c r="B122" s="1" t="s">
        <v>126</v>
      </c>
      <c r="C122" s="150" t="s">
        <v>389</v>
      </c>
      <c r="D122" s="135" t="s">
        <v>297</v>
      </c>
      <c r="E122" s="8">
        <v>1</v>
      </c>
      <c r="F122" s="136">
        <v>870000</v>
      </c>
      <c r="G122" s="12">
        <f>IFERROR(ROUND($E122*$F122,0),"")</f>
        <v>870000</v>
      </c>
      <c r="H122" s="110"/>
    </row>
    <row r="123" spans="1:8" x14ac:dyDescent="0.3">
      <c r="A123" s="107"/>
      <c r="B123" s="97" t="s">
        <v>127</v>
      </c>
      <c r="C123" s="98" t="s">
        <v>390</v>
      </c>
      <c r="D123" s="135"/>
      <c r="E123" s="135"/>
      <c r="F123" s="141"/>
      <c r="G123" s="142"/>
      <c r="H123" s="110"/>
    </row>
    <row r="124" spans="1:8" ht="27.6" x14ac:dyDescent="0.3">
      <c r="A124" s="107"/>
      <c r="B124" s="1" t="s">
        <v>128</v>
      </c>
      <c r="C124" s="27" t="s">
        <v>391</v>
      </c>
      <c r="D124" s="135" t="s">
        <v>297</v>
      </c>
      <c r="E124" s="8">
        <v>1</v>
      </c>
      <c r="F124" s="136">
        <v>58168396</v>
      </c>
      <c r="G124" s="12">
        <f>IFERROR(ROUND($E124*$F124,0),"")</f>
        <v>58168396</v>
      </c>
      <c r="H124" s="110"/>
    </row>
    <row r="125" spans="1:8" ht="27.6" x14ac:dyDescent="0.3">
      <c r="A125" s="107"/>
      <c r="B125" s="1" t="s">
        <v>129</v>
      </c>
      <c r="C125" s="27" t="s">
        <v>392</v>
      </c>
      <c r="D125" s="135" t="s">
        <v>393</v>
      </c>
      <c r="E125" s="8">
        <v>1</v>
      </c>
      <c r="F125" s="136">
        <v>7500000</v>
      </c>
      <c r="G125" s="12">
        <f>IFERROR(ROUND($E125*$F125,0),"")</f>
        <v>7500000</v>
      </c>
      <c r="H125" s="110"/>
    </row>
    <row r="126" spans="1:8" ht="27.6" x14ac:dyDescent="0.3">
      <c r="A126" s="107"/>
      <c r="B126" s="1" t="s">
        <v>130</v>
      </c>
      <c r="C126" s="150" t="s">
        <v>394</v>
      </c>
      <c r="D126" s="135" t="s">
        <v>393</v>
      </c>
      <c r="E126" s="8">
        <v>1</v>
      </c>
      <c r="F126" s="136">
        <v>3085800</v>
      </c>
      <c r="G126" s="12">
        <f>IFERROR(ROUND($E126*$F126,0),"")</f>
        <v>3085800</v>
      </c>
      <c r="H126" s="110"/>
    </row>
    <row r="127" spans="1:8" x14ac:dyDescent="0.3">
      <c r="A127" s="107"/>
      <c r="B127" s="135" t="s">
        <v>21</v>
      </c>
      <c r="C127" s="150"/>
      <c r="D127" s="135"/>
      <c r="E127" s="135"/>
      <c r="F127" s="141"/>
      <c r="G127" s="142">
        <f>SUBTOTAL(109,POE_INSTALACIONES_ELÉCTRICAS_E_ILUMINACIÓN[[VALOR TOTAL                                ]])</f>
        <v>179335957</v>
      </c>
      <c r="H127" s="110"/>
    </row>
    <row r="128" spans="1:8" x14ac:dyDescent="0.3">
      <c r="A128" s="107"/>
      <c r="B128" s="127" t="s">
        <v>131</v>
      </c>
      <c r="C128" s="128" t="s">
        <v>132</v>
      </c>
      <c r="D128" s="129" t="s">
        <v>10</v>
      </c>
      <c r="E128" s="130" t="s">
        <v>11</v>
      </c>
      <c r="F128" s="131" t="s">
        <v>12</v>
      </c>
      <c r="G128" s="132" t="s">
        <v>13</v>
      </c>
      <c r="H128" s="110"/>
    </row>
    <row r="129" spans="1:8" ht="27.6" x14ac:dyDescent="0.3">
      <c r="A129" s="107"/>
      <c r="B129" s="151" t="s">
        <v>133</v>
      </c>
      <c r="C129" s="134" t="s">
        <v>395</v>
      </c>
      <c r="D129" s="135"/>
      <c r="E129" s="8"/>
      <c r="F129" s="136"/>
      <c r="G129" s="12"/>
      <c r="H129" s="110"/>
    </row>
    <row r="130" spans="1:8" ht="27.6" x14ac:dyDescent="0.3">
      <c r="A130" s="107"/>
      <c r="B130" s="149" t="s">
        <v>134</v>
      </c>
      <c r="C130" s="137" t="s">
        <v>396</v>
      </c>
      <c r="D130" s="135" t="s">
        <v>297</v>
      </c>
      <c r="E130" s="155">
        <v>10</v>
      </c>
      <c r="F130" s="136">
        <v>94888</v>
      </c>
      <c r="G130" s="12">
        <f t="shared" ref="G130:G135" si="9">IFERROR(ROUND($E130*$F130,0),"")</f>
        <v>948880</v>
      </c>
      <c r="H130" s="110"/>
    </row>
    <row r="131" spans="1:8" x14ac:dyDescent="0.3">
      <c r="A131" s="107"/>
      <c r="B131" s="149" t="s">
        <v>135</v>
      </c>
      <c r="C131" s="137" t="s">
        <v>397</v>
      </c>
      <c r="D131" s="135" t="s">
        <v>303</v>
      </c>
      <c r="E131" s="155">
        <v>675</v>
      </c>
      <c r="F131" s="136">
        <v>8451</v>
      </c>
      <c r="G131" s="12">
        <f t="shared" si="9"/>
        <v>5704425</v>
      </c>
      <c r="H131" s="110"/>
    </row>
    <row r="132" spans="1:8" x14ac:dyDescent="0.3">
      <c r="A132" s="107"/>
      <c r="B132" s="149" t="s">
        <v>136</v>
      </c>
      <c r="C132" s="137" t="s">
        <v>398</v>
      </c>
      <c r="D132" s="135" t="s">
        <v>297</v>
      </c>
      <c r="E132" s="155">
        <v>1</v>
      </c>
      <c r="F132" s="136">
        <v>939215</v>
      </c>
      <c r="G132" s="12">
        <f t="shared" si="9"/>
        <v>939215</v>
      </c>
      <c r="H132" s="110"/>
    </row>
    <row r="133" spans="1:8" x14ac:dyDescent="0.3">
      <c r="A133" s="107"/>
      <c r="B133" s="149" t="s">
        <v>137</v>
      </c>
      <c r="C133" s="137" t="s">
        <v>399</v>
      </c>
      <c r="D133" s="135" t="s">
        <v>297</v>
      </c>
      <c r="E133" s="155">
        <v>1</v>
      </c>
      <c r="F133" s="136">
        <v>390253</v>
      </c>
      <c r="G133" s="12">
        <f t="shared" si="9"/>
        <v>390253</v>
      </c>
      <c r="H133" s="110"/>
    </row>
    <row r="134" spans="1:8" x14ac:dyDescent="0.3">
      <c r="A134" s="107"/>
      <c r="B134" s="149" t="s">
        <v>138</v>
      </c>
      <c r="C134" s="137" t="s">
        <v>400</v>
      </c>
      <c r="D134" s="135" t="s">
        <v>297</v>
      </c>
      <c r="E134" s="155">
        <v>15</v>
      </c>
      <c r="F134" s="136">
        <v>37861</v>
      </c>
      <c r="G134" s="12">
        <f t="shared" si="9"/>
        <v>567915</v>
      </c>
      <c r="H134" s="110"/>
    </row>
    <row r="135" spans="1:8" ht="69" x14ac:dyDescent="0.3">
      <c r="A135" s="107"/>
      <c r="B135" s="149" t="s">
        <v>139</v>
      </c>
      <c r="C135" s="137" t="s">
        <v>401</v>
      </c>
      <c r="D135" s="135" t="s">
        <v>297</v>
      </c>
      <c r="E135" s="155">
        <v>1</v>
      </c>
      <c r="F135" s="136">
        <v>933694</v>
      </c>
      <c r="G135" s="12">
        <f t="shared" si="9"/>
        <v>933694</v>
      </c>
      <c r="H135" s="110"/>
    </row>
    <row r="136" spans="1:8" ht="27.6" x14ac:dyDescent="0.3">
      <c r="A136" s="107"/>
      <c r="B136" s="149" t="s">
        <v>140</v>
      </c>
      <c r="C136" s="150" t="s">
        <v>402</v>
      </c>
      <c r="D136" s="135" t="s">
        <v>297</v>
      </c>
      <c r="E136" s="155">
        <v>1</v>
      </c>
      <c r="F136" s="136">
        <v>2980468</v>
      </c>
      <c r="G136" s="12">
        <f>IFERROR(ROUND($E136*$F136,0),"")</f>
        <v>2980468</v>
      </c>
      <c r="H136" s="110"/>
    </row>
    <row r="137" spans="1:8" ht="41.4" x14ac:dyDescent="0.3">
      <c r="A137" s="107"/>
      <c r="B137" s="149" t="s">
        <v>141</v>
      </c>
      <c r="C137" s="150" t="s">
        <v>403</v>
      </c>
      <c r="D137" s="135" t="s">
        <v>297</v>
      </c>
      <c r="E137" s="155">
        <v>2</v>
      </c>
      <c r="F137" s="136">
        <v>299162</v>
      </c>
      <c r="G137" s="12">
        <f>IFERROR(ROUND($E137*$F137,0),"")</f>
        <v>598324</v>
      </c>
      <c r="H137" s="110"/>
    </row>
    <row r="138" spans="1:8" ht="55.2" x14ac:dyDescent="0.3">
      <c r="A138" s="107"/>
      <c r="B138" s="149" t="s">
        <v>142</v>
      </c>
      <c r="C138" s="150" t="s">
        <v>404</v>
      </c>
      <c r="D138" s="135" t="s">
        <v>303</v>
      </c>
      <c r="E138" s="155">
        <v>40</v>
      </c>
      <c r="F138" s="136">
        <v>25320</v>
      </c>
      <c r="G138" s="12">
        <f>IFERROR(ROUND($E138*$F138,0),"")</f>
        <v>1012800</v>
      </c>
      <c r="H138" s="110"/>
    </row>
    <row r="139" spans="1:8" ht="55.2" x14ac:dyDescent="0.3">
      <c r="A139" s="107"/>
      <c r="B139" s="149" t="s">
        <v>143</v>
      </c>
      <c r="C139" s="150" t="s">
        <v>405</v>
      </c>
      <c r="D139" s="135" t="s">
        <v>303</v>
      </c>
      <c r="E139" s="155">
        <f>E138</f>
        <v>40</v>
      </c>
      <c r="F139" s="136">
        <v>23370</v>
      </c>
      <c r="G139" s="12">
        <f>IFERROR(ROUND($E139*$F139,0),"")</f>
        <v>934800</v>
      </c>
      <c r="H139" s="110"/>
    </row>
    <row r="140" spans="1:8" x14ac:dyDescent="0.3">
      <c r="A140" s="107"/>
      <c r="B140" s="135" t="s">
        <v>21</v>
      </c>
      <c r="C140" s="150"/>
      <c r="D140" s="135"/>
      <c r="E140" s="135"/>
      <c r="F140" s="141"/>
      <c r="G140" s="142">
        <f>SUBTOTAL(109,POE_REDES_ESPECIALES[[VALOR TOTAL                                ]])</f>
        <v>15010774</v>
      </c>
      <c r="H140" s="110"/>
    </row>
    <row r="141" spans="1:8" x14ac:dyDescent="0.3">
      <c r="A141" s="107"/>
      <c r="B141" s="127" t="s">
        <v>144</v>
      </c>
      <c r="C141" s="128" t="s">
        <v>145</v>
      </c>
      <c r="D141" s="129" t="s">
        <v>10</v>
      </c>
      <c r="E141" s="130" t="s">
        <v>11</v>
      </c>
      <c r="F141" s="131" t="s">
        <v>12</v>
      </c>
      <c r="G141" s="132" t="s">
        <v>13</v>
      </c>
      <c r="H141" s="110"/>
    </row>
    <row r="142" spans="1:8" ht="27.6" x14ac:dyDescent="0.3">
      <c r="A142" s="107"/>
      <c r="B142" s="1" t="s">
        <v>146</v>
      </c>
      <c r="C142" s="137" t="s">
        <v>406</v>
      </c>
      <c r="D142" s="135" t="s">
        <v>286</v>
      </c>
      <c r="E142" s="8">
        <f>ROUND(((4+3+4+3)*2.5+(4*3*2)),2)</f>
        <v>59</v>
      </c>
      <c r="F142" s="136">
        <v>248863</v>
      </c>
      <c r="G142" s="12">
        <f>IFERROR(ROUND($E142*$F142,0),"")</f>
        <v>14682917</v>
      </c>
      <c r="H142" s="110"/>
    </row>
    <row r="143" spans="1:8" x14ac:dyDescent="0.3">
      <c r="A143" s="107"/>
      <c r="B143" s="1" t="s">
        <v>147</v>
      </c>
      <c r="C143" s="137" t="s">
        <v>407</v>
      </c>
      <c r="D143" s="135" t="s">
        <v>286</v>
      </c>
      <c r="E143" s="8">
        <f>ROUND((4.62*12),2)</f>
        <v>55.44</v>
      </c>
      <c r="F143" s="15">
        <v>226580</v>
      </c>
      <c r="G143" s="12">
        <f>IFERROR(ROUND($E143*$F143,0),"")</f>
        <v>12561595</v>
      </c>
      <c r="H143" s="110"/>
    </row>
    <row r="144" spans="1:8" x14ac:dyDescent="0.3">
      <c r="A144" s="107"/>
      <c r="B144" s="1" t="s">
        <v>21</v>
      </c>
      <c r="C144" s="137"/>
      <c r="D144" s="135"/>
      <c r="E144" s="135"/>
      <c r="F144" s="141"/>
      <c r="G144" s="142">
        <f>SUBTOTAL(109,POE_CUBIERTAS_Y_CIELO_RASOS[[VALOR TOTAL                                ]])</f>
        <v>27244512</v>
      </c>
      <c r="H144" s="110"/>
    </row>
    <row r="145" spans="1:8" x14ac:dyDescent="0.3">
      <c r="A145" s="107"/>
      <c r="B145" s="127" t="s">
        <v>148</v>
      </c>
      <c r="C145" s="128" t="s">
        <v>149</v>
      </c>
      <c r="D145" s="129" t="s">
        <v>10</v>
      </c>
      <c r="E145" s="130" t="s">
        <v>11</v>
      </c>
      <c r="F145" s="131" t="s">
        <v>12</v>
      </c>
      <c r="G145" s="132" t="s">
        <v>13</v>
      </c>
      <c r="H145" s="110"/>
    </row>
    <row r="146" spans="1:8" ht="27.6" x14ac:dyDescent="0.3">
      <c r="A146" s="107"/>
      <c r="B146" s="1" t="s">
        <v>150</v>
      </c>
      <c r="C146" s="137" t="s">
        <v>408</v>
      </c>
      <c r="D146" s="135" t="s">
        <v>286</v>
      </c>
      <c r="E146" s="8">
        <f>ROUND((46.4*0.2),2)</f>
        <v>9.2799999999999994</v>
      </c>
      <c r="F146" s="136">
        <v>29290</v>
      </c>
      <c r="G146" s="12">
        <f>IFERROR(ROUND($E146*$F146,0),"")</f>
        <v>271811</v>
      </c>
      <c r="H146" s="110"/>
    </row>
    <row r="147" spans="1:8" x14ac:dyDescent="0.3">
      <c r="A147" s="107"/>
      <c r="B147" s="1" t="s">
        <v>21</v>
      </c>
      <c r="C147" s="137"/>
      <c r="D147" s="135"/>
      <c r="E147" s="135"/>
      <c r="F147" s="141"/>
      <c r="G147" s="142">
        <f>SUBTOTAL(109,POE_PAÑETES[[VALOR TOTAL                                ]])</f>
        <v>271811</v>
      </c>
      <c r="H147" s="110"/>
    </row>
    <row r="148" spans="1:8" x14ac:dyDescent="0.3">
      <c r="A148" s="107"/>
      <c r="B148" s="127" t="s">
        <v>151</v>
      </c>
      <c r="C148" s="128" t="s">
        <v>152</v>
      </c>
      <c r="D148" s="129" t="s">
        <v>10</v>
      </c>
      <c r="E148" s="130" t="s">
        <v>11</v>
      </c>
      <c r="F148" s="131" t="s">
        <v>12</v>
      </c>
      <c r="G148" s="132" t="s">
        <v>13</v>
      </c>
      <c r="H148" s="110"/>
    </row>
    <row r="149" spans="1:8" x14ac:dyDescent="0.3">
      <c r="A149" s="107"/>
      <c r="B149" s="156" t="s">
        <v>153</v>
      </c>
      <c r="C149" s="152" t="s">
        <v>409</v>
      </c>
      <c r="D149" s="157"/>
      <c r="E149" s="6"/>
      <c r="F149" s="15"/>
      <c r="G149" s="16"/>
      <c r="H149" s="110"/>
    </row>
    <row r="150" spans="1:8" ht="41.4" x14ac:dyDescent="0.3">
      <c r="A150" s="107"/>
      <c r="B150" s="158" t="s">
        <v>154</v>
      </c>
      <c r="C150" s="150" t="s">
        <v>410</v>
      </c>
      <c r="D150" s="135" t="s">
        <v>286</v>
      </c>
      <c r="E150" s="6">
        <f>ROUND(((10.39*2)+((17.19*2.4)*2)),2)</f>
        <v>103.29</v>
      </c>
      <c r="F150" s="15">
        <v>90841</v>
      </c>
      <c r="G150" s="16">
        <f>IFERROR(ROUND($E150*$F150,0),"")</f>
        <v>9382967</v>
      </c>
      <c r="H150" s="110"/>
    </row>
    <row r="151" spans="1:8" ht="41.4" x14ac:dyDescent="0.3">
      <c r="A151" s="107"/>
      <c r="B151" s="1" t="s">
        <v>155</v>
      </c>
      <c r="C151" s="150" t="s">
        <v>411</v>
      </c>
      <c r="D151" s="135" t="s">
        <v>286</v>
      </c>
      <c r="E151" s="6">
        <v>40.97</v>
      </c>
      <c r="F151" s="15">
        <v>132233</v>
      </c>
      <c r="G151" s="16">
        <f t="shared" ref="G151:G161" si="10">IFERROR(ROUND($E151*$F151,0),"")</f>
        <v>5417586</v>
      </c>
      <c r="H151" s="110"/>
    </row>
    <row r="152" spans="1:8" ht="27.6" x14ac:dyDescent="0.3">
      <c r="A152" s="107"/>
      <c r="B152" s="1" t="s">
        <v>156</v>
      </c>
      <c r="C152" s="150" t="s">
        <v>412</v>
      </c>
      <c r="D152" s="135" t="s">
        <v>286</v>
      </c>
      <c r="E152" s="6">
        <f>((16.5+14.04+7.24+48.62+3.12+3.12+3.59)+(14.07+6.25+2.45))</f>
        <v>119.00000000000001</v>
      </c>
      <c r="F152" s="15">
        <v>25523</v>
      </c>
      <c r="G152" s="16">
        <f>IFERROR(ROUND($E152*$F152,0),"")</f>
        <v>3037237</v>
      </c>
      <c r="H152" s="110"/>
    </row>
    <row r="153" spans="1:8" ht="41.4" x14ac:dyDescent="0.3">
      <c r="A153" s="107"/>
      <c r="B153" s="1" t="s">
        <v>157</v>
      </c>
      <c r="C153" s="150" t="s">
        <v>413</v>
      </c>
      <c r="D153" s="135" t="s">
        <v>286</v>
      </c>
      <c r="E153" s="6">
        <f>49.9+36.78</f>
        <v>86.68</v>
      </c>
      <c r="F153" s="15">
        <v>227421</v>
      </c>
      <c r="G153" s="16">
        <f>IFERROR(ROUND($E153*$F153,0),"")</f>
        <v>19712852</v>
      </c>
      <c r="H153" s="110"/>
    </row>
    <row r="154" spans="1:8" ht="41.4" x14ac:dyDescent="0.3">
      <c r="A154" s="107"/>
      <c r="B154" s="1" t="s">
        <v>158</v>
      </c>
      <c r="C154" s="150" t="s">
        <v>414</v>
      </c>
      <c r="D154" s="135" t="s">
        <v>286</v>
      </c>
      <c r="E154" s="6">
        <v>10</v>
      </c>
      <c r="F154" s="15">
        <v>264906</v>
      </c>
      <c r="G154" s="16">
        <f>IFERROR(ROUND($E154*$F154,0),"")</f>
        <v>2649060</v>
      </c>
      <c r="H154" s="110"/>
    </row>
    <row r="155" spans="1:8" x14ac:dyDescent="0.3">
      <c r="A155" s="107"/>
      <c r="B155" s="133" t="s">
        <v>159</v>
      </c>
      <c r="C155" s="152" t="s">
        <v>415</v>
      </c>
      <c r="D155" s="135"/>
      <c r="E155" s="6"/>
      <c r="F155" s="15" t="s">
        <v>284</v>
      </c>
      <c r="G155" s="16" t="str">
        <f t="shared" ref="G155:G160" si="11">IFERROR(ROUND($E155*$F155,0),"")</f>
        <v/>
      </c>
      <c r="H155" s="110"/>
    </row>
    <row r="156" spans="1:8" ht="41.4" x14ac:dyDescent="0.3">
      <c r="A156" s="107"/>
      <c r="B156" s="1" t="s">
        <v>160</v>
      </c>
      <c r="C156" s="150" t="s">
        <v>416</v>
      </c>
      <c r="D156" s="135" t="s">
        <v>303</v>
      </c>
      <c r="E156" s="6">
        <f>ROUND((32.52-(4.35+5.56+3.8)),2)</f>
        <v>18.809999999999999</v>
      </c>
      <c r="F156" s="15">
        <v>31922</v>
      </c>
      <c r="G156" s="16">
        <f t="shared" si="11"/>
        <v>600453</v>
      </c>
      <c r="H156" s="110"/>
    </row>
    <row r="157" spans="1:8" x14ac:dyDescent="0.3">
      <c r="A157" s="107"/>
      <c r="B157" s="1" t="s">
        <v>161</v>
      </c>
      <c r="C157" s="150" t="s">
        <v>417</v>
      </c>
      <c r="D157" s="135" t="s">
        <v>303</v>
      </c>
      <c r="E157" s="6">
        <v>10</v>
      </c>
      <c r="F157" s="15">
        <v>52576</v>
      </c>
      <c r="G157" s="16">
        <f>IFERROR(ROUND($E157*$F157,0),"")</f>
        <v>525760</v>
      </c>
      <c r="H157" s="110"/>
    </row>
    <row r="158" spans="1:8" x14ac:dyDescent="0.3">
      <c r="A158" s="107"/>
      <c r="B158" s="133" t="s">
        <v>162</v>
      </c>
      <c r="C158" s="152" t="s">
        <v>418</v>
      </c>
      <c r="D158" s="135"/>
      <c r="E158" s="6"/>
      <c r="F158" s="15" t="s">
        <v>284</v>
      </c>
      <c r="G158" s="16" t="str">
        <f t="shared" si="11"/>
        <v/>
      </c>
      <c r="H158" s="110"/>
    </row>
    <row r="159" spans="1:8" ht="110.4" x14ac:dyDescent="0.3">
      <c r="A159" s="107"/>
      <c r="B159" s="1" t="s">
        <v>163</v>
      </c>
      <c r="C159" s="150" t="s">
        <v>419</v>
      </c>
      <c r="D159" s="135" t="s">
        <v>286</v>
      </c>
      <c r="E159" s="6">
        <v>48.04</v>
      </c>
      <c r="F159" s="15">
        <v>266728</v>
      </c>
      <c r="G159" s="16">
        <f t="shared" si="11"/>
        <v>12813613</v>
      </c>
      <c r="H159" s="110"/>
    </row>
    <row r="160" spans="1:8" ht="55.2" x14ac:dyDescent="0.3">
      <c r="A160" s="107"/>
      <c r="B160" s="1" t="s">
        <v>164</v>
      </c>
      <c r="C160" s="150" t="s">
        <v>420</v>
      </c>
      <c r="D160" s="135" t="s">
        <v>303</v>
      </c>
      <c r="E160" s="6">
        <v>35.619999999999997</v>
      </c>
      <c r="F160" s="15">
        <v>65933</v>
      </c>
      <c r="G160" s="16">
        <f t="shared" si="11"/>
        <v>2348533</v>
      </c>
      <c r="H160" s="110"/>
    </row>
    <row r="161" spans="1:8" x14ac:dyDescent="0.3">
      <c r="A161" s="107"/>
      <c r="B161" s="133" t="s">
        <v>165</v>
      </c>
      <c r="C161" s="152" t="s">
        <v>421</v>
      </c>
      <c r="D161" s="135"/>
      <c r="E161" s="6"/>
      <c r="F161" s="15" t="s">
        <v>284</v>
      </c>
      <c r="G161" s="16" t="str">
        <f t="shared" si="10"/>
        <v/>
      </c>
      <c r="H161" s="110"/>
    </row>
    <row r="162" spans="1:8" ht="69" x14ac:dyDescent="0.3">
      <c r="A162" s="107"/>
      <c r="B162" s="1" t="s">
        <v>166</v>
      </c>
      <c r="C162" s="150" t="s">
        <v>422</v>
      </c>
      <c r="D162" s="135" t="s">
        <v>303</v>
      </c>
      <c r="E162" s="6">
        <f>ROUND(((1.74+1.74)+(4.35+5.56)),2)</f>
        <v>13.39</v>
      </c>
      <c r="F162" s="15">
        <v>294017</v>
      </c>
      <c r="G162" s="16">
        <f>IFERROR(ROUND($E162*$F162,0),"")</f>
        <v>3936888</v>
      </c>
      <c r="H162" s="110"/>
    </row>
    <row r="163" spans="1:8" ht="55.2" x14ac:dyDescent="0.3">
      <c r="A163" s="107"/>
      <c r="B163" s="1" t="s">
        <v>167</v>
      </c>
      <c r="C163" s="137" t="s">
        <v>423</v>
      </c>
      <c r="D163" s="135" t="s">
        <v>297</v>
      </c>
      <c r="E163" s="8">
        <v>3</v>
      </c>
      <c r="F163" s="136">
        <v>267727</v>
      </c>
      <c r="G163" s="12">
        <f t="shared" ref="G163" si="12">IFERROR(ROUND($E163*$F163,0),"")</f>
        <v>803181</v>
      </c>
      <c r="H163" s="110"/>
    </row>
    <row r="164" spans="1:8" x14ac:dyDescent="0.3">
      <c r="A164" s="107"/>
      <c r="B164" s="1" t="s">
        <v>168</v>
      </c>
      <c r="C164" s="137" t="s">
        <v>424</v>
      </c>
      <c r="D164" s="135" t="s">
        <v>303</v>
      </c>
      <c r="E164" s="8">
        <f>ROUND(((8.87+4.62)+(3.5*6)),2)</f>
        <v>34.49</v>
      </c>
      <c r="F164" s="15">
        <v>19320</v>
      </c>
      <c r="G164" s="12">
        <f>IFERROR(ROUND($E164*$F164,0),"")</f>
        <v>666347</v>
      </c>
      <c r="H164" s="110"/>
    </row>
    <row r="165" spans="1:8" x14ac:dyDescent="0.3">
      <c r="A165" s="107"/>
      <c r="B165" s="2" t="s">
        <v>21</v>
      </c>
      <c r="E165" s="135"/>
      <c r="F165" s="141"/>
      <c r="G165" s="142">
        <f>SUBTOTAL(109,POE_PISOS_Y_ENCHAPES[[VALOR TOTAL                                ]])</f>
        <v>61894477</v>
      </c>
      <c r="H165" s="110"/>
    </row>
    <row r="166" spans="1:8" x14ac:dyDescent="0.3">
      <c r="A166" s="107"/>
      <c r="B166" s="127" t="s">
        <v>169</v>
      </c>
      <c r="C166" s="128" t="s">
        <v>170</v>
      </c>
      <c r="D166" s="129" t="s">
        <v>10</v>
      </c>
      <c r="E166" s="130" t="s">
        <v>11</v>
      </c>
      <c r="F166" s="131" t="s">
        <v>12</v>
      </c>
      <c r="G166" s="132" t="s">
        <v>13</v>
      </c>
      <c r="H166" s="110"/>
    </row>
    <row r="167" spans="1:8" ht="27.6" x14ac:dyDescent="0.3">
      <c r="A167" s="107"/>
      <c r="B167" s="1" t="s">
        <v>171</v>
      </c>
      <c r="C167" s="137" t="s">
        <v>425</v>
      </c>
      <c r="D167" s="135" t="s">
        <v>303</v>
      </c>
      <c r="E167" s="6">
        <f>18.79+14.04</f>
        <v>32.83</v>
      </c>
      <c r="F167" s="136">
        <v>44135</v>
      </c>
      <c r="G167" s="12">
        <f t="shared" ref="G167" si="13">IFERROR(ROUND($E167*$F167,0),"")</f>
        <v>1448952</v>
      </c>
      <c r="H167" s="110"/>
    </row>
    <row r="168" spans="1:8" x14ac:dyDescent="0.3">
      <c r="A168" s="107"/>
      <c r="B168" s="1" t="s">
        <v>21</v>
      </c>
      <c r="C168" s="150"/>
      <c r="D168" s="135"/>
      <c r="E168" s="135"/>
      <c r="F168" s="141"/>
      <c r="G168" s="142">
        <f>SUBTOTAL(109,POE_CARPINTERIA_MADERA[[VALOR TOTAL                                ]])</f>
        <v>1448952</v>
      </c>
      <c r="H168" s="110"/>
    </row>
    <row r="169" spans="1:8" x14ac:dyDescent="0.3">
      <c r="A169" s="107"/>
      <c r="B169" s="127" t="s">
        <v>172</v>
      </c>
      <c r="C169" s="128" t="s">
        <v>173</v>
      </c>
      <c r="D169" s="129" t="s">
        <v>10</v>
      </c>
      <c r="E169" s="130" t="s">
        <v>11</v>
      </c>
      <c r="F169" s="131" t="s">
        <v>12</v>
      </c>
      <c r="G169" s="132" t="s">
        <v>13</v>
      </c>
      <c r="H169" s="110"/>
    </row>
    <row r="170" spans="1:8" ht="55.2" x14ac:dyDescent="0.3">
      <c r="A170" s="107"/>
      <c r="B170" s="1" t="s">
        <v>174</v>
      </c>
      <c r="C170" s="137" t="s">
        <v>426</v>
      </c>
      <c r="D170" s="135" t="s">
        <v>286</v>
      </c>
      <c r="E170" s="6">
        <v>23.2</v>
      </c>
      <c r="F170" s="136">
        <v>980225</v>
      </c>
      <c r="G170" s="12">
        <f t="shared" ref="G170" si="14">IFERROR(ROUND($E170*$F170,0),"")</f>
        <v>22741220</v>
      </c>
      <c r="H170" s="110"/>
    </row>
    <row r="171" spans="1:8" x14ac:dyDescent="0.3">
      <c r="A171" s="107"/>
      <c r="B171" s="1" t="s">
        <v>21</v>
      </c>
      <c r="C171" s="150"/>
      <c r="D171" s="135"/>
      <c r="E171" s="135"/>
      <c r="F171" s="141"/>
      <c r="G171" s="142">
        <f>SUBTOTAL(109,POE_CARPINTERÍA_METÁLICA[[VALOR TOTAL                                ]])</f>
        <v>22741220</v>
      </c>
      <c r="H171" s="110"/>
    </row>
    <row r="172" spans="1:8" x14ac:dyDescent="0.3">
      <c r="A172" s="107"/>
      <c r="B172" s="127" t="s">
        <v>175</v>
      </c>
      <c r="C172" s="128" t="s">
        <v>176</v>
      </c>
      <c r="D172" s="129" t="s">
        <v>10</v>
      </c>
      <c r="E172" s="130" t="s">
        <v>11</v>
      </c>
      <c r="F172" s="131" t="s">
        <v>12</v>
      </c>
      <c r="G172" s="132" t="s">
        <v>13</v>
      </c>
      <c r="H172" s="110"/>
    </row>
    <row r="173" spans="1:8" ht="55.2" x14ac:dyDescent="0.3">
      <c r="A173" s="107"/>
      <c r="B173" s="1" t="s">
        <v>427</v>
      </c>
      <c r="C173" s="137" t="s">
        <v>428</v>
      </c>
      <c r="D173" s="135" t="s">
        <v>297</v>
      </c>
      <c r="E173" s="8">
        <v>2</v>
      </c>
      <c r="F173" s="136">
        <v>2073371</v>
      </c>
      <c r="G173" s="12">
        <f t="shared" ref="G173" si="15">IFERROR(ROUND($E173*$F173,0),"")</f>
        <v>4146742</v>
      </c>
      <c r="H173" s="110"/>
    </row>
    <row r="174" spans="1:8" ht="41.4" x14ac:dyDescent="0.3">
      <c r="A174" s="107"/>
      <c r="B174" s="1" t="s">
        <v>177</v>
      </c>
      <c r="C174" s="150" t="s">
        <v>429</v>
      </c>
      <c r="D174" s="135" t="s">
        <v>297</v>
      </c>
      <c r="E174" s="8">
        <v>1</v>
      </c>
      <c r="F174" s="15">
        <v>211418</v>
      </c>
      <c r="G174" s="12">
        <f>IFERROR(ROUND($E174*$F174,0),"")</f>
        <v>211418</v>
      </c>
      <c r="H174" s="110"/>
    </row>
    <row r="175" spans="1:8" ht="27.6" x14ac:dyDescent="0.3">
      <c r="A175" s="107"/>
      <c r="B175" s="1" t="s">
        <v>178</v>
      </c>
      <c r="C175" s="150" t="s">
        <v>430</v>
      </c>
      <c r="D175" s="135" t="s">
        <v>297</v>
      </c>
      <c r="E175" s="8">
        <v>1</v>
      </c>
      <c r="F175" s="15">
        <v>82994</v>
      </c>
      <c r="G175" s="12">
        <f>IFERROR(ROUND($E175*$F175,0),"")</f>
        <v>82994</v>
      </c>
      <c r="H175" s="110"/>
    </row>
    <row r="176" spans="1:8" x14ac:dyDescent="0.3">
      <c r="A176" s="107"/>
      <c r="B176" s="1" t="s">
        <v>21</v>
      </c>
      <c r="C176" s="150"/>
      <c r="D176" s="135"/>
      <c r="E176" s="135"/>
      <c r="F176" s="141"/>
      <c r="G176" s="142">
        <f>SUBTOTAL(109,POE_CERRADURAS[[VALOR TOTAL                                ]])</f>
        <v>4441154</v>
      </c>
      <c r="H176" s="110"/>
    </row>
    <row r="177" spans="1:8" x14ac:dyDescent="0.3">
      <c r="A177" s="107"/>
      <c r="B177" s="127" t="s">
        <v>179</v>
      </c>
      <c r="C177" s="128" t="s">
        <v>180</v>
      </c>
      <c r="D177" s="129" t="s">
        <v>10</v>
      </c>
      <c r="E177" s="130" t="s">
        <v>11</v>
      </c>
      <c r="F177" s="131" t="s">
        <v>12</v>
      </c>
      <c r="G177" s="132" t="s">
        <v>13</v>
      </c>
      <c r="H177" s="110"/>
    </row>
    <row r="178" spans="1:8" x14ac:dyDescent="0.3">
      <c r="A178" s="107"/>
      <c r="B178" s="147" t="s">
        <v>181</v>
      </c>
      <c r="C178" s="159" t="s">
        <v>431</v>
      </c>
      <c r="D178" s="135"/>
      <c r="E178" s="8"/>
      <c r="F178" s="136"/>
      <c r="G178" s="12"/>
      <c r="H178" s="110"/>
    </row>
    <row r="179" spans="1:8" ht="41.4" x14ac:dyDescent="0.3">
      <c r="A179" s="107"/>
      <c r="B179" s="1" t="s">
        <v>182</v>
      </c>
      <c r="C179" s="150" t="s">
        <v>432</v>
      </c>
      <c r="D179" s="135" t="s">
        <v>297</v>
      </c>
      <c r="E179" s="8">
        <f t="shared" ref="E179" si="16">1+2+1</f>
        <v>4</v>
      </c>
      <c r="F179" s="15">
        <v>847973</v>
      </c>
      <c r="G179" s="12">
        <f>IFERROR(ROUND($E179*$F179,0),"")</f>
        <v>3391892</v>
      </c>
      <c r="H179" s="110"/>
    </row>
    <row r="180" spans="1:8" ht="41.4" x14ac:dyDescent="0.3">
      <c r="A180" s="107"/>
      <c r="B180" s="1" t="s">
        <v>183</v>
      </c>
      <c r="C180" s="150" t="s">
        <v>433</v>
      </c>
      <c r="D180" s="135" t="s">
        <v>297</v>
      </c>
      <c r="E180" s="8">
        <f>1+5+8</f>
        <v>14</v>
      </c>
      <c r="F180" s="15">
        <v>730938</v>
      </c>
      <c r="G180" s="12">
        <f>IFERROR(ROUND($E180*$F180,0),"")</f>
        <v>10233132</v>
      </c>
      <c r="H180" s="110"/>
    </row>
    <row r="181" spans="1:8" ht="41.4" x14ac:dyDescent="0.3">
      <c r="A181" s="107"/>
      <c r="B181" s="1" t="s">
        <v>184</v>
      </c>
      <c r="C181" s="150" t="s">
        <v>434</v>
      </c>
      <c r="D181" s="135" t="s">
        <v>297</v>
      </c>
      <c r="E181" s="8">
        <f>2+2+2</f>
        <v>6</v>
      </c>
      <c r="F181" s="15">
        <v>427301</v>
      </c>
      <c r="G181" s="12">
        <f t="shared" ref="G181:G183" si="17">IFERROR(ROUND($E181*$F181,0),"")</f>
        <v>2563806</v>
      </c>
      <c r="H181" s="110"/>
    </row>
    <row r="182" spans="1:8" ht="41.4" x14ac:dyDescent="0.3">
      <c r="A182" s="107"/>
      <c r="B182" s="1" t="s">
        <v>185</v>
      </c>
      <c r="C182" s="150" t="s">
        <v>435</v>
      </c>
      <c r="D182" s="135" t="s">
        <v>297</v>
      </c>
      <c r="E182" s="6">
        <v>9</v>
      </c>
      <c r="F182" s="15">
        <v>196881</v>
      </c>
      <c r="G182" s="12">
        <f>IFERROR(ROUND($E182*$F182,0),"")</f>
        <v>1771929</v>
      </c>
      <c r="H182" s="110"/>
    </row>
    <row r="183" spans="1:8" ht="41.4" x14ac:dyDescent="0.3">
      <c r="A183" s="107"/>
      <c r="B183" s="1" t="s">
        <v>186</v>
      </c>
      <c r="C183" s="150" t="s">
        <v>436</v>
      </c>
      <c r="D183" s="135" t="s">
        <v>297</v>
      </c>
      <c r="E183" s="8">
        <f>4</f>
        <v>4</v>
      </c>
      <c r="F183" s="15">
        <v>248920</v>
      </c>
      <c r="G183" s="12">
        <f t="shared" si="17"/>
        <v>995680</v>
      </c>
      <c r="H183" s="110"/>
    </row>
    <row r="184" spans="1:8" ht="41.4" x14ac:dyDescent="0.3">
      <c r="A184" s="107"/>
      <c r="B184" s="1" t="s">
        <v>187</v>
      </c>
      <c r="C184" s="150" t="s">
        <v>437</v>
      </c>
      <c r="D184" s="135" t="s">
        <v>297</v>
      </c>
      <c r="E184" s="6">
        <v>12</v>
      </c>
      <c r="F184" s="15">
        <v>505379</v>
      </c>
      <c r="G184" s="12">
        <f>IFERROR(ROUND($E184*$F184,0),"")</f>
        <v>6064548</v>
      </c>
      <c r="H184" s="110"/>
    </row>
    <row r="185" spans="1:8" x14ac:dyDescent="0.3">
      <c r="A185" s="107"/>
      <c r="B185" s="147" t="s">
        <v>188</v>
      </c>
      <c r="C185" s="148" t="s">
        <v>438</v>
      </c>
      <c r="D185" s="135"/>
      <c r="E185" s="8"/>
      <c r="F185" s="15" t="s">
        <v>284</v>
      </c>
      <c r="G185" s="12" t="str">
        <f t="shared" ref="G185:G191" si="18">IFERROR(ROUND($E185*$F185,0),"")</f>
        <v/>
      </c>
      <c r="H185" s="110"/>
    </row>
    <row r="186" spans="1:8" ht="41.4" x14ac:dyDescent="0.3">
      <c r="A186" s="107"/>
      <c r="B186" s="1" t="s">
        <v>189</v>
      </c>
      <c r="C186" s="150" t="s">
        <v>439</v>
      </c>
      <c r="D186" s="135" t="s">
        <v>297</v>
      </c>
      <c r="E186" s="8">
        <v>21</v>
      </c>
      <c r="F186" s="15">
        <v>313317</v>
      </c>
      <c r="G186" s="12">
        <f t="shared" si="18"/>
        <v>6579657</v>
      </c>
      <c r="H186" s="110"/>
    </row>
    <row r="187" spans="1:8" ht="41.4" x14ac:dyDescent="0.3">
      <c r="A187" s="107"/>
      <c r="B187" s="1" t="s">
        <v>190</v>
      </c>
      <c r="C187" s="150" t="s">
        <v>440</v>
      </c>
      <c r="D187" s="135" t="s">
        <v>297</v>
      </c>
      <c r="E187" s="8">
        <f>E181</f>
        <v>6</v>
      </c>
      <c r="F187" s="15">
        <v>1151838</v>
      </c>
      <c r="G187" s="12">
        <f t="shared" si="18"/>
        <v>6911028</v>
      </c>
      <c r="H187" s="110"/>
    </row>
    <row r="188" spans="1:8" ht="41.4" x14ac:dyDescent="0.3">
      <c r="A188" s="107"/>
      <c r="B188" s="1" t="s">
        <v>191</v>
      </c>
      <c r="C188" s="150" t="s">
        <v>441</v>
      </c>
      <c r="D188" s="135" t="s">
        <v>297</v>
      </c>
      <c r="E188" s="8">
        <f>E183</f>
        <v>4</v>
      </c>
      <c r="F188" s="15">
        <v>167690</v>
      </c>
      <c r="G188" s="12">
        <f t="shared" si="18"/>
        <v>670760</v>
      </c>
      <c r="H188" s="110"/>
    </row>
    <row r="189" spans="1:8" x14ac:dyDescent="0.3">
      <c r="A189" s="107"/>
      <c r="B189" s="147" t="s">
        <v>192</v>
      </c>
      <c r="C189" s="148" t="s">
        <v>442</v>
      </c>
      <c r="D189" s="135"/>
      <c r="E189" s="8"/>
      <c r="F189" s="15" t="s">
        <v>284</v>
      </c>
      <c r="G189" s="12" t="str">
        <f t="shared" si="18"/>
        <v/>
      </c>
      <c r="H189" s="110"/>
    </row>
    <row r="190" spans="1:8" ht="27.6" x14ac:dyDescent="0.3">
      <c r="A190" s="107"/>
      <c r="B190" s="1" t="s">
        <v>193</v>
      </c>
      <c r="C190" s="150" t="s">
        <v>443</v>
      </c>
      <c r="D190" s="135" t="s">
        <v>297</v>
      </c>
      <c r="E190" s="8">
        <f>E179</f>
        <v>4</v>
      </c>
      <c r="F190" s="15">
        <v>432320</v>
      </c>
      <c r="G190" s="12">
        <f t="shared" si="18"/>
        <v>1729280</v>
      </c>
      <c r="H190" s="110"/>
    </row>
    <row r="191" spans="1:8" ht="27.6" x14ac:dyDescent="0.3">
      <c r="A191" s="107"/>
      <c r="B191" s="1" t="s">
        <v>194</v>
      </c>
      <c r="C191" s="150" t="s">
        <v>444</v>
      </c>
      <c r="D191" s="135" t="s">
        <v>297</v>
      </c>
      <c r="E191" s="8">
        <f>3+5+3</f>
        <v>11</v>
      </c>
      <c r="F191" s="15">
        <v>27016</v>
      </c>
      <c r="G191" s="12">
        <f t="shared" si="18"/>
        <v>297176</v>
      </c>
      <c r="H191" s="110"/>
    </row>
    <row r="192" spans="1:8" x14ac:dyDescent="0.3">
      <c r="A192" s="107"/>
      <c r="B192" s="1" t="s">
        <v>21</v>
      </c>
      <c r="C192" s="150"/>
      <c r="D192" s="135"/>
      <c r="E192" s="135"/>
      <c r="F192" s="141"/>
      <c r="G192" s="142">
        <f>SUBTOTAL(109,POE_DOTACIÓN_BAÑOS[[VALOR TOTAL                                ]])</f>
        <v>41208888</v>
      </c>
      <c r="H192" s="110"/>
    </row>
    <row r="193" spans="1:8" x14ac:dyDescent="0.3">
      <c r="A193" s="107"/>
      <c r="B193" s="127" t="s">
        <v>195</v>
      </c>
      <c r="C193" s="128" t="s">
        <v>196</v>
      </c>
      <c r="D193" s="129" t="s">
        <v>10</v>
      </c>
      <c r="E193" s="130" t="s">
        <v>11</v>
      </c>
      <c r="F193" s="131" t="s">
        <v>12</v>
      </c>
      <c r="G193" s="132" t="s">
        <v>13</v>
      </c>
      <c r="H193" s="110"/>
    </row>
    <row r="194" spans="1:8" ht="41.4" x14ac:dyDescent="0.3">
      <c r="A194" s="107"/>
      <c r="B194" s="158" t="s">
        <v>197</v>
      </c>
      <c r="C194" s="137" t="s">
        <v>445</v>
      </c>
      <c r="D194" s="135" t="s">
        <v>286</v>
      </c>
      <c r="E194" s="8">
        <f>ROUND(((8.87*4.62)+((8.87+4.62)*3.5)),2)</f>
        <v>88.19</v>
      </c>
      <c r="F194" s="136">
        <v>17115</v>
      </c>
      <c r="G194" s="12">
        <f t="shared" ref="G194" si="19">IFERROR(ROUND($E194*$F194,0),"")</f>
        <v>1509372</v>
      </c>
      <c r="H194" s="110"/>
    </row>
    <row r="195" spans="1:8" ht="41.4" x14ac:dyDescent="0.3">
      <c r="A195" s="107"/>
      <c r="B195" s="158" t="s">
        <v>198</v>
      </c>
      <c r="C195" s="137" t="s">
        <v>446</v>
      </c>
      <c r="D195" s="135" t="s">
        <v>286</v>
      </c>
      <c r="E195" s="8" cm="1">
        <f t="array" ref="E195">ROUND((POE_PAÑETES[CANTIDAD]+(34*2.5)),2)</f>
        <v>94.28</v>
      </c>
      <c r="F195" s="15">
        <v>18148</v>
      </c>
      <c r="G195" s="12">
        <f>IFERROR(ROUND($E195*$F195,0),"")</f>
        <v>1710993</v>
      </c>
      <c r="H195" s="110"/>
    </row>
    <row r="196" spans="1:8" ht="41.4" x14ac:dyDescent="0.3">
      <c r="A196" s="107"/>
      <c r="B196" s="158" t="s">
        <v>199</v>
      </c>
      <c r="C196" s="137" t="s">
        <v>447</v>
      </c>
      <c r="D196" s="135" t="s">
        <v>286</v>
      </c>
      <c r="E196" s="8">
        <f>ROUND(E194,2)</f>
        <v>88.19</v>
      </c>
      <c r="F196" s="15">
        <v>20867</v>
      </c>
      <c r="G196" s="12">
        <f>IFERROR(ROUND($E196*$F196,0),"")</f>
        <v>1840261</v>
      </c>
      <c r="H196" s="110"/>
    </row>
    <row r="197" spans="1:8" x14ac:dyDescent="0.3">
      <c r="A197" s="107"/>
      <c r="B197" s="1" t="s">
        <v>21</v>
      </c>
      <c r="D197" s="135"/>
      <c r="E197" s="135"/>
      <c r="F197" s="141"/>
      <c r="G197" s="142">
        <f>SUBTOTAL(109,POE_PINTURAS[[VALOR TOTAL                                ]])</f>
        <v>5060626</v>
      </c>
      <c r="H197" s="110"/>
    </row>
    <row r="198" spans="1:8" x14ac:dyDescent="0.3">
      <c r="A198" s="107"/>
      <c r="B198" s="127" t="s">
        <v>200</v>
      </c>
      <c r="C198" s="128" t="s">
        <v>201</v>
      </c>
      <c r="D198" s="129" t="s">
        <v>10</v>
      </c>
      <c r="E198" s="130" t="s">
        <v>11</v>
      </c>
      <c r="F198" s="131" t="s">
        <v>12</v>
      </c>
      <c r="G198" s="132" t="s">
        <v>13</v>
      </c>
      <c r="H198" s="110"/>
    </row>
    <row r="199" spans="1:8" ht="82.8" x14ac:dyDescent="0.3">
      <c r="A199" s="107"/>
      <c r="B199" s="158" t="s">
        <v>202</v>
      </c>
      <c r="C199" s="150" t="s">
        <v>448</v>
      </c>
      <c r="D199" s="135" t="s">
        <v>286</v>
      </c>
      <c r="E199" s="155">
        <v>23.97</v>
      </c>
      <c r="F199" s="136">
        <v>331945</v>
      </c>
      <c r="G199" s="136">
        <f>IFERROR(ROUND($E199*$F199,0),"")</f>
        <v>7956722</v>
      </c>
      <c r="H199" s="110"/>
    </row>
    <row r="200" spans="1:8" x14ac:dyDescent="0.3">
      <c r="A200" s="107"/>
      <c r="B200" s="2" t="s">
        <v>21</v>
      </c>
      <c r="F200" s="2"/>
      <c r="G200" s="11">
        <f>SUBTOTAL(109,POE_VIDRIOS_Y_ESPEJOS[[VALOR TOTAL                                ]])</f>
        <v>7956722</v>
      </c>
      <c r="H200" s="110"/>
    </row>
    <row r="201" spans="1:8" x14ac:dyDescent="0.3">
      <c r="A201" s="107"/>
      <c r="B201" s="127" t="s">
        <v>203</v>
      </c>
      <c r="C201" s="128" t="s">
        <v>204</v>
      </c>
      <c r="D201" s="129" t="s">
        <v>10</v>
      </c>
      <c r="E201" s="130" t="s">
        <v>11</v>
      </c>
      <c r="F201" s="131" t="s">
        <v>12</v>
      </c>
      <c r="G201" s="132" t="s">
        <v>13</v>
      </c>
      <c r="H201" s="110"/>
    </row>
    <row r="202" spans="1:8" ht="41.4" x14ac:dyDescent="0.3">
      <c r="A202" s="107"/>
      <c r="B202" s="158" t="s">
        <v>205</v>
      </c>
      <c r="C202" s="150" t="s">
        <v>449</v>
      </c>
      <c r="D202" s="135" t="s">
        <v>286</v>
      </c>
      <c r="E202" s="6">
        <f>ROUND((8*1.2),2)</f>
        <v>9.6</v>
      </c>
      <c r="F202" s="15">
        <v>129364</v>
      </c>
      <c r="G202" s="16">
        <f>IFERROR(ROUND($E202*$F202,0),"")</f>
        <v>1241894</v>
      </c>
      <c r="H202" s="110"/>
    </row>
    <row r="203" spans="1:8" x14ac:dyDescent="0.3">
      <c r="A203" s="107"/>
      <c r="B203" s="1" t="s">
        <v>206</v>
      </c>
      <c r="C203" s="150" t="s">
        <v>450</v>
      </c>
      <c r="D203" s="135" t="s">
        <v>286</v>
      </c>
      <c r="E203" s="8">
        <v>80.38</v>
      </c>
      <c r="F203" s="15">
        <v>44451</v>
      </c>
      <c r="G203" s="12">
        <f t="shared" ref="G203:G204" si="20">IFERROR(ROUND($E203*$F203,0),"")</f>
        <v>3572971</v>
      </c>
      <c r="H203" s="110"/>
    </row>
    <row r="204" spans="1:8" ht="41.4" x14ac:dyDescent="0.3">
      <c r="A204" s="107"/>
      <c r="B204" s="1" t="s">
        <v>207</v>
      </c>
      <c r="C204" s="150" t="s">
        <v>451</v>
      </c>
      <c r="D204" s="135" t="s">
        <v>303</v>
      </c>
      <c r="E204" s="8">
        <f>ROUND((35.07+8.82+16+6.67+43.76+79.24+60),2)</f>
        <v>249.56</v>
      </c>
      <c r="F204" s="15">
        <v>85125</v>
      </c>
      <c r="G204" s="12">
        <f t="shared" si="20"/>
        <v>21243795</v>
      </c>
      <c r="H204" s="110"/>
    </row>
    <row r="205" spans="1:8" ht="41.4" x14ac:dyDescent="0.3">
      <c r="A205" s="107"/>
      <c r="B205" s="1" t="s">
        <v>208</v>
      </c>
      <c r="C205" s="150" t="s">
        <v>452</v>
      </c>
      <c r="D205" s="135" t="s">
        <v>297</v>
      </c>
      <c r="E205" s="8">
        <v>15</v>
      </c>
      <c r="F205" s="15">
        <v>378941</v>
      </c>
      <c r="G205" s="12">
        <f>IFERROR(ROUND($E205*$F205,0),"")</f>
        <v>5684115</v>
      </c>
      <c r="H205" s="110"/>
    </row>
    <row r="206" spans="1:8" ht="27.6" x14ac:dyDescent="0.3">
      <c r="A206" s="107"/>
      <c r="B206" s="1" t="s">
        <v>209</v>
      </c>
      <c r="C206" s="150" t="s">
        <v>453</v>
      </c>
      <c r="D206" s="135" t="s">
        <v>286</v>
      </c>
      <c r="E206" s="8">
        <v>230</v>
      </c>
      <c r="F206" s="15">
        <v>33964</v>
      </c>
      <c r="G206" s="12">
        <f>IFERROR(ROUND($E206*$F206,0),"")</f>
        <v>7811720</v>
      </c>
      <c r="H206" s="110"/>
    </row>
    <row r="207" spans="1:8" ht="41.4" x14ac:dyDescent="0.3">
      <c r="A207" s="107"/>
      <c r="B207" s="1" t="s">
        <v>210</v>
      </c>
      <c r="C207" s="150" t="s">
        <v>454</v>
      </c>
      <c r="D207" s="135" t="s">
        <v>286</v>
      </c>
      <c r="E207" s="8">
        <v>40</v>
      </c>
      <c r="F207" s="15">
        <v>416188</v>
      </c>
      <c r="G207" s="12">
        <f>IFERROR(ROUND($E207*$F207,0),"")</f>
        <v>16647520</v>
      </c>
      <c r="H207" s="110"/>
    </row>
    <row r="208" spans="1:8" ht="27.6" x14ac:dyDescent="0.3">
      <c r="A208" s="107"/>
      <c r="B208" s="1" t="s">
        <v>211</v>
      </c>
      <c r="C208" s="150" t="s">
        <v>455</v>
      </c>
      <c r="D208" s="135" t="s">
        <v>286</v>
      </c>
      <c r="E208" s="8">
        <v>240</v>
      </c>
      <c r="F208" s="15">
        <v>40054</v>
      </c>
      <c r="G208" s="12">
        <f>IFERROR(ROUND($E208*$F208,0),"")</f>
        <v>9612960</v>
      </c>
      <c r="H208" s="110"/>
    </row>
    <row r="209" spans="1:8" x14ac:dyDescent="0.3">
      <c r="A209" s="107"/>
      <c r="B209" s="1" t="s">
        <v>21</v>
      </c>
      <c r="C209" s="150"/>
      <c r="D209" s="135"/>
      <c r="E209" s="135"/>
      <c r="F209" s="141"/>
      <c r="G209" s="142">
        <f>SUBTOTAL(109,POE_OBRAS_EXTERIORES[[VALOR TOTAL                                ]])</f>
        <v>65814975</v>
      </c>
      <c r="H209" s="110"/>
    </row>
    <row r="210" spans="1:8" x14ac:dyDescent="0.3">
      <c r="A210" s="160"/>
      <c r="B210" s="161" t="s">
        <v>212</v>
      </c>
      <c r="C210" s="162" t="s">
        <v>213</v>
      </c>
      <c r="D210" s="129" t="s">
        <v>10</v>
      </c>
      <c r="E210" s="130" t="s">
        <v>11</v>
      </c>
      <c r="F210" s="131" t="s">
        <v>12</v>
      </c>
      <c r="G210" s="132" t="s">
        <v>13</v>
      </c>
      <c r="H210" s="110"/>
    </row>
    <row r="211" spans="1:8" x14ac:dyDescent="0.3">
      <c r="A211" s="160"/>
      <c r="B211" s="163" t="s">
        <v>214</v>
      </c>
      <c r="C211" s="137" t="s">
        <v>456</v>
      </c>
      <c r="D211" s="135" t="s">
        <v>286</v>
      </c>
      <c r="E211" s="8">
        <f>ROUND((4.41*4),2)</f>
        <v>17.64</v>
      </c>
      <c r="F211" s="136">
        <v>269995</v>
      </c>
      <c r="G211" s="12">
        <f t="shared" ref="G211" si="21">IFERROR(ROUND($E211*$F211,0),"")</f>
        <v>4762712</v>
      </c>
      <c r="H211" s="110"/>
    </row>
    <row r="212" spans="1:8" x14ac:dyDescent="0.3">
      <c r="A212" s="160"/>
      <c r="B212" s="1" t="s">
        <v>21</v>
      </c>
      <c r="C212" s="150"/>
      <c r="D212" s="135"/>
      <c r="E212" s="135"/>
      <c r="F212" s="2"/>
      <c r="G212" s="11">
        <f>SUBTOTAL(109,POE_AISLAMIENTO_ACUSTICO[[VALOR TOTAL                                ]])</f>
        <v>4762712</v>
      </c>
      <c r="H212" s="110"/>
    </row>
    <row r="213" spans="1:8" x14ac:dyDescent="0.3">
      <c r="A213" s="160"/>
      <c r="B213" s="127" t="s">
        <v>215</v>
      </c>
      <c r="C213" s="128" t="s">
        <v>216</v>
      </c>
      <c r="D213" s="129" t="s">
        <v>10</v>
      </c>
      <c r="E213" s="130" t="s">
        <v>11</v>
      </c>
      <c r="F213" s="131" t="s">
        <v>12</v>
      </c>
      <c r="G213" s="132" t="s">
        <v>13</v>
      </c>
      <c r="H213" s="110"/>
    </row>
    <row r="214" spans="1:8" x14ac:dyDescent="0.3">
      <c r="A214" s="160"/>
      <c r="B214" s="1" t="s">
        <v>217</v>
      </c>
      <c r="C214" s="137" t="s">
        <v>457</v>
      </c>
      <c r="D214" s="135" t="s">
        <v>286</v>
      </c>
      <c r="E214" s="17">
        <v>189.13220000000001</v>
      </c>
      <c r="F214" s="136">
        <v>4190</v>
      </c>
      <c r="G214" s="12">
        <f t="shared" ref="G214" si="22">IFERROR(ROUND($E214*$F214,0),"")</f>
        <v>792464</v>
      </c>
      <c r="H214" s="110"/>
    </row>
    <row r="215" spans="1:8" x14ac:dyDescent="0.3">
      <c r="A215" s="160"/>
      <c r="B215" s="1" t="s">
        <v>21</v>
      </c>
      <c r="C215" s="150"/>
      <c r="D215" s="135"/>
      <c r="E215" s="135"/>
      <c r="F215" s="141"/>
      <c r="G215" s="142">
        <f>SUBTOTAL(109,POE_ASEO[[VALOR TOTAL                                ]])</f>
        <v>792464</v>
      </c>
      <c r="H215" s="110"/>
    </row>
    <row r="216" spans="1:8" x14ac:dyDescent="0.3">
      <c r="A216" s="160"/>
      <c r="C216" s="150"/>
      <c r="D216" s="135"/>
      <c r="E216" s="135"/>
      <c r="F216" s="141"/>
      <c r="G216" s="142"/>
      <c r="H216" s="110"/>
    </row>
    <row r="217" spans="1:8" x14ac:dyDescent="0.3">
      <c r="A217" s="160"/>
      <c r="B217" s="307" t="s">
        <v>218</v>
      </c>
      <c r="C217" s="307"/>
      <c r="D217" s="307"/>
      <c r="E217" s="307"/>
      <c r="F217" s="307"/>
      <c r="G217" s="18">
        <f>SUBTOTAL(9,G11:G216)</f>
        <v>544440126</v>
      </c>
      <c r="H217" s="164"/>
    </row>
    <row r="218" spans="1:8" ht="14.4" thickBot="1" x14ac:dyDescent="0.35">
      <c r="A218" s="160"/>
      <c r="B218" s="165"/>
      <c r="C218" s="165"/>
      <c r="D218" s="165"/>
      <c r="E218" s="165"/>
      <c r="F218" s="165"/>
      <c r="G218" s="165"/>
      <c r="H218" s="110"/>
    </row>
    <row r="219" spans="1:8" x14ac:dyDescent="0.3">
      <c r="A219" s="160"/>
      <c r="B219" s="165"/>
      <c r="C219" s="322" t="s">
        <v>219</v>
      </c>
      <c r="D219" s="323" t="s">
        <v>220</v>
      </c>
      <c r="E219" s="324">
        <v>0.215</v>
      </c>
      <c r="F219" s="19">
        <v>0.26269999999999999</v>
      </c>
      <c r="G219" s="20">
        <f>ROUND((G217*F219),0)</f>
        <v>143024421</v>
      </c>
      <c r="H219" s="110"/>
    </row>
    <row r="220" spans="1:8" x14ac:dyDescent="0.3">
      <c r="A220" s="160"/>
      <c r="B220" s="165"/>
      <c r="C220" s="325" t="s">
        <v>221</v>
      </c>
      <c r="D220" s="326" t="s">
        <v>220</v>
      </c>
      <c r="E220" s="327">
        <v>0.01</v>
      </c>
      <c r="F220" s="21">
        <v>5.0000000000000001E-3</v>
      </c>
      <c r="G220" s="22">
        <f>ROUND((+G217*F220),0)</f>
        <v>2722201</v>
      </c>
      <c r="H220" s="110"/>
    </row>
    <row r="221" spans="1:8" x14ac:dyDescent="0.3">
      <c r="A221" s="160"/>
      <c r="B221" s="165"/>
      <c r="C221" s="328" t="s">
        <v>222</v>
      </c>
      <c r="D221" s="326" t="s">
        <v>220</v>
      </c>
      <c r="E221" s="327">
        <v>0.05</v>
      </c>
      <c r="F221" s="21">
        <v>0.05</v>
      </c>
      <c r="G221" s="22">
        <f>ROUND((+G217*F221),0)</f>
        <v>27222006</v>
      </c>
      <c r="H221" s="110"/>
    </row>
    <row r="222" spans="1:8" x14ac:dyDescent="0.3">
      <c r="A222" s="160"/>
      <c r="B222" s="165"/>
      <c r="C222" s="328" t="s">
        <v>223</v>
      </c>
      <c r="D222" s="326" t="s">
        <v>220</v>
      </c>
      <c r="E222" s="327">
        <v>0.19</v>
      </c>
      <c r="F222" s="21">
        <v>0.19</v>
      </c>
      <c r="G222" s="22">
        <f>ROUND((+G221*F222),0)</f>
        <v>5172181</v>
      </c>
      <c r="H222" s="110"/>
    </row>
    <row r="223" spans="1:8" ht="14.4" thickBot="1" x14ac:dyDescent="0.35">
      <c r="A223" s="160"/>
      <c r="B223" s="165"/>
      <c r="C223" s="329" t="s">
        <v>224</v>
      </c>
      <c r="D223" s="330"/>
      <c r="E223" s="331"/>
      <c r="F223" s="171"/>
      <c r="G223" s="23">
        <f>SUM(G219:G222)</f>
        <v>178140809</v>
      </c>
      <c r="H223" s="110"/>
    </row>
    <row r="224" spans="1:8" ht="15.75" customHeight="1" thickBot="1" x14ac:dyDescent="0.35">
      <c r="A224" s="313"/>
      <c r="B224" s="313"/>
      <c r="C224" s="314" t="s">
        <v>225</v>
      </c>
      <c r="D224" s="315"/>
      <c r="E224" s="316"/>
      <c r="F224" s="174"/>
      <c r="G224" s="175">
        <f>+G217+G223</f>
        <v>722580935</v>
      </c>
    </row>
    <row r="225" spans="1:10" ht="16.5" customHeight="1" thickBot="1" x14ac:dyDescent="0.35">
      <c r="A225" s="313"/>
      <c r="B225" s="313"/>
      <c r="C225" s="117"/>
      <c r="D225" s="115"/>
      <c r="E225" s="176"/>
      <c r="F225" s="119"/>
      <c r="G225" s="109"/>
    </row>
    <row r="226" spans="1:10" ht="13.5" customHeight="1" x14ac:dyDescent="0.3">
      <c r="A226" s="313"/>
      <c r="B226" s="313"/>
      <c r="C226" s="317" t="s">
        <v>226</v>
      </c>
      <c r="D226" s="318"/>
      <c r="E226" s="318"/>
      <c r="F226" s="319"/>
      <c r="G226" s="24">
        <v>95000000</v>
      </c>
    </row>
    <row r="227" spans="1:10" ht="15" customHeight="1" x14ac:dyDescent="0.3">
      <c r="A227" s="313"/>
      <c r="B227" s="313"/>
      <c r="C227" s="169" t="s">
        <v>227</v>
      </c>
      <c r="D227" s="167" t="s">
        <v>220</v>
      </c>
      <c r="E227" s="168"/>
      <c r="F227" s="21">
        <v>0.19</v>
      </c>
      <c r="G227" s="22">
        <f>ROUND(((SUM(G226:G226))*F227),0)</f>
        <v>18050000</v>
      </c>
    </row>
    <row r="228" spans="1:10" ht="15" customHeight="1" thickBot="1" x14ac:dyDescent="0.35">
      <c r="A228" s="313"/>
      <c r="B228" s="313"/>
      <c r="C228" s="314" t="s">
        <v>228</v>
      </c>
      <c r="D228" s="315"/>
      <c r="E228" s="315"/>
      <c r="F228" s="174"/>
      <c r="G228" s="25">
        <f>SUM(G226:G227)</f>
        <v>113050000</v>
      </c>
      <c r="H228" s="177"/>
    </row>
    <row r="229" spans="1:10" ht="15.75" customHeight="1" thickBot="1" x14ac:dyDescent="0.35">
      <c r="A229" s="313"/>
      <c r="B229" s="313"/>
      <c r="C229" s="178"/>
      <c r="D229" s="178"/>
      <c r="E229" s="179"/>
      <c r="F229" s="180"/>
      <c r="G229" s="26"/>
      <c r="H229" s="177"/>
    </row>
    <row r="230" spans="1:10" ht="15.75" customHeight="1" thickBot="1" x14ac:dyDescent="0.35">
      <c r="A230" s="313"/>
      <c r="B230" s="313"/>
      <c r="C230" s="320" t="s">
        <v>229</v>
      </c>
      <c r="D230" s="321"/>
      <c r="E230" s="321"/>
      <c r="F230" s="182"/>
      <c r="G230" s="175">
        <f>G224+G228</f>
        <v>835630935</v>
      </c>
      <c r="I230" s="7"/>
      <c r="J230" s="11"/>
    </row>
    <row r="231" spans="1:10" ht="15" customHeight="1" x14ac:dyDescent="0.3">
      <c r="A231" s="313"/>
      <c r="B231" s="313"/>
    </row>
  </sheetData>
  <sheetProtection algorithmName="SHA-512" hashValue="h+o3Hom70jktMBGbSHPvIA4gU17+NU+No86IkZsOyQlKwhN5K90ZWIuQd1IxoG5xU4TPRK9S5OCujwBwIpDEww==" saltValue="kLWm/ILdp5uGo9Vw8yNEkg==" spinCount="100000" sheet="1" scenarios="1"/>
  <mergeCells count="16">
    <mergeCell ref="C219:E219"/>
    <mergeCell ref="C220:E220"/>
    <mergeCell ref="C221:E221"/>
    <mergeCell ref="C222:E222"/>
    <mergeCell ref="C223:E223"/>
    <mergeCell ref="A224:B231"/>
    <mergeCell ref="C224:E224"/>
    <mergeCell ref="C226:F226"/>
    <mergeCell ref="C228:E228"/>
    <mergeCell ref="C230:E230"/>
    <mergeCell ref="B217:F217"/>
    <mergeCell ref="B2:C2"/>
    <mergeCell ref="B6:G6"/>
    <mergeCell ref="B7:G7"/>
    <mergeCell ref="B8:G8"/>
    <mergeCell ref="B9:G9"/>
  </mergeCells>
  <conditionalFormatting sqref="B210">
    <cfRule type="duplicateValues" dxfId="15" priority="3"/>
  </conditionalFormatting>
  <conditionalFormatting sqref="B211">
    <cfRule type="duplicateValues" dxfId="14" priority="8"/>
  </conditionalFormatting>
  <conditionalFormatting sqref="C10">
    <cfRule type="containsText" dxfId="13" priority="6" operator="containsText" text="escari">
      <formula>NOT(ISERROR(SEARCH("escari",C10)))</formula>
    </cfRule>
    <cfRule type="containsText" dxfId="12" priority="7" operator="containsText" text="escarificación">
      <formula>NOT(ISERROR(SEARCH("escarificación",C10)))</formula>
    </cfRule>
  </conditionalFormatting>
  <conditionalFormatting sqref="C219:C224">
    <cfRule type="containsText" dxfId="11" priority="4" operator="containsText" text="escari">
      <formula>NOT(ISERROR(SEARCH("escari",C219)))</formula>
    </cfRule>
    <cfRule type="containsText" dxfId="10" priority="5" operator="containsText" text="escarificación">
      <formula>NOT(ISERROR(SEARCH("escarificación",C219)))</formula>
    </cfRule>
  </conditionalFormatting>
  <conditionalFormatting sqref="C226:C230">
    <cfRule type="containsText" dxfId="9" priority="1" operator="containsText" text="escari">
      <formula>NOT(ISERROR(SEARCH("escari",C226)))</formula>
    </cfRule>
    <cfRule type="containsText" dxfId="8" priority="2" operator="containsText" text="escarificación">
      <formula>NOT(ISERROR(SEARCH("escarificación",C226)))</formula>
    </cfRule>
  </conditionalFormatting>
  <pageMargins left="0.7" right="0.7" top="0.75" bottom="0.75" header="0.3" footer="0.3"/>
  <pageSetup paperSize="9" scale="45" fitToHeight="0" orientation="portrait" r:id="rId1"/>
  <rowBreaks count="1" manualBreakCount="1">
    <brk id="100" max="7" man="1"/>
  </rowBreaks>
  <tableParts count="18">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8CEAB-6F70-4D70-B1EB-827E841997A1}">
  <sheetPr codeName="Hoja8">
    <tabColor rgb="FF002060"/>
    <pageSetUpPr fitToPage="1"/>
  </sheetPr>
  <dimension ref="A1:M52"/>
  <sheetViews>
    <sheetView showGridLines="0" view="pageBreakPreview" zoomScaleNormal="100" zoomScaleSheetLayoutView="100" workbookViewId="0">
      <selection activeCell="M13" sqref="M13"/>
    </sheetView>
  </sheetViews>
  <sheetFormatPr baseColWidth="10" defaultColWidth="14.44140625" defaultRowHeight="15" customHeight="1" x14ac:dyDescent="0.3"/>
  <cols>
    <col min="1" max="1" width="8" style="28" customWidth="1"/>
    <col min="2" max="2" width="1" style="29" customWidth="1"/>
    <col min="3" max="3" width="61.6640625" style="28" customWidth="1"/>
    <col min="4" max="4" width="15.44140625" style="28" bestFit="1" customWidth="1"/>
    <col min="5" max="5" width="13.44140625" style="28" customWidth="1"/>
    <col min="6" max="6" width="16.5546875" style="28" bestFit="1" customWidth="1"/>
    <col min="7" max="7" width="10.33203125" style="28" customWidth="1"/>
    <col min="8" max="8" width="17.88671875" style="28" customWidth="1"/>
    <col min="9" max="9" width="24.5546875" style="28" customWidth="1"/>
    <col min="10" max="10" width="1" style="28" customWidth="1"/>
    <col min="11" max="11" width="19.44140625" style="28" bestFit="1" customWidth="1"/>
    <col min="12" max="12" width="17.44140625" style="28" customWidth="1"/>
    <col min="13" max="13" width="19.6640625" style="28" customWidth="1"/>
    <col min="14" max="14" width="36.5546875" style="28" customWidth="1"/>
    <col min="15" max="15" width="21.88671875" style="28" customWidth="1"/>
    <col min="16" max="25" width="10.6640625" style="28" customWidth="1"/>
    <col min="26" max="16384" width="14.44140625" style="28"/>
  </cols>
  <sheetData>
    <row r="1" spans="1:13" ht="17.25" customHeight="1" x14ac:dyDescent="0.3">
      <c r="C1" s="335" t="s">
        <v>475</v>
      </c>
      <c r="D1" s="335"/>
      <c r="E1" s="335"/>
      <c r="F1" s="335"/>
      <c r="G1" s="335"/>
      <c r="H1" s="335"/>
      <c r="I1" s="336"/>
      <c r="L1" s="30">
        <v>812408754</v>
      </c>
      <c r="M1" s="31" t="s">
        <v>230</v>
      </c>
    </row>
    <row r="2" spans="1:13" ht="17.25" customHeight="1" x14ac:dyDescent="0.3">
      <c r="C2" s="337"/>
      <c r="D2" s="337"/>
      <c r="E2" s="337"/>
      <c r="F2" s="337"/>
      <c r="G2" s="337"/>
      <c r="H2" s="337"/>
      <c r="I2" s="338"/>
      <c r="L2" s="30">
        <v>544440126</v>
      </c>
      <c r="M2" s="28" t="s">
        <v>231</v>
      </c>
    </row>
    <row r="3" spans="1:13" ht="27" customHeight="1" x14ac:dyDescent="0.3">
      <c r="C3" s="339" t="s">
        <v>232</v>
      </c>
      <c r="D3" s="339"/>
      <c r="E3" s="339"/>
      <c r="F3" s="339"/>
      <c r="G3" s="339"/>
      <c r="H3" s="339"/>
      <c r="I3" s="339"/>
      <c r="J3" s="32"/>
      <c r="L3" s="30">
        <f>+L1-L2</f>
        <v>267968628</v>
      </c>
      <c r="M3" s="28" t="s">
        <v>233</v>
      </c>
    </row>
    <row r="4" spans="1:13" ht="5.25" customHeight="1" x14ac:dyDescent="0.3">
      <c r="C4" s="33"/>
      <c r="D4" s="33"/>
      <c r="E4" s="33"/>
      <c r="F4" s="33"/>
      <c r="G4" s="33"/>
      <c r="H4" s="33"/>
      <c r="I4" s="33"/>
      <c r="J4" s="32"/>
    </row>
    <row r="5" spans="1:13" ht="14.25" customHeight="1" x14ac:dyDescent="0.3">
      <c r="C5" s="34" t="s">
        <v>234</v>
      </c>
      <c r="D5" s="35" t="s">
        <v>235</v>
      </c>
      <c r="E5" s="340" t="s">
        <v>236</v>
      </c>
      <c r="F5" s="340"/>
      <c r="G5" s="340" t="s">
        <v>237</v>
      </c>
      <c r="H5" s="340"/>
      <c r="I5" s="36" t="s">
        <v>238</v>
      </c>
      <c r="L5" s="37" t="b">
        <f>L3=I49</f>
        <v>0</v>
      </c>
    </row>
    <row r="6" spans="1:13" ht="14.25" customHeight="1" x14ac:dyDescent="0.3">
      <c r="A6" s="332" t="s">
        <v>239</v>
      </c>
      <c r="C6" s="38" t="s">
        <v>240</v>
      </c>
      <c r="D6" s="39" t="s">
        <v>241</v>
      </c>
      <c r="E6" s="333">
        <v>0.02</v>
      </c>
      <c r="F6" s="333"/>
      <c r="G6" s="334">
        <v>1</v>
      </c>
      <c r="H6" s="334"/>
      <c r="I6" s="40">
        <f t="shared" ref="I6:I12" si="0">ROUND(($L$1-$I$48)*G6*E6,0)</f>
        <v>16144731</v>
      </c>
    </row>
    <row r="7" spans="1:13" ht="14.25" customHeight="1" x14ac:dyDescent="0.3">
      <c r="A7" s="332"/>
      <c r="C7" s="38" t="s">
        <v>458</v>
      </c>
      <c r="D7" s="39" t="s">
        <v>241</v>
      </c>
      <c r="E7" s="333">
        <v>0.05</v>
      </c>
      <c r="F7" s="333"/>
      <c r="G7" s="334">
        <v>1</v>
      </c>
      <c r="H7" s="334"/>
      <c r="I7" s="40">
        <f t="shared" si="0"/>
        <v>40361829</v>
      </c>
    </row>
    <row r="8" spans="1:13" ht="14.25" customHeight="1" x14ac:dyDescent="0.3">
      <c r="A8" s="332"/>
      <c r="C8" s="38" t="s">
        <v>242</v>
      </c>
      <c r="D8" s="39" t="s">
        <v>241</v>
      </c>
      <c r="E8" s="333">
        <v>4.0000000000000001E-3</v>
      </c>
      <c r="F8" s="333"/>
      <c r="G8" s="334">
        <v>1</v>
      </c>
      <c r="H8" s="334"/>
      <c r="I8" s="40">
        <f t="shared" si="0"/>
        <v>3228946</v>
      </c>
      <c r="J8" s="41"/>
    </row>
    <row r="9" spans="1:13" ht="14.25" customHeight="1" x14ac:dyDescent="0.3">
      <c r="A9" s="332"/>
      <c r="C9" s="38" t="s">
        <v>243</v>
      </c>
      <c r="D9" s="39" t="s">
        <v>241</v>
      </c>
      <c r="E9" s="333">
        <v>6.9000000000000008E-3</v>
      </c>
      <c r="F9" s="333"/>
      <c r="G9" s="334">
        <v>1</v>
      </c>
      <c r="H9" s="334"/>
      <c r="I9" s="40">
        <f t="shared" si="0"/>
        <v>5569932</v>
      </c>
      <c r="J9" s="41"/>
    </row>
    <row r="10" spans="1:13" ht="14.25" customHeight="1" x14ac:dyDescent="0.3">
      <c r="A10" s="332"/>
      <c r="C10" s="38" t="s">
        <v>244</v>
      </c>
      <c r="D10" s="39" t="s">
        <v>241</v>
      </c>
      <c r="E10" s="333">
        <v>2.5000000000000001E-3</v>
      </c>
      <c r="F10" s="333"/>
      <c r="G10" s="334">
        <v>1</v>
      </c>
      <c r="H10" s="334"/>
      <c r="I10" s="40">
        <f t="shared" si="0"/>
        <v>2018091</v>
      </c>
      <c r="J10" s="41"/>
    </row>
    <row r="11" spans="1:13" ht="14.25" customHeight="1" x14ac:dyDescent="0.3">
      <c r="A11" s="332"/>
      <c r="C11" s="38" t="s">
        <v>245</v>
      </c>
      <c r="D11" s="39" t="s">
        <v>241</v>
      </c>
      <c r="E11" s="333">
        <v>5.0000000000000001E-3</v>
      </c>
      <c r="F11" s="333"/>
      <c r="G11" s="334">
        <v>1</v>
      </c>
      <c r="H11" s="334"/>
      <c r="I11" s="40">
        <f t="shared" si="0"/>
        <v>4036183</v>
      </c>
      <c r="J11" s="41"/>
      <c r="K11" s="42"/>
      <c r="L11" s="42"/>
    </row>
    <row r="12" spans="1:13" ht="14.25" customHeight="1" x14ac:dyDescent="0.3">
      <c r="A12" s="332"/>
      <c r="C12" s="38" t="s">
        <v>246</v>
      </c>
      <c r="D12" s="39" t="s">
        <v>241</v>
      </c>
      <c r="E12" s="333">
        <v>5.0000000000000001E-3</v>
      </c>
      <c r="F12" s="333"/>
      <c r="G12" s="334">
        <v>1</v>
      </c>
      <c r="H12" s="334"/>
      <c r="I12" s="40">
        <f t="shared" si="0"/>
        <v>4036183</v>
      </c>
      <c r="J12" s="41"/>
      <c r="K12" s="42"/>
      <c r="L12" s="42"/>
    </row>
    <row r="13" spans="1:13" ht="14.25" customHeight="1" x14ac:dyDescent="0.3">
      <c r="A13" s="332"/>
      <c r="C13" s="38" t="s">
        <v>247</v>
      </c>
      <c r="D13" s="43" t="s">
        <v>248</v>
      </c>
      <c r="E13" s="341">
        <v>1423500</v>
      </c>
      <c r="F13" s="341"/>
      <c r="G13" s="334">
        <v>2</v>
      </c>
      <c r="H13" s="334"/>
      <c r="I13" s="40">
        <f>ROUND(G13*E13,0)</f>
        <v>2847000</v>
      </c>
      <c r="J13" s="41"/>
      <c r="K13" s="42"/>
      <c r="L13" s="42"/>
    </row>
    <row r="14" spans="1:13" ht="14.25" customHeight="1" x14ac:dyDescent="0.3">
      <c r="A14" s="332"/>
      <c r="C14" s="38" t="s">
        <v>249</v>
      </c>
      <c r="D14" s="39" t="s">
        <v>241</v>
      </c>
      <c r="E14" s="333">
        <v>1.252E-2</v>
      </c>
      <c r="F14" s="333"/>
      <c r="G14" s="334">
        <v>1</v>
      </c>
      <c r="H14" s="334"/>
      <c r="I14" s="40">
        <f t="shared" ref="I14" si="1">ROUND($L$1*G14*E14,0)</f>
        <v>10171358</v>
      </c>
      <c r="J14" s="41"/>
    </row>
    <row r="15" spans="1:13" ht="14.25" customHeight="1" x14ac:dyDescent="0.3">
      <c r="C15" s="44" t="s">
        <v>250</v>
      </c>
      <c r="D15" s="45"/>
      <c r="E15" s="345">
        <f>SUM(E6:E14)</f>
        <v>1423500.10592</v>
      </c>
      <c r="F15" s="345"/>
      <c r="G15" s="46"/>
      <c r="H15" s="47"/>
      <c r="I15" s="48">
        <f>SUM(I6:I14)</f>
        <v>88414253</v>
      </c>
      <c r="J15" s="41"/>
    </row>
    <row r="16" spans="1:13" ht="14.25" customHeight="1" x14ac:dyDescent="0.3">
      <c r="C16" s="49"/>
      <c r="D16" s="49"/>
      <c r="E16" s="50"/>
      <c r="F16" s="50"/>
      <c r="G16" s="50"/>
      <c r="H16" s="51"/>
      <c r="I16" s="52"/>
      <c r="J16" s="41"/>
    </row>
    <row r="17" spans="1:10" ht="39.6" x14ac:dyDescent="0.3">
      <c r="C17" s="53" t="s">
        <v>251</v>
      </c>
      <c r="D17" s="30" t="s">
        <v>252</v>
      </c>
      <c r="E17" s="54" t="s">
        <v>253</v>
      </c>
      <c r="F17" s="54" t="s">
        <v>254</v>
      </c>
      <c r="G17" s="54" t="s">
        <v>255</v>
      </c>
      <c r="H17" s="54" t="s">
        <v>256</v>
      </c>
      <c r="I17" s="30" t="s">
        <v>257</v>
      </c>
    </row>
    <row r="18" spans="1:10" ht="14.25" customHeight="1" x14ac:dyDescent="0.3">
      <c r="A18" s="346" t="s">
        <v>258</v>
      </c>
      <c r="C18" s="55" t="s">
        <v>259</v>
      </c>
      <c r="D18" s="40">
        <v>7415423.9499999946</v>
      </c>
      <c r="E18" s="56">
        <v>1.6019000000000001</v>
      </c>
      <c r="F18" s="57">
        <v>0.2</v>
      </c>
      <c r="G18" s="43">
        <v>1</v>
      </c>
      <c r="H18" s="58">
        <v>3</v>
      </c>
      <c r="I18" s="40">
        <f t="shared" ref="I18:I25" si="2">IFERROR(ROUND(E18*D18*G18*F18*H18,0),"")</f>
        <v>7127261</v>
      </c>
    </row>
    <row r="19" spans="1:10" ht="14.25" customHeight="1" x14ac:dyDescent="0.3">
      <c r="A19" s="346"/>
      <c r="C19" s="38" t="s">
        <v>260</v>
      </c>
      <c r="D19" s="40">
        <v>5372002.4750000024</v>
      </c>
      <c r="E19" s="56">
        <v>1.6019000000000001</v>
      </c>
      <c r="F19" s="57">
        <v>1</v>
      </c>
      <c r="G19" s="43">
        <v>1</v>
      </c>
      <c r="H19" s="58">
        <v>3</v>
      </c>
      <c r="I19" s="40">
        <f t="shared" si="2"/>
        <v>25816232</v>
      </c>
    </row>
    <row r="20" spans="1:10" ht="14.25" customHeight="1" x14ac:dyDescent="0.3">
      <c r="A20" s="346"/>
      <c r="C20" s="38" t="s">
        <v>261</v>
      </c>
      <c r="D20" s="40">
        <v>4500046.3099999977</v>
      </c>
      <c r="E20" s="56">
        <v>1.6019000000000001</v>
      </c>
      <c r="F20" s="57">
        <v>0.2</v>
      </c>
      <c r="G20" s="43">
        <v>1</v>
      </c>
      <c r="H20" s="58">
        <v>2</v>
      </c>
      <c r="I20" s="40">
        <f t="shared" si="2"/>
        <v>2883450</v>
      </c>
    </row>
    <row r="21" spans="1:10" ht="14.25" customHeight="1" x14ac:dyDescent="0.3">
      <c r="A21" s="346"/>
      <c r="C21" s="38" t="s">
        <v>262</v>
      </c>
      <c r="D21" s="40">
        <v>4500046.3099999977</v>
      </c>
      <c r="E21" s="56">
        <v>1.6019000000000001</v>
      </c>
      <c r="F21" s="57">
        <v>0.2</v>
      </c>
      <c r="G21" s="43">
        <v>1</v>
      </c>
      <c r="H21" s="58">
        <v>2</v>
      </c>
      <c r="I21" s="40">
        <f t="shared" si="2"/>
        <v>2883450</v>
      </c>
    </row>
    <row r="22" spans="1:10" ht="14.25" customHeight="1" x14ac:dyDescent="0.3">
      <c r="A22" s="346"/>
      <c r="C22" s="38" t="s">
        <v>263</v>
      </c>
      <c r="D22" s="40">
        <v>4500046.3099999977</v>
      </c>
      <c r="E22" s="56">
        <v>1.6019000000000001</v>
      </c>
      <c r="F22" s="57">
        <v>0.3</v>
      </c>
      <c r="G22" s="43">
        <v>1</v>
      </c>
      <c r="H22" s="58">
        <v>2</v>
      </c>
      <c r="I22" s="40">
        <f t="shared" si="2"/>
        <v>4325175</v>
      </c>
    </row>
    <row r="23" spans="1:10" ht="14.25" customHeight="1" x14ac:dyDescent="0.3">
      <c r="A23" s="346"/>
      <c r="C23" s="38"/>
      <c r="D23" s="40"/>
      <c r="E23" s="56"/>
      <c r="F23" s="57"/>
      <c r="G23" s="43"/>
      <c r="H23" s="58"/>
      <c r="I23" s="40">
        <f t="shared" si="2"/>
        <v>0</v>
      </c>
    </row>
    <row r="24" spans="1:10" ht="14.25" customHeight="1" x14ac:dyDescent="0.3">
      <c r="A24" s="346"/>
      <c r="C24" s="38"/>
      <c r="D24" s="40"/>
      <c r="E24" s="59"/>
      <c r="F24" s="57"/>
      <c r="G24" s="43"/>
      <c r="H24" s="58"/>
      <c r="I24" s="40">
        <f t="shared" si="2"/>
        <v>0</v>
      </c>
    </row>
    <row r="25" spans="1:10" ht="14.25" customHeight="1" x14ac:dyDescent="0.3">
      <c r="A25" s="346"/>
      <c r="C25" s="38"/>
      <c r="D25" s="40"/>
      <c r="E25" s="59"/>
      <c r="F25" s="57"/>
      <c r="G25" s="43"/>
      <c r="H25" s="58"/>
      <c r="I25" s="40">
        <f t="shared" si="2"/>
        <v>0</v>
      </c>
    </row>
    <row r="26" spans="1:10" ht="14.25" customHeight="1" x14ac:dyDescent="0.3">
      <c r="C26" s="60" t="s">
        <v>264</v>
      </c>
      <c r="D26" s="61"/>
      <c r="E26" s="46"/>
      <c r="F26" s="46"/>
      <c r="G26" s="46"/>
      <c r="H26" s="62"/>
      <c r="I26" s="63">
        <f>SUM(I18:I25)</f>
        <v>43035568</v>
      </c>
      <c r="J26" s="64"/>
    </row>
    <row r="27" spans="1:10" ht="14.25" customHeight="1" x14ac:dyDescent="0.3">
      <c r="C27" s="65"/>
      <c r="D27" s="49"/>
      <c r="E27" s="50"/>
      <c r="F27" s="50"/>
      <c r="G27" s="50"/>
      <c r="H27" s="50"/>
      <c r="I27" s="66"/>
    </row>
    <row r="28" spans="1:10" ht="14.25" customHeight="1" x14ac:dyDescent="0.3">
      <c r="C28" s="53" t="s">
        <v>265</v>
      </c>
      <c r="D28" s="347" t="s">
        <v>266</v>
      </c>
      <c r="E28" s="348"/>
      <c r="F28" s="349" t="s">
        <v>11</v>
      </c>
      <c r="G28" s="350"/>
      <c r="H28" s="67" t="s">
        <v>252</v>
      </c>
      <c r="I28" s="67" t="s">
        <v>257</v>
      </c>
    </row>
    <row r="29" spans="1:10" ht="14.25" customHeight="1" x14ac:dyDescent="0.3">
      <c r="A29" s="351" t="s">
        <v>267</v>
      </c>
      <c r="C29" s="68" t="s">
        <v>268</v>
      </c>
      <c r="D29" s="342" t="s">
        <v>269</v>
      </c>
      <c r="E29" s="342"/>
      <c r="F29" s="343">
        <v>2</v>
      </c>
      <c r="G29" s="344"/>
      <c r="H29" s="40">
        <v>12680.784206349301</v>
      </c>
      <c r="I29" s="69">
        <f>ROUND(H29*F29,0)</f>
        <v>25362</v>
      </c>
      <c r="J29" s="70"/>
    </row>
    <row r="30" spans="1:10" ht="14.25" customHeight="1" x14ac:dyDescent="0.3">
      <c r="A30" s="351"/>
      <c r="C30" s="68" t="s">
        <v>270</v>
      </c>
      <c r="D30" s="342" t="s">
        <v>269</v>
      </c>
      <c r="E30" s="342"/>
      <c r="F30" s="343">
        <v>2</v>
      </c>
      <c r="G30" s="344"/>
      <c r="H30" s="40">
        <v>339150</v>
      </c>
      <c r="I30" s="69">
        <f t="shared" ref="I30:I38" si="3">ROUND(H30*F30,0)</f>
        <v>678300</v>
      </c>
    </row>
    <row r="31" spans="1:10" ht="14.25" customHeight="1" x14ac:dyDescent="0.3">
      <c r="A31" s="351"/>
      <c r="C31" s="68" t="s">
        <v>271</v>
      </c>
      <c r="D31" s="342" t="s">
        <v>269</v>
      </c>
      <c r="E31" s="342"/>
      <c r="F31" s="343">
        <v>2</v>
      </c>
      <c r="G31" s="344"/>
      <c r="H31" s="40">
        <v>82699.588033332999</v>
      </c>
      <c r="I31" s="69">
        <f>ROUND(H31*F31,0)</f>
        <v>165399</v>
      </c>
    </row>
    <row r="32" spans="1:10" ht="14.25" customHeight="1" x14ac:dyDescent="0.3">
      <c r="A32" s="351"/>
      <c r="C32" s="68" t="s">
        <v>272</v>
      </c>
      <c r="D32" s="342" t="s">
        <v>241</v>
      </c>
      <c r="E32" s="342"/>
      <c r="F32" s="343">
        <v>1</v>
      </c>
      <c r="G32" s="344"/>
      <c r="H32" s="40">
        <v>608687</v>
      </c>
      <c r="I32" s="69">
        <f t="shared" si="3"/>
        <v>608687</v>
      </c>
    </row>
    <row r="33" spans="1:10" ht="24.75" customHeight="1" x14ac:dyDescent="0.3">
      <c r="A33" s="351"/>
      <c r="C33" s="71" t="s">
        <v>273</v>
      </c>
      <c r="D33" s="342" t="s">
        <v>241</v>
      </c>
      <c r="E33" s="342"/>
      <c r="F33" s="343">
        <v>1</v>
      </c>
      <c r="G33" s="344"/>
      <c r="H33" s="40">
        <v>351000</v>
      </c>
      <c r="I33" s="69">
        <f t="shared" si="3"/>
        <v>351000</v>
      </c>
      <c r="J33" s="64"/>
    </row>
    <row r="34" spans="1:10" ht="43.2" x14ac:dyDescent="0.3">
      <c r="A34" s="351"/>
      <c r="C34" s="72" t="s">
        <v>274</v>
      </c>
      <c r="D34" s="342" t="s">
        <v>241</v>
      </c>
      <c r="E34" s="342"/>
      <c r="F34" s="343">
        <v>1</v>
      </c>
      <c r="G34" s="344"/>
      <c r="H34" s="40">
        <v>1915182</v>
      </c>
      <c r="I34" s="69">
        <f t="shared" si="3"/>
        <v>1915182</v>
      </c>
    </row>
    <row r="35" spans="1:10" ht="27" customHeight="1" x14ac:dyDescent="0.3">
      <c r="A35" s="351"/>
      <c r="C35" s="38" t="s">
        <v>275</v>
      </c>
      <c r="D35" s="342" t="s">
        <v>241</v>
      </c>
      <c r="E35" s="342"/>
      <c r="F35" s="343">
        <v>1</v>
      </c>
      <c r="G35" s="344"/>
      <c r="H35" s="40">
        <v>4672000</v>
      </c>
      <c r="I35" s="69">
        <f t="shared" si="3"/>
        <v>4672000</v>
      </c>
      <c r="J35" s="73"/>
    </row>
    <row r="36" spans="1:10" ht="14.25" customHeight="1" x14ac:dyDescent="0.3">
      <c r="A36" s="351"/>
      <c r="C36" s="38" t="s">
        <v>276</v>
      </c>
      <c r="D36" s="342" t="s">
        <v>269</v>
      </c>
      <c r="E36" s="342"/>
      <c r="F36" s="343">
        <v>2</v>
      </c>
      <c r="G36" s="344"/>
      <c r="H36" s="40">
        <f>120000+50000+200000</f>
        <v>370000</v>
      </c>
      <c r="I36" s="69">
        <f t="shared" si="3"/>
        <v>740000</v>
      </c>
    </row>
    <row r="37" spans="1:10" ht="27" customHeight="1" x14ac:dyDescent="0.3">
      <c r="A37" s="351"/>
      <c r="C37" s="72" t="s">
        <v>277</v>
      </c>
      <c r="D37" s="342" t="s">
        <v>241</v>
      </c>
      <c r="E37" s="342"/>
      <c r="F37" s="343">
        <v>1</v>
      </c>
      <c r="G37" s="344"/>
      <c r="H37" s="40">
        <v>569340.941886905</v>
      </c>
      <c r="I37" s="69">
        <f t="shared" si="3"/>
        <v>569341</v>
      </c>
      <c r="J37" s="64"/>
    </row>
    <row r="38" spans="1:10" ht="29.25" customHeight="1" x14ac:dyDescent="0.3">
      <c r="A38" s="351"/>
      <c r="C38" s="38" t="s">
        <v>278</v>
      </c>
      <c r="D38" s="342" t="s">
        <v>241</v>
      </c>
      <c r="E38" s="342"/>
      <c r="F38" s="343">
        <v>1</v>
      </c>
      <c r="G38" s="344"/>
      <c r="H38" s="40">
        <v>1843657</v>
      </c>
      <c r="I38" s="69">
        <f t="shared" si="3"/>
        <v>1843657</v>
      </c>
      <c r="J38" s="64"/>
    </row>
    <row r="39" spans="1:10" ht="14.25" customHeight="1" x14ac:dyDescent="0.3">
      <c r="C39" s="60" t="s">
        <v>265</v>
      </c>
      <c r="D39" s="61"/>
      <c r="E39" s="46"/>
      <c r="F39" s="46"/>
      <c r="G39" s="46"/>
      <c r="H39" s="62"/>
      <c r="I39" s="63">
        <f>SUM(I29:I38)</f>
        <v>11568928</v>
      </c>
    </row>
    <row r="40" spans="1:10" ht="8.25" customHeight="1" x14ac:dyDescent="0.3">
      <c r="B40" s="28"/>
    </row>
    <row r="41" spans="1:10" ht="18" customHeight="1" x14ac:dyDescent="0.3">
      <c r="C41" s="44" t="s">
        <v>279</v>
      </c>
      <c r="D41" s="45"/>
      <c r="E41" s="74" t="s">
        <v>280</v>
      </c>
      <c r="F41" s="75"/>
      <c r="G41" s="75"/>
      <c r="H41" s="76">
        <f>+I41/I43</f>
        <v>0.26268958177413987</v>
      </c>
      <c r="I41" s="77">
        <f>+I39+I26+I15</f>
        <v>143018749</v>
      </c>
    </row>
    <row r="42" spans="1:10" ht="12" customHeight="1" x14ac:dyDescent="0.3">
      <c r="B42" s="28"/>
    </row>
    <row r="43" spans="1:10" ht="19.5" customHeight="1" x14ac:dyDescent="0.3">
      <c r="C43" s="44" t="s">
        <v>281</v>
      </c>
      <c r="D43" s="45"/>
      <c r="E43" s="75"/>
      <c r="F43" s="75"/>
      <c r="G43" s="75"/>
      <c r="H43" s="78"/>
      <c r="I43" s="77">
        <v>544440126</v>
      </c>
      <c r="J43" s="79"/>
    </row>
    <row r="44" spans="1:10" ht="6" customHeight="1" x14ac:dyDescent="0.3">
      <c r="B44" s="28"/>
    </row>
    <row r="45" spans="1:10" ht="14.25" customHeight="1" x14ac:dyDescent="0.3">
      <c r="C45" s="80" t="s">
        <v>219</v>
      </c>
      <c r="D45" s="81"/>
      <c r="E45" s="82"/>
      <c r="F45" s="82"/>
      <c r="G45" s="82"/>
      <c r="H45" s="83">
        <f>ROUND(H41,4)</f>
        <v>0.26269999999999999</v>
      </c>
      <c r="I45" s="69">
        <f>ROUND(($I$43*H45),0)</f>
        <v>143024421</v>
      </c>
      <c r="J45" s="79"/>
    </row>
    <row r="46" spans="1:10" ht="14.25" customHeight="1" x14ac:dyDescent="0.3">
      <c r="C46" s="84" t="s">
        <v>221</v>
      </c>
      <c r="D46" s="85"/>
      <c r="E46" s="86"/>
      <c r="F46" s="86"/>
      <c r="G46" s="86"/>
      <c r="H46" s="87">
        <v>5.0000000000000001E-3</v>
      </c>
      <c r="I46" s="69">
        <f>ROUND(($I$43*H46),0)</f>
        <v>2722201</v>
      </c>
      <c r="J46" s="79"/>
    </row>
    <row r="47" spans="1:10" ht="14.25" customHeight="1" x14ac:dyDescent="0.3">
      <c r="C47" s="84" t="s">
        <v>222</v>
      </c>
      <c r="D47" s="85"/>
      <c r="E47" s="86"/>
      <c r="F47" s="86"/>
      <c r="G47" s="86"/>
      <c r="H47" s="87">
        <v>0.05</v>
      </c>
      <c r="I47" s="69">
        <f>ROUND(($I$43*H47),0)</f>
        <v>27222006</v>
      </c>
      <c r="J47" s="79"/>
    </row>
    <row r="48" spans="1:10" ht="14.25" customHeight="1" x14ac:dyDescent="0.3">
      <c r="C48" s="84" t="s">
        <v>223</v>
      </c>
      <c r="D48" s="85"/>
      <c r="E48" s="86"/>
      <c r="F48" s="86"/>
      <c r="G48" s="86"/>
      <c r="H48" s="87">
        <v>0.19</v>
      </c>
      <c r="I48" s="69">
        <f>ROUND(($I$47*H48),0)</f>
        <v>5172181</v>
      </c>
      <c r="J48" s="79"/>
    </row>
    <row r="49" spans="2:11" ht="14.25" customHeight="1" x14ac:dyDescent="0.3">
      <c r="C49" s="88" t="s">
        <v>233</v>
      </c>
      <c r="D49" s="89"/>
      <c r="E49" s="90"/>
      <c r="F49" s="90"/>
      <c r="G49" s="90"/>
      <c r="H49" s="91"/>
      <c r="I49" s="92">
        <f>ROUND(SUM(I45:I48),0)</f>
        <v>178140809</v>
      </c>
      <c r="J49" s="79"/>
    </row>
    <row r="50" spans="2:11" ht="5.25" customHeight="1" x14ac:dyDescent="0.3">
      <c r="B50" s="28"/>
    </row>
    <row r="51" spans="2:11" ht="14.25" customHeight="1" x14ac:dyDescent="0.3">
      <c r="C51" s="60" t="s">
        <v>282</v>
      </c>
      <c r="D51" s="61"/>
      <c r="E51" s="93"/>
      <c r="F51" s="93"/>
      <c r="G51" s="93"/>
      <c r="H51" s="94"/>
      <c r="I51" s="77">
        <f>ROUND(I43+I49,0)</f>
        <v>722580935</v>
      </c>
      <c r="J51" s="95"/>
      <c r="K51" s="37"/>
    </row>
    <row r="52" spans="2:11" ht="14.25" customHeight="1" x14ac:dyDescent="0.3">
      <c r="J52" s="31" t="s">
        <v>459</v>
      </c>
    </row>
  </sheetData>
  <sheetProtection algorithmName="SHA-512" hashValue="CojmTHKxTDhoiWzI4b6e2Ir8IjGyWzqadqwEIqqAk3yV8N4pK+ZmvCVrHqioSnj7tUgqkISaGuMSUEIZZdqvuQ==" saltValue="oHq8/snth5Lb1QFspHV/Hw==" spinCount="100000" sheet="1" objects="1" scenarios="1"/>
  <mergeCells count="48">
    <mergeCell ref="D35:E35"/>
    <mergeCell ref="F35:G35"/>
    <mergeCell ref="D36:E36"/>
    <mergeCell ref="F36:G36"/>
    <mergeCell ref="D37:E37"/>
    <mergeCell ref="F37:G37"/>
    <mergeCell ref="A18:A25"/>
    <mergeCell ref="D28:E28"/>
    <mergeCell ref="F28:G28"/>
    <mergeCell ref="A29:A38"/>
    <mergeCell ref="D29:E29"/>
    <mergeCell ref="F29:G29"/>
    <mergeCell ref="D30:E30"/>
    <mergeCell ref="F30:G30"/>
    <mergeCell ref="D31:E31"/>
    <mergeCell ref="F31:G31"/>
    <mergeCell ref="D32:E32"/>
    <mergeCell ref="F32:G32"/>
    <mergeCell ref="D33:E33"/>
    <mergeCell ref="F33:G33"/>
    <mergeCell ref="D38:E38"/>
    <mergeCell ref="F38:G38"/>
    <mergeCell ref="E14:F14"/>
    <mergeCell ref="G14:H14"/>
    <mergeCell ref="D34:E34"/>
    <mergeCell ref="F34:G34"/>
    <mergeCell ref="E15:F15"/>
    <mergeCell ref="C1:I2"/>
    <mergeCell ref="C3:I3"/>
    <mergeCell ref="E5:F5"/>
    <mergeCell ref="G5:H5"/>
    <mergeCell ref="G8:H8"/>
    <mergeCell ref="A6:A14"/>
    <mergeCell ref="E6:F6"/>
    <mergeCell ref="G6:H6"/>
    <mergeCell ref="E7:F7"/>
    <mergeCell ref="G7:H7"/>
    <mergeCell ref="E8:F8"/>
    <mergeCell ref="E11:F11"/>
    <mergeCell ref="G11:H11"/>
    <mergeCell ref="E9:F9"/>
    <mergeCell ref="G9:H9"/>
    <mergeCell ref="E10:F10"/>
    <mergeCell ref="G10:H10"/>
    <mergeCell ref="E12:F12"/>
    <mergeCell ref="G12:H12"/>
    <mergeCell ref="E13:F13"/>
    <mergeCell ref="G13:H13"/>
  </mergeCells>
  <hyperlinks>
    <hyperlink ref="A6:A14" location="'A1-Impuestos y Pólizas'!A1" display="Ver" xr:uid="{B39B8330-B577-41DC-A6C6-124CCECCDD41}"/>
    <hyperlink ref="A18:A25" location="'A2-Personal'!A1" display="Ver" xr:uid="{E92B4E22-9492-4C35-B822-4B3D9FC9FA30}"/>
    <hyperlink ref="A29:A38" location="'A3-Costos G.'!A1" display="A3" xr:uid="{FB1BDFD6-8342-4EE9-8686-3C30BB7AE2E7}"/>
    <hyperlink ref="C29" location="'A3-Costos G.'!A1" display="PAPELERÍA, FOTOCOPIAS Y EQUIPOS" xr:uid="{550912AD-728B-424A-A483-A2A5F7240F91}"/>
    <hyperlink ref="C30" location="'A3-Costos G.'!A22" display="EQUIPOS OFICINA (COMPUTADORES Y ESCANER)" xr:uid="{3199F260-755F-45C0-B82B-F37D7A1CE7F1}"/>
    <hyperlink ref="C31" location="'A3-Costos G.'!A28" display="EQUIPOS DE COMUNICACIÓN" xr:uid="{45F98C34-20A6-4E5A-BD84-6518C1069110}"/>
    <hyperlink ref="C32" location="'A3-Costos G.'!A34" display="SOFTWARE LICENCIADO" xr:uid="{E5F7FA81-20E7-4E50-836B-396A3858D3C9}"/>
    <hyperlink ref="C34" location="'A3-Costos G.'!A40" display="IMPLEMENTACIÓN PLAN AMBIENTAL Y SEGURIDAD INDUSTRIAL - Elementos de seguridad Industrial, incluye trabajo de alturas, señalizacion y proteccion de zonas de trabajo" xr:uid="{4EFD6530-3E4B-4A25-9A58-59FA200BE376}"/>
    <hyperlink ref="C37" location="'A3-Costos G.'!A54" display="IMPLEMENTACIÓN PLAN DE MANEJO DE TRANSITO - Elementos de seguridad Industrial, señalizacion y proteccion de zonas de trabajo" xr:uid="{B8F3D0CF-45EB-4BB4-BE80-1F9C3E4E8DAA}"/>
  </hyperlinks>
  <pageMargins left="0.74803149606299213" right="0.74803149606299213" top="0.98425196850393704" bottom="0.98425196850393704" header="0" footer="0"/>
  <pageSetup paperSize="9" scale="53"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00136-7042-420E-A538-031BA8D28704}">
  <sheetPr codeName="Hoja12">
    <pageSetUpPr fitToPage="1"/>
  </sheetPr>
  <dimension ref="A1:L241"/>
  <sheetViews>
    <sheetView showGridLines="0" tabSelected="1" view="pageBreakPreview" zoomScaleNormal="100" zoomScaleSheetLayoutView="100" workbookViewId="0">
      <selection activeCell="K229" sqref="K229"/>
    </sheetView>
  </sheetViews>
  <sheetFormatPr baseColWidth="10" defaultColWidth="11.5546875" defaultRowHeight="13.8" x14ac:dyDescent="0.3"/>
  <cols>
    <col min="1" max="1" width="2.6640625" style="2" customWidth="1"/>
    <col min="2" max="2" width="21.33203125" style="1" bestFit="1" customWidth="1"/>
    <col min="3" max="3" width="82.6640625" style="2" customWidth="1"/>
    <col min="4" max="4" width="12.33203125" style="2" customWidth="1"/>
    <col min="5" max="5" width="15.5546875" style="2" customWidth="1"/>
    <col min="6" max="6" width="21.6640625" style="2" customWidth="1"/>
    <col min="7" max="7" width="20.88671875" style="3" customWidth="1"/>
    <col min="8" max="8" width="34.5546875" style="11" customWidth="1"/>
    <col min="9" max="9" width="2.6640625" style="2" customWidth="1"/>
    <col min="10" max="10" width="25.5546875" style="1" bestFit="1" customWidth="1"/>
    <col min="11" max="11" width="16.33203125" style="2" bestFit="1" customWidth="1"/>
    <col min="12" max="16384" width="11.5546875" style="2"/>
  </cols>
  <sheetData>
    <row r="1" spans="1:12" ht="15" thickTop="1" thickBot="1" x14ac:dyDescent="0.35">
      <c r="A1" s="99"/>
      <c r="B1" s="100"/>
      <c r="C1" s="101"/>
      <c r="D1" s="102"/>
      <c r="E1" s="103"/>
      <c r="F1" s="103"/>
      <c r="G1" s="104"/>
      <c r="H1" s="105"/>
      <c r="I1" s="106"/>
    </row>
    <row r="2" spans="1:12" ht="14.4" thickTop="1" x14ac:dyDescent="0.3">
      <c r="A2" s="107"/>
      <c r="B2" s="308" t="s">
        <v>0</v>
      </c>
      <c r="C2" s="308"/>
      <c r="D2" s="108"/>
      <c r="H2" s="109"/>
      <c r="I2" s="110"/>
    </row>
    <row r="3" spans="1:12" x14ac:dyDescent="0.3">
      <c r="A3" s="107"/>
      <c r="B3" s="111" t="s">
        <v>1</v>
      </c>
      <c r="C3" s="112" t="s">
        <v>2</v>
      </c>
      <c r="D3" s="108"/>
      <c r="H3" s="109"/>
      <c r="I3" s="110"/>
    </row>
    <row r="4" spans="1:12" ht="14.4" thickBot="1" x14ac:dyDescent="0.35">
      <c r="A4" s="107"/>
      <c r="B4" s="113" t="s">
        <v>3</v>
      </c>
      <c r="C4" s="114">
        <v>1</v>
      </c>
      <c r="D4" s="115"/>
      <c r="H4" s="109"/>
      <c r="I4" s="110"/>
    </row>
    <row r="5" spans="1:12" ht="14.4" thickTop="1" x14ac:dyDescent="0.3">
      <c r="A5" s="107"/>
      <c r="B5" s="116"/>
      <c r="C5" s="117"/>
      <c r="D5" s="108"/>
      <c r="E5" s="118"/>
      <c r="F5" s="118"/>
      <c r="G5" s="119"/>
      <c r="H5" s="109"/>
      <c r="I5" s="110"/>
    </row>
    <row r="6" spans="1:12" x14ac:dyDescent="0.3">
      <c r="A6" s="107"/>
      <c r="B6" s="352" t="s">
        <v>476</v>
      </c>
      <c r="C6" s="352"/>
      <c r="D6" s="352"/>
      <c r="E6" s="352"/>
      <c r="F6" s="352"/>
      <c r="G6" s="352"/>
      <c r="H6" s="352"/>
      <c r="I6" s="110"/>
    </row>
    <row r="7" spans="1:12" ht="41.25" customHeight="1" x14ac:dyDescent="0.3">
      <c r="A7" s="107"/>
      <c r="B7" s="310" t="s">
        <v>460</v>
      </c>
      <c r="C7" s="310"/>
      <c r="D7" s="310"/>
      <c r="E7" s="310"/>
      <c r="F7" s="310"/>
      <c r="G7" s="310"/>
      <c r="H7" s="310"/>
      <c r="I7" s="110"/>
    </row>
    <row r="8" spans="1:12" ht="27" customHeight="1" x14ac:dyDescent="0.3">
      <c r="A8" s="107"/>
      <c r="B8" s="311" t="s">
        <v>5</v>
      </c>
      <c r="C8" s="311"/>
      <c r="D8" s="311"/>
      <c r="E8" s="311"/>
      <c r="F8" s="311"/>
      <c r="G8" s="311"/>
      <c r="H8" s="311"/>
      <c r="I8" s="110"/>
    </row>
    <row r="9" spans="1:12" x14ac:dyDescent="0.3">
      <c r="A9" s="107"/>
      <c r="B9" s="312"/>
      <c r="C9" s="312"/>
      <c r="D9" s="312"/>
      <c r="E9" s="312"/>
      <c r="F9" s="312"/>
      <c r="G9" s="312"/>
      <c r="H9" s="312"/>
      <c r="I9" s="110"/>
    </row>
    <row r="10" spans="1:12" x14ac:dyDescent="0.3">
      <c r="A10" s="121"/>
      <c r="B10" s="122" t="s">
        <v>6</v>
      </c>
      <c r="C10" s="122" t="s">
        <v>7</v>
      </c>
      <c r="D10" s="123"/>
      <c r="E10" s="124"/>
      <c r="F10" s="124"/>
      <c r="G10" s="125"/>
      <c r="H10" s="126"/>
      <c r="I10" s="110"/>
    </row>
    <row r="11" spans="1:12" ht="27.6" x14ac:dyDescent="0.3">
      <c r="A11" s="107"/>
      <c r="B11" s="192" t="s">
        <v>8</v>
      </c>
      <c r="C11" s="193" t="s">
        <v>9</v>
      </c>
      <c r="D11" s="194" t="s">
        <v>10</v>
      </c>
      <c r="E11" s="195" t="s">
        <v>11</v>
      </c>
      <c r="F11" s="285" t="s">
        <v>473</v>
      </c>
      <c r="G11" s="285" t="s">
        <v>472</v>
      </c>
      <c r="H11" s="196" t="s">
        <v>13</v>
      </c>
      <c r="I11" s="110"/>
    </row>
    <row r="12" spans="1:12" x14ac:dyDescent="0.3">
      <c r="A12" s="107"/>
      <c r="B12" s="197" t="s">
        <v>14</v>
      </c>
      <c r="C12" s="198" t="s">
        <v>283</v>
      </c>
      <c r="D12" s="199"/>
      <c r="E12" s="200"/>
      <c r="F12" s="200"/>
      <c r="G12" s="286" t="s">
        <v>284</v>
      </c>
      <c r="H12" s="201" t="str">
        <f t="shared" ref="H12" si="0">IFERROR(ROUND((E12*G12),0),"")</f>
        <v/>
      </c>
      <c r="I12" s="110"/>
      <c r="K12" s="4"/>
      <c r="L12" s="4"/>
    </row>
    <row r="13" spans="1:12" x14ac:dyDescent="0.3">
      <c r="A13" s="107"/>
      <c r="B13" s="202" t="s">
        <v>15</v>
      </c>
      <c r="C13" s="203" t="s">
        <v>285</v>
      </c>
      <c r="D13" s="204" t="s">
        <v>286</v>
      </c>
      <c r="E13" s="205">
        <f>ROUND((36.9*1.5),0)</f>
        <v>55</v>
      </c>
      <c r="F13" s="298">
        <v>6600</v>
      </c>
      <c r="G13" s="287"/>
      <c r="H13" s="206">
        <f>IFERROR(ROUND((E13*G13),0),"")</f>
        <v>0</v>
      </c>
      <c r="I13" s="110"/>
      <c r="K13" s="5"/>
    </row>
    <row r="14" spans="1:12" x14ac:dyDescent="0.3">
      <c r="A14" s="107"/>
      <c r="B14" s="207" t="s">
        <v>16</v>
      </c>
      <c r="C14" s="198" t="s">
        <v>287</v>
      </c>
      <c r="D14" s="199"/>
      <c r="E14" s="200"/>
      <c r="F14" s="299" t="s">
        <v>284</v>
      </c>
      <c r="G14" s="286"/>
      <c r="H14" s="201">
        <f t="shared" ref="H14:H18" si="1">IFERROR(ROUND((E14*G14),0),"")</f>
        <v>0</v>
      </c>
      <c r="I14" s="110"/>
      <c r="K14" s="5"/>
    </row>
    <row r="15" spans="1:12" ht="41.4" x14ac:dyDescent="0.3">
      <c r="A15" s="107"/>
      <c r="B15" s="208" t="s">
        <v>17</v>
      </c>
      <c r="C15" s="203" t="s">
        <v>288</v>
      </c>
      <c r="D15" s="204" t="s">
        <v>286</v>
      </c>
      <c r="E15" s="205">
        <f>ROUND((7*1.2),2)</f>
        <v>8.4</v>
      </c>
      <c r="F15" s="298">
        <v>25774</v>
      </c>
      <c r="G15" s="287"/>
      <c r="H15" s="206">
        <f>IFERROR(ROUND((E15*G15),0),"")</f>
        <v>0</v>
      </c>
      <c r="I15" s="110"/>
      <c r="K15" s="5"/>
    </row>
    <row r="16" spans="1:12" ht="41.4" x14ac:dyDescent="0.3">
      <c r="A16" s="107"/>
      <c r="B16" s="209" t="s">
        <v>18</v>
      </c>
      <c r="C16" s="210" t="s">
        <v>289</v>
      </c>
      <c r="D16" s="199" t="s">
        <v>286</v>
      </c>
      <c r="E16" s="200">
        <f>ROUND(((10.39*2)+(16.5+14.04+7.24+48.62+3.12+3.12+3.59)+(14.07+6.25+2.45)),2)</f>
        <v>139.78</v>
      </c>
      <c r="F16" s="299">
        <v>9640</v>
      </c>
      <c r="G16" s="286"/>
      <c r="H16" s="201">
        <f t="shared" si="1"/>
        <v>0</v>
      </c>
      <c r="I16" s="110"/>
      <c r="K16" s="5"/>
    </row>
    <row r="17" spans="1:11" ht="27.6" x14ac:dyDescent="0.3">
      <c r="A17" s="107"/>
      <c r="B17" s="208" t="s">
        <v>19</v>
      </c>
      <c r="C17" s="203" t="s">
        <v>290</v>
      </c>
      <c r="D17" s="204" t="s">
        <v>286</v>
      </c>
      <c r="E17" s="205">
        <v>2</v>
      </c>
      <c r="F17" s="298">
        <v>23710</v>
      </c>
      <c r="G17" s="287"/>
      <c r="H17" s="206">
        <f t="shared" si="1"/>
        <v>0</v>
      </c>
      <c r="I17" s="110"/>
      <c r="K17" s="5"/>
    </row>
    <row r="18" spans="1:11" ht="28.2" thickBot="1" x14ac:dyDescent="0.35">
      <c r="A18" s="107"/>
      <c r="B18" s="209" t="s">
        <v>20</v>
      </c>
      <c r="C18" s="210" t="s">
        <v>291</v>
      </c>
      <c r="D18" s="199" t="s">
        <v>286</v>
      </c>
      <c r="E18" s="200">
        <f>ROUND((46.4*0.12),2)</f>
        <v>5.57</v>
      </c>
      <c r="F18" s="299">
        <v>9451</v>
      </c>
      <c r="G18" s="286"/>
      <c r="H18" s="201">
        <f t="shared" si="1"/>
        <v>0</v>
      </c>
      <c r="I18" s="110"/>
      <c r="K18" s="5"/>
    </row>
    <row r="19" spans="1:11" ht="14.4" thickTop="1" x14ac:dyDescent="0.3">
      <c r="A19" s="107"/>
      <c r="B19" s="211" t="s">
        <v>21</v>
      </c>
      <c r="C19" s="212"/>
      <c r="D19" s="213">
        <f>SUBTOTAL(103,'FORMULARIO OFERTA ECONOMICA'!$D$12:$D$18)</f>
        <v>5</v>
      </c>
      <c r="E19" s="214"/>
      <c r="F19" s="300"/>
      <c r="G19" s="288"/>
      <c r="H19" s="215">
        <f>SUBTOTAL(109,'FORMULARIO OFERTA ECONOMICA'!$H$12:$H$18)</f>
        <v>0</v>
      </c>
      <c r="I19" s="110"/>
      <c r="K19" s="5"/>
    </row>
    <row r="20" spans="1:11" ht="27.6" x14ac:dyDescent="0.3">
      <c r="A20" s="107"/>
      <c r="B20" s="216" t="s">
        <v>22</v>
      </c>
      <c r="C20" s="193" t="s">
        <v>23</v>
      </c>
      <c r="D20" s="194" t="s">
        <v>10</v>
      </c>
      <c r="E20" s="195" t="s">
        <v>11</v>
      </c>
      <c r="F20" s="285" t="s">
        <v>473</v>
      </c>
      <c r="G20" s="289" t="s">
        <v>472</v>
      </c>
      <c r="H20" s="217" t="s">
        <v>13</v>
      </c>
      <c r="I20" s="110"/>
      <c r="K20" s="5"/>
    </row>
    <row r="21" spans="1:11" ht="27.6" x14ac:dyDescent="0.3">
      <c r="A21" s="107"/>
      <c r="B21" s="218" t="s">
        <v>24</v>
      </c>
      <c r="C21" s="210" t="s">
        <v>292</v>
      </c>
      <c r="D21" s="199" t="s">
        <v>286</v>
      </c>
      <c r="E21" s="200">
        <f>ROUND((E204*0.1),2)</f>
        <v>24.96</v>
      </c>
      <c r="F21" s="299">
        <v>18287</v>
      </c>
      <c r="G21" s="286"/>
      <c r="H21" s="219">
        <f t="shared" ref="H21:H23" si="2">IFERROR(ROUND($E21*$G21,0),"")</f>
        <v>0</v>
      </c>
      <c r="I21" s="110"/>
      <c r="K21" s="5"/>
    </row>
    <row r="22" spans="1:11" ht="55.2" x14ac:dyDescent="0.3">
      <c r="A22" s="107"/>
      <c r="B22" s="220" t="s">
        <v>25</v>
      </c>
      <c r="C22" s="203" t="s">
        <v>293</v>
      </c>
      <c r="D22" s="204" t="s">
        <v>294</v>
      </c>
      <c r="E22" s="205">
        <f>ROUND((E21*0.3),2)</f>
        <v>7.49</v>
      </c>
      <c r="F22" s="298">
        <v>42438</v>
      </c>
      <c r="G22" s="287"/>
      <c r="H22" s="221">
        <f t="shared" si="2"/>
        <v>0</v>
      </c>
      <c r="I22" s="110"/>
      <c r="K22" s="5"/>
    </row>
    <row r="23" spans="1:11" ht="28.2" thickBot="1" x14ac:dyDescent="0.35">
      <c r="A23" s="107"/>
      <c r="B23" s="218" t="s">
        <v>26</v>
      </c>
      <c r="C23" s="210" t="s">
        <v>295</v>
      </c>
      <c r="D23" s="199" t="s">
        <v>294</v>
      </c>
      <c r="E23" s="200">
        <f>ROUND(((E22*0.15)+(E204*0.1*0.2)),2)</f>
        <v>6.11</v>
      </c>
      <c r="F23" s="299">
        <v>20449</v>
      </c>
      <c r="G23" s="286"/>
      <c r="H23" s="219">
        <f t="shared" si="2"/>
        <v>0</v>
      </c>
      <c r="I23" s="110"/>
      <c r="J23" s="7"/>
      <c r="K23" s="5"/>
    </row>
    <row r="24" spans="1:11" ht="14.4" thickTop="1" x14ac:dyDescent="0.3">
      <c r="A24" s="107"/>
      <c r="B24" s="222" t="s">
        <v>21</v>
      </c>
      <c r="C24" s="212"/>
      <c r="D24" s="214"/>
      <c r="E24" s="214"/>
      <c r="F24" s="300"/>
      <c r="G24" s="288"/>
      <c r="H24" s="223">
        <f>SUBTOTAL(109,'FORMULARIO OFERTA ECONOMICA'!$H$21:$H$23)</f>
        <v>0</v>
      </c>
      <c r="I24" s="110"/>
      <c r="K24" s="5"/>
    </row>
    <row r="25" spans="1:11" ht="27.6" x14ac:dyDescent="0.3">
      <c r="A25" s="107"/>
      <c r="B25" s="216" t="s">
        <v>27</v>
      </c>
      <c r="C25" s="193" t="s">
        <v>28</v>
      </c>
      <c r="D25" s="194" t="s">
        <v>10</v>
      </c>
      <c r="E25" s="195" t="s">
        <v>11</v>
      </c>
      <c r="F25" s="285" t="s">
        <v>473</v>
      </c>
      <c r="G25" s="289" t="s">
        <v>472</v>
      </c>
      <c r="H25" s="217" t="s">
        <v>13</v>
      </c>
      <c r="I25" s="110"/>
      <c r="K25" s="5"/>
    </row>
    <row r="26" spans="1:11" ht="28.2" thickBot="1" x14ac:dyDescent="0.35">
      <c r="A26" s="107"/>
      <c r="B26" s="218" t="s">
        <v>29</v>
      </c>
      <c r="C26" s="210" t="s">
        <v>296</v>
      </c>
      <c r="D26" s="199" t="s">
        <v>297</v>
      </c>
      <c r="E26" s="200">
        <v>10</v>
      </c>
      <c r="F26" s="299">
        <v>13262</v>
      </c>
      <c r="G26" s="286"/>
      <c r="H26" s="219">
        <f t="shared" ref="H26" si="3">IFERROR(ROUND($E26*$G26,0),"")</f>
        <v>0</v>
      </c>
      <c r="I26" s="110"/>
      <c r="K26" s="5"/>
    </row>
    <row r="27" spans="1:11" ht="14.4" thickTop="1" x14ac:dyDescent="0.3">
      <c r="A27" s="107"/>
      <c r="B27" s="222" t="s">
        <v>21</v>
      </c>
      <c r="C27" s="212"/>
      <c r="D27" s="214"/>
      <c r="E27" s="214"/>
      <c r="F27" s="300"/>
      <c r="G27" s="288"/>
      <c r="H27" s="223">
        <f>SUBTOTAL(109,'FORMULARIO OFERTA ECONOMICA'!$H$26:$H$26)</f>
        <v>0</v>
      </c>
      <c r="I27" s="110"/>
      <c r="K27" s="5"/>
    </row>
    <row r="28" spans="1:11" ht="27.6" x14ac:dyDescent="0.3">
      <c r="A28" s="107"/>
      <c r="B28" s="216" t="s">
        <v>30</v>
      </c>
      <c r="C28" s="193" t="s">
        <v>31</v>
      </c>
      <c r="D28" s="194" t="s">
        <v>10</v>
      </c>
      <c r="E28" s="195" t="s">
        <v>11</v>
      </c>
      <c r="F28" s="285" t="s">
        <v>473</v>
      </c>
      <c r="G28" s="289" t="s">
        <v>472</v>
      </c>
      <c r="H28" s="196" t="s">
        <v>13</v>
      </c>
      <c r="I28" s="110"/>
    </row>
    <row r="29" spans="1:11" x14ac:dyDescent="0.3">
      <c r="A29" s="107"/>
      <c r="B29" s="224" t="s">
        <v>32</v>
      </c>
      <c r="C29" s="198" t="s">
        <v>298</v>
      </c>
      <c r="D29" s="199"/>
      <c r="E29" s="200"/>
      <c r="F29" s="299"/>
      <c r="G29" s="286"/>
      <c r="H29" s="201"/>
      <c r="I29" s="110"/>
    </row>
    <row r="30" spans="1:11" ht="55.2" x14ac:dyDescent="0.3">
      <c r="A30" s="107"/>
      <c r="B30" s="225" t="s">
        <v>33</v>
      </c>
      <c r="C30" s="203" t="s">
        <v>299</v>
      </c>
      <c r="D30" s="204" t="s">
        <v>297</v>
      </c>
      <c r="E30" s="205">
        <v>1</v>
      </c>
      <c r="F30" s="298">
        <v>1059024</v>
      </c>
      <c r="G30" s="287"/>
      <c r="H30" s="206">
        <f t="shared" ref="H30:H70" si="4">IFERROR(ROUND($E30*$G30,0),"")</f>
        <v>0</v>
      </c>
      <c r="I30" s="110"/>
    </row>
    <row r="31" spans="1:11" ht="55.2" x14ac:dyDescent="0.3">
      <c r="A31" s="107"/>
      <c r="B31" s="226" t="s">
        <v>34</v>
      </c>
      <c r="C31" s="210" t="s">
        <v>300</v>
      </c>
      <c r="D31" s="199" t="s">
        <v>297</v>
      </c>
      <c r="E31" s="200">
        <v>1</v>
      </c>
      <c r="F31" s="299">
        <v>707234</v>
      </c>
      <c r="G31" s="286"/>
      <c r="H31" s="201">
        <f t="shared" si="4"/>
        <v>0</v>
      </c>
      <c r="I31" s="110"/>
    </row>
    <row r="32" spans="1:11" ht="55.2" x14ac:dyDescent="0.3">
      <c r="A32" s="107"/>
      <c r="B32" s="225" t="s">
        <v>35</v>
      </c>
      <c r="C32" s="203" t="s">
        <v>301</v>
      </c>
      <c r="D32" s="204" t="s">
        <v>297</v>
      </c>
      <c r="E32" s="205">
        <v>1</v>
      </c>
      <c r="F32" s="298">
        <v>554049</v>
      </c>
      <c r="G32" s="287"/>
      <c r="H32" s="206">
        <f>IFERROR(ROUND($E32*$G32,0),"")</f>
        <v>0</v>
      </c>
      <c r="I32" s="110"/>
    </row>
    <row r="33" spans="1:9" ht="27.6" x14ac:dyDescent="0.3">
      <c r="A33" s="107"/>
      <c r="B33" s="226" t="s">
        <v>36</v>
      </c>
      <c r="C33" s="210" t="s">
        <v>302</v>
      </c>
      <c r="D33" s="199" t="s">
        <v>303</v>
      </c>
      <c r="E33" s="200">
        <v>34</v>
      </c>
      <c r="F33" s="299">
        <v>97932</v>
      </c>
      <c r="G33" s="286"/>
      <c r="H33" s="201">
        <f t="shared" si="4"/>
        <v>0</v>
      </c>
      <c r="I33" s="110"/>
    </row>
    <row r="34" spans="1:9" x14ac:dyDescent="0.3">
      <c r="A34" s="107"/>
      <c r="B34" s="227" t="s">
        <v>37</v>
      </c>
      <c r="C34" s="228" t="s">
        <v>304</v>
      </c>
      <c r="D34" s="204"/>
      <c r="E34" s="205"/>
      <c r="F34" s="298" t="s">
        <v>284</v>
      </c>
      <c r="G34" s="287"/>
      <c r="H34" s="206">
        <f t="shared" si="4"/>
        <v>0</v>
      </c>
      <c r="I34" s="110"/>
    </row>
    <row r="35" spans="1:9" ht="27.6" x14ac:dyDescent="0.3">
      <c r="A35" s="107"/>
      <c r="B35" s="226" t="s">
        <v>38</v>
      </c>
      <c r="C35" s="210" t="s">
        <v>305</v>
      </c>
      <c r="D35" s="199" t="s">
        <v>303</v>
      </c>
      <c r="E35" s="200">
        <v>24</v>
      </c>
      <c r="F35" s="299">
        <v>45124</v>
      </c>
      <c r="G35" s="286"/>
      <c r="H35" s="201">
        <f t="shared" si="4"/>
        <v>0</v>
      </c>
      <c r="I35" s="110"/>
    </row>
    <row r="36" spans="1:9" ht="27.6" x14ac:dyDescent="0.3">
      <c r="A36" s="107"/>
      <c r="B36" s="225" t="s">
        <v>39</v>
      </c>
      <c r="C36" s="203" t="s">
        <v>306</v>
      </c>
      <c r="D36" s="204" t="s">
        <v>303</v>
      </c>
      <c r="E36" s="205">
        <v>10</v>
      </c>
      <c r="F36" s="298">
        <v>38569</v>
      </c>
      <c r="G36" s="287"/>
      <c r="H36" s="206">
        <f t="shared" si="4"/>
        <v>0</v>
      </c>
      <c r="I36" s="110"/>
    </row>
    <row r="37" spans="1:9" ht="27.6" x14ac:dyDescent="0.3">
      <c r="A37" s="107"/>
      <c r="B37" s="226" t="s">
        <v>40</v>
      </c>
      <c r="C37" s="210" t="s">
        <v>307</v>
      </c>
      <c r="D37" s="199" t="s">
        <v>303</v>
      </c>
      <c r="E37" s="200">
        <v>18</v>
      </c>
      <c r="F37" s="299">
        <v>30947</v>
      </c>
      <c r="G37" s="286"/>
      <c r="H37" s="201">
        <f t="shared" si="4"/>
        <v>0</v>
      </c>
      <c r="I37" s="110"/>
    </row>
    <row r="38" spans="1:9" ht="27.6" x14ac:dyDescent="0.3">
      <c r="A38" s="107"/>
      <c r="B38" s="225" t="s">
        <v>41</v>
      </c>
      <c r="C38" s="203" t="s">
        <v>308</v>
      </c>
      <c r="D38" s="204" t="s">
        <v>297</v>
      </c>
      <c r="E38" s="205">
        <v>22</v>
      </c>
      <c r="F38" s="298">
        <v>75819</v>
      </c>
      <c r="G38" s="287"/>
      <c r="H38" s="206">
        <f t="shared" si="4"/>
        <v>0</v>
      </c>
      <c r="I38" s="110"/>
    </row>
    <row r="39" spans="1:9" ht="27.6" x14ac:dyDescent="0.3">
      <c r="A39" s="107"/>
      <c r="B39" s="226" t="s">
        <v>42</v>
      </c>
      <c r="C39" s="210" t="s">
        <v>309</v>
      </c>
      <c r="D39" s="199" t="s">
        <v>297</v>
      </c>
      <c r="E39" s="200">
        <v>1</v>
      </c>
      <c r="F39" s="299">
        <v>51608</v>
      </c>
      <c r="G39" s="286"/>
      <c r="H39" s="201">
        <f t="shared" si="4"/>
        <v>0</v>
      </c>
      <c r="I39" s="110"/>
    </row>
    <row r="40" spans="1:9" ht="27.6" x14ac:dyDescent="0.3">
      <c r="A40" s="107"/>
      <c r="B40" s="225" t="s">
        <v>43</v>
      </c>
      <c r="C40" s="203" t="s">
        <v>310</v>
      </c>
      <c r="D40" s="204" t="s">
        <v>297</v>
      </c>
      <c r="E40" s="205">
        <v>15</v>
      </c>
      <c r="F40" s="298">
        <v>40820</v>
      </c>
      <c r="G40" s="287"/>
      <c r="H40" s="206">
        <f t="shared" si="4"/>
        <v>0</v>
      </c>
      <c r="I40" s="110"/>
    </row>
    <row r="41" spans="1:9" ht="27.6" x14ac:dyDescent="0.3">
      <c r="A41" s="107"/>
      <c r="B41" s="226" t="s">
        <v>44</v>
      </c>
      <c r="C41" s="210" t="s">
        <v>311</v>
      </c>
      <c r="D41" s="199" t="s">
        <v>297</v>
      </c>
      <c r="E41" s="200">
        <v>15</v>
      </c>
      <c r="F41" s="299">
        <v>120617</v>
      </c>
      <c r="G41" s="286"/>
      <c r="H41" s="201">
        <f t="shared" si="4"/>
        <v>0</v>
      </c>
      <c r="I41" s="110"/>
    </row>
    <row r="42" spans="1:9" ht="27.6" x14ac:dyDescent="0.3">
      <c r="A42" s="107"/>
      <c r="B42" s="225" t="s">
        <v>45</v>
      </c>
      <c r="C42" s="203" t="s">
        <v>312</v>
      </c>
      <c r="D42" s="204" t="s">
        <v>297</v>
      </c>
      <c r="E42" s="205">
        <v>15</v>
      </c>
      <c r="F42" s="298">
        <v>75125</v>
      </c>
      <c r="G42" s="287"/>
      <c r="H42" s="206">
        <f t="shared" si="4"/>
        <v>0</v>
      </c>
      <c r="I42" s="110"/>
    </row>
    <row r="43" spans="1:9" ht="27.6" x14ac:dyDescent="0.3">
      <c r="A43" s="107"/>
      <c r="B43" s="226" t="s">
        <v>46</v>
      </c>
      <c r="C43" s="210" t="s">
        <v>313</v>
      </c>
      <c r="D43" s="199" t="s">
        <v>297</v>
      </c>
      <c r="E43" s="200">
        <v>2</v>
      </c>
      <c r="F43" s="299">
        <v>63148</v>
      </c>
      <c r="G43" s="286"/>
      <c r="H43" s="201">
        <f t="shared" si="4"/>
        <v>0</v>
      </c>
      <c r="I43" s="110"/>
    </row>
    <row r="44" spans="1:9" ht="41.4" x14ac:dyDescent="0.3">
      <c r="A44" s="107"/>
      <c r="B44" s="225" t="s">
        <v>47</v>
      </c>
      <c r="C44" s="203" t="s">
        <v>314</v>
      </c>
      <c r="D44" s="204" t="s">
        <v>297</v>
      </c>
      <c r="E44" s="205">
        <v>1</v>
      </c>
      <c r="F44" s="298">
        <v>4235166</v>
      </c>
      <c r="G44" s="287"/>
      <c r="H44" s="206">
        <f t="shared" si="4"/>
        <v>0</v>
      </c>
      <c r="I44" s="110"/>
    </row>
    <row r="45" spans="1:9" ht="41.4" x14ac:dyDescent="0.3">
      <c r="A45" s="107"/>
      <c r="B45" s="226" t="s">
        <v>48</v>
      </c>
      <c r="C45" s="210" t="s">
        <v>315</v>
      </c>
      <c r="D45" s="199" t="s">
        <v>297</v>
      </c>
      <c r="E45" s="200">
        <v>1</v>
      </c>
      <c r="F45" s="299">
        <v>3294315</v>
      </c>
      <c r="G45" s="286"/>
      <c r="H45" s="201">
        <f t="shared" si="4"/>
        <v>0</v>
      </c>
      <c r="I45" s="110"/>
    </row>
    <row r="46" spans="1:9" ht="41.4" x14ac:dyDescent="0.3">
      <c r="A46" s="107"/>
      <c r="B46" s="225" t="s">
        <v>49</v>
      </c>
      <c r="C46" s="203" t="s">
        <v>316</v>
      </c>
      <c r="D46" s="204" t="s">
        <v>303</v>
      </c>
      <c r="E46" s="205">
        <v>6</v>
      </c>
      <c r="F46" s="298">
        <v>53058</v>
      </c>
      <c r="G46" s="287"/>
      <c r="H46" s="206">
        <f t="shared" si="4"/>
        <v>0</v>
      </c>
      <c r="I46" s="110"/>
    </row>
    <row r="47" spans="1:9" ht="41.4" x14ac:dyDescent="0.3">
      <c r="A47" s="107"/>
      <c r="B47" s="226" t="s">
        <v>50</v>
      </c>
      <c r="C47" s="210" t="s">
        <v>317</v>
      </c>
      <c r="D47" s="199" t="s">
        <v>303</v>
      </c>
      <c r="E47" s="200">
        <v>6</v>
      </c>
      <c r="F47" s="299">
        <v>37368</v>
      </c>
      <c r="G47" s="286"/>
      <c r="H47" s="201">
        <f t="shared" si="4"/>
        <v>0</v>
      </c>
      <c r="I47" s="110"/>
    </row>
    <row r="48" spans="1:9" x14ac:dyDescent="0.3">
      <c r="A48" s="107"/>
      <c r="B48" s="227" t="s">
        <v>51</v>
      </c>
      <c r="C48" s="228" t="s">
        <v>318</v>
      </c>
      <c r="D48" s="204"/>
      <c r="E48" s="205"/>
      <c r="F48" s="298" t="s">
        <v>284</v>
      </c>
      <c r="G48" s="287"/>
      <c r="H48" s="206">
        <f t="shared" si="4"/>
        <v>0</v>
      </c>
      <c r="I48" s="110"/>
    </row>
    <row r="49" spans="1:11" ht="41.4" x14ac:dyDescent="0.3">
      <c r="A49" s="107"/>
      <c r="B49" s="226" t="s">
        <v>52</v>
      </c>
      <c r="C49" s="210" t="s">
        <v>319</v>
      </c>
      <c r="D49" s="199" t="s">
        <v>297</v>
      </c>
      <c r="E49" s="200">
        <v>1</v>
      </c>
      <c r="F49" s="299">
        <v>812919</v>
      </c>
      <c r="G49" s="286"/>
      <c r="H49" s="201">
        <f t="shared" si="4"/>
        <v>0</v>
      </c>
      <c r="I49" s="110"/>
    </row>
    <row r="50" spans="1:11" ht="27.6" x14ac:dyDescent="0.3">
      <c r="A50" s="107"/>
      <c r="B50" s="225" t="s">
        <v>53</v>
      </c>
      <c r="C50" s="203" t="s">
        <v>320</v>
      </c>
      <c r="D50" s="204" t="s">
        <v>303</v>
      </c>
      <c r="E50" s="205">
        <v>30</v>
      </c>
      <c r="F50" s="298">
        <v>48297</v>
      </c>
      <c r="G50" s="287"/>
      <c r="H50" s="206">
        <f t="shared" si="4"/>
        <v>0</v>
      </c>
      <c r="I50" s="110"/>
    </row>
    <row r="51" spans="1:11" ht="27.6" x14ac:dyDescent="0.3">
      <c r="A51" s="107"/>
      <c r="B51" s="226" t="s">
        <v>54</v>
      </c>
      <c r="C51" s="210" t="s">
        <v>321</v>
      </c>
      <c r="D51" s="199" t="s">
        <v>303</v>
      </c>
      <c r="E51" s="200">
        <v>15</v>
      </c>
      <c r="F51" s="299">
        <v>78567</v>
      </c>
      <c r="G51" s="286"/>
      <c r="H51" s="201">
        <f t="shared" si="4"/>
        <v>0</v>
      </c>
      <c r="I51" s="110"/>
    </row>
    <row r="52" spans="1:11" ht="27.6" x14ac:dyDescent="0.3">
      <c r="A52" s="107"/>
      <c r="B52" s="225" t="s">
        <v>55</v>
      </c>
      <c r="C52" s="203" t="s">
        <v>322</v>
      </c>
      <c r="D52" s="204" t="s">
        <v>303</v>
      </c>
      <c r="E52" s="205">
        <v>10</v>
      </c>
      <c r="F52" s="298">
        <v>45182</v>
      </c>
      <c r="G52" s="287"/>
      <c r="H52" s="206">
        <f t="shared" si="4"/>
        <v>0</v>
      </c>
      <c r="I52" s="110"/>
    </row>
    <row r="53" spans="1:11" ht="27.6" x14ac:dyDescent="0.3">
      <c r="A53" s="107"/>
      <c r="B53" s="226" t="s">
        <v>56</v>
      </c>
      <c r="C53" s="210" t="s">
        <v>323</v>
      </c>
      <c r="D53" s="199" t="s">
        <v>303</v>
      </c>
      <c r="E53" s="200">
        <v>15</v>
      </c>
      <c r="F53" s="299">
        <v>28020</v>
      </c>
      <c r="G53" s="286"/>
      <c r="H53" s="201">
        <f t="shared" si="4"/>
        <v>0</v>
      </c>
      <c r="I53" s="110"/>
    </row>
    <row r="54" spans="1:11" ht="27.6" x14ac:dyDescent="0.3">
      <c r="A54" s="107"/>
      <c r="B54" s="225" t="s">
        <v>57</v>
      </c>
      <c r="C54" s="203" t="s">
        <v>324</v>
      </c>
      <c r="D54" s="204" t="s">
        <v>303</v>
      </c>
      <c r="E54" s="205">
        <v>10</v>
      </c>
      <c r="F54" s="298">
        <v>16115</v>
      </c>
      <c r="G54" s="287"/>
      <c r="H54" s="206">
        <f t="shared" si="4"/>
        <v>0</v>
      </c>
      <c r="I54" s="110"/>
    </row>
    <row r="55" spans="1:11" ht="27.6" x14ac:dyDescent="0.3">
      <c r="A55" s="107"/>
      <c r="B55" s="226" t="s">
        <v>58</v>
      </c>
      <c r="C55" s="210" t="s">
        <v>325</v>
      </c>
      <c r="D55" s="199" t="s">
        <v>303</v>
      </c>
      <c r="E55" s="200">
        <v>15</v>
      </c>
      <c r="F55" s="299">
        <v>12893</v>
      </c>
      <c r="G55" s="286"/>
      <c r="H55" s="201">
        <f t="shared" si="4"/>
        <v>0</v>
      </c>
      <c r="I55" s="110"/>
    </row>
    <row r="56" spans="1:11" ht="27.6" x14ac:dyDescent="0.3">
      <c r="A56" s="107"/>
      <c r="B56" s="225" t="s">
        <v>59</v>
      </c>
      <c r="C56" s="203" t="s">
        <v>326</v>
      </c>
      <c r="D56" s="204" t="s">
        <v>303</v>
      </c>
      <c r="E56" s="205">
        <v>25</v>
      </c>
      <c r="F56" s="298">
        <v>11274</v>
      </c>
      <c r="G56" s="287"/>
      <c r="H56" s="206">
        <f t="shared" si="4"/>
        <v>0</v>
      </c>
      <c r="I56" s="110"/>
    </row>
    <row r="57" spans="1:11" ht="27.6" x14ac:dyDescent="0.3">
      <c r="A57" s="107"/>
      <c r="B57" s="226" t="s">
        <v>60</v>
      </c>
      <c r="C57" s="210" t="s">
        <v>327</v>
      </c>
      <c r="D57" s="199" t="s">
        <v>297</v>
      </c>
      <c r="E57" s="200">
        <v>21</v>
      </c>
      <c r="F57" s="299">
        <v>86324</v>
      </c>
      <c r="G57" s="286"/>
      <c r="H57" s="201">
        <f t="shared" si="4"/>
        <v>0</v>
      </c>
      <c r="I57" s="110"/>
    </row>
    <row r="58" spans="1:11" ht="27.6" x14ac:dyDescent="0.3">
      <c r="A58" s="107"/>
      <c r="B58" s="225" t="s">
        <v>61</v>
      </c>
      <c r="C58" s="203" t="s">
        <v>328</v>
      </c>
      <c r="D58" s="204" t="s">
        <v>297</v>
      </c>
      <c r="E58" s="205">
        <v>1</v>
      </c>
      <c r="F58" s="298">
        <v>51793</v>
      </c>
      <c r="G58" s="287"/>
      <c r="H58" s="206">
        <f t="shared" si="4"/>
        <v>0</v>
      </c>
      <c r="I58" s="110"/>
    </row>
    <row r="59" spans="1:11" ht="27.6" x14ac:dyDescent="0.3">
      <c r="A59" s="107"/>
      <c r="B59" s="226" t="s">
        <v>62</v>
      </c>
      <c r="C59" s="210" t="s">
        <v>329</v>
      </c>
      <c r="D59" s="199" t="s">
        <v>297</v>
      </c>
      <c r="E59" s="200">
        <v>1</v>
      </c>
      <c r="F59" s="299">
        <v>40664</v>
      </c>
      <c r="G59" s="286"/>
      <c r="H59" s="201">
        <f t="shared" si="4"/>
        <v>0</v>
      </c>
      <c r="I59" s="110"/>
    </row>
    <row r="60" spans="1:11" ht="27.6" x14ac:dyDescent="0.3">
      <c r="A60" s="107"/>
      <c r="B60" s="225" t="s">
        <v>63</v>
      </c>
      <c r="C60" s="203" t="s">
        <v>330</v>
      </c>
      <c r="D60" s="204" t="s">
        <v>297</v>
      </c>
      <c r="E60" s="205">
        <v>22</v>
      </c>
      <c r="F60" s="298">
        <v>36513</v>
      </c>
      <c r="G60" s="287"/>
      <c r="H60" s="206">
        <f t="shared" si="4"/>
        <v>0</v>
      </c>
      <c r="I60" s="110"/>
      <c r="K60" s="9"/>
    </row>
    <row r="61" spans="1:11" ht="27.6" x14ac:dyDescent="0.3">
      <c r="A61" s="107"/>
      <c r="B61" s="226" t="s">
        <v>64</v>
      </c>
      <c r="C61" s="210" t="s">
        <v>331</v>
      </c>
      <c r="D61" s="199" t="s">
        <v>297</v>
      </c>
      <c r="E61" s="200">
        <v>3</v>
      </c>
      <c r="F61" s="299">
        <v>1219593</v>
      </c>
      <c r="G61" s="286"/>
      <c r="H61" s="201">
        <f t="shared" si="4"/>
        <v>0</v>
      </c>
      <c r="I61" s="110"/>
    </row>
    <row r="62" spans="1:11" ht="27.6" x14ac:dyDescent="0.3">
      <c r="A62" s="107"/>
      <c r="B62" s="225" t="s">
        <v>65</v>
      </c>
      <c r="C62" s="203" t="s">
        <v>332</v>
      </c>
      <c r="D62" s="204" t="s">
        <v>297</v>
      </c>
      <c r="E62" s="205">
        <v>1</v>
      </c>
      <c r="F62" s="298">
        <v>876870</v>
      </c>
      <c r="G62" s="287"/>
      <c r="H62" s="206">
        <f t="shared" si="4"/>
        <v>0</v>
      </c>
      <c r="I62" s="110"/>
    </row>
    <row r="63" spans="1:11" ht="27.6" x14ac:dyDescent="0.3">
      <c r="A63" s="107"/>
      <c r="B63" s="226" t="s">
        <v>66</v>
      </c>
      <c r="C63" s="210" t="s">
        <v>333</v>
      </c>
      <c r="D63" s="199" t="s">
        <v>297</v>
      </c>
      <c r="E63" s="200">
        <v>1</v>
      </c>
      <c r="F63" s="299">
        <v>505150</v>
      </c>
      <c r="G63" s="286"/>
      <c r="H63" s="201">
        <f t="shared" si="4"/>
        <v>0</v>
      </c>
      <c r="I63" s="110"/>
    </row>
    <row r="64" spans="1:11" ht="27.6" x14ac:dyDescent="0.3">
      <c r="A64" s="107"/>
      <c r="B64" s="225" t="s">
        <v>67</v>
      </c>
      <c r="C64" s="203" t="s">
        <v>334</v>
      </c>
      <c r="D64" s="204" t="s">
        <v>297</v>
      </c>
      <c r="E64" s="205">
        <v>7</v>
      </c>
      <c r="F64" s="298">
        <v>317628</v>
      </c>
      <c r="G64" s="287"/>
      <c r="H64" s="206">
        <f t="shared" si="4"/>
        <v>0</v>
      </c>
      <c r="I64" s="110"/>
    </row>
    <row r="65" spans="1:11" ht="27.6" x14ac:dyDescent="0.3">
      <c r="A65" s="107"/>
      <c r="B65" s="226" t="s">
        <v>68</v>
      </c>
      <c r="C65" s="210" t="s">
        <v>335</v>
      </c>
      <c r="D65" s="199" t="s">
        <v>297</v>
      </c>
      <c r="E65" s="200">
        <v>1</v>
      </c>
      <c r="F65" s="299">
        <v>183743</v>
      </c>
      <c r="G65" s="286"/>
      <c r="H65" s="201">
        <f t="shared" si="4"/>
        <v>0</v>
      </c>
      <c r="I65" s="110"/>
    </row>
    <row r="66" spans="1:11" ht="27.6" x14ac:dyDescent="0.3">
      <c r="A66" s="107"/>
      <c r="B66" s="225" t="s">
        <v>69</v>
      </c>
      <c r="C66" s="203" t="s">
        <v>336</v>
      </c>
      <c r="D66" s="204" t="s">
        <v>297</v>
      </c>
      <c r="E66" s="205">
        <v>1</v>
      </c>
      <c r="F66" s="298">
        <v>132647</v>
      </c>
      <c r="G66" s="287"/>
      <c r="H66" s="206">
        <f t="shared" si="4"/>
        <v>0</v>
      </c>
      <c r="I66" s="110"/>
    </row>
    <row r="67" spans="1:11" ht="27.6" x14ac:dyDescent="0.3">
      <c r="A67" s="107"/>
      <c r="B67" s="226" t="s">
        <v>70</v>
      </c>
      <c r="C67" s="210" t="s">
        <v>337</v>
      </c>
      <c r="D67" s="199" t="s">
        <v>297</v>
      </c>
      <c r="E67" s="200">
        <v>1</v>
      </c>
      <c r="F67" s="299">
        <v>108903</v>
      </c>
      <c r="G67" s="286"/>
      <c r="H67" s="201">
        <f t="shared" si="4"/>
        <v>0</v>
      </c>
      <c r="I67" s="110"/>
    </row>
    <row r="68" spans="1:11" ht="27.6" x14ac:dyDescent="0.3">
      <c r="A68" s="107"/>
      <c r="B68" s="225" t="s">
        <v>71</v>
      </c>
      <c r="C68" s="203" t="s">
        <v>338</v>
      </c>
      <c r="D68" s="204" t="s">
        <v>297</v>
      </c>
      <c r="E68" s="205">
        <v>3</v>
      </c>
      <c r="F68" s="298">
        <v>1524083</v>
      </c>
      <c r="G68" s="287"/>
      <c r="H68" s="206">
        <f t="shared" si="4"/>
        <v>0</v>
      </c>
      <c r="I68" s="110"/>
    </row>
    <row r="69" spans="1:11" ht="27.6" x14ac:dyDescent="0.3">
      <c r="A69" s="107"/>
      <c r="B69" s="226" t="s">
        <v>72</v>
      </c>
      <c r="C69" s="210" t="s">
        <v>339</v>
      </c>
      <c r="D69" s="199" t="s">
        <v>297</v>
      </c>
      <c r="E69" s="200">
        <v>1</v>
      </c>
      <c r="F69" s="299">
        <v>968525</v>
      </c>
      <c r="G69" s="286"/>
      <c r="H69" s="201">
        <f t="shared" si="4"/>
        <v>0</v>
      </c>
      <c r="I69" s="110"/>
    </row>
    <row r="70" spans="1:11" ht="27.6" x14ac:dyDescent="0.3">
      <c r="A70" s="107"/>
      <c r="B70" s="225" t="s">
        <v>73</v>
      </c>
      <c r="C70" s="203" t="s">
        <v>340</v>
      </c>
      <c r="D70" s="204" t="s">
        <v>297</v>
      </c>
      <c r="E70" s="205">
        <v>1</v>
      </c>
      <c r="F70" s="298">
        <v>516275</v>
      </c>
      <c r="G70" s="287"/>
      <c r="H70" s="206">
        <f t="shared" si="4"/>
        <v>0</v>
      </c>
      <c r="I70" s="110"/>
    </row>
    <row r="71" spans="1:11" ht="27.6" x14ac:dyDescent="0.3">
      <c r="A71" s="107"/>
      <c r="B71" s="226" t="s">
        <v>74</v>
      </c>
      <c r="C71" s="210" t="s">
        <v>341</v>
      </c>
      <c r="D71" s="199" t="s">
        <v>297</v>
      </c>
      <c r="E71" s="200">
        <v>1</v>
      </c>
      <c r="F71" s="299">
        <v>371659</v>
      </c>
      <c r="G71" s="286"/>
      <c r="H71" s="201">
        <f>IFERROR(ROUND($E71*$G71,0),"")</f>
        <v>0</v>
      </c>
      <c r="I71" s="110"/>
    </row>
    <row r="72" spans="1:11" ht="27.6" x14ac:dyDescent="0.3">
      <c r="A72" s="107"/>
      <c r="B72" s="225" t="s">
        <v>75</v>
      </c>
      <c r="C72" s="203" t="s">
        <v>342</v>
      </c>
      <c r="D72" s="204" t="s">
        <v>297</v>
      </c>
      <c r="E72" s="205">
        <v>1</v>
      </c>
      <c r="F72" s="298">
        <v>173278</v>
      </c>
      <c r="G72" s="287"/>
      <c r="H72" s="206">
        <f t="shared" ref="H72:H88" si="5">IFERROR(ROUND($E72*$G72,0),"")</f>
        <v>0</v>
      </c>
      <c r="I72" s="110"/>
    </row>
    <row r="73" spans="1:11" ht="27.6" x14ac:dyDescent="0.3">
      <c r="A73" s="107"/>
      <c r="B73" s="226" t="s">
        <v>76</v>
      </c>
      <c r="C73" s="210" t="s">
        <v>343</v>
      </c>
      <c r="D73" s="199" t="s">
        <v>297</v>
      </c>
      <c r="E73" s="200">
        <v>1</v>
      </c>
      <c r="F73" s="299">
        <v>123234</v>
      </c>
      <c r="G73" s="286"/>
      <c r="H73" s="201">
        <f t="shared" si="5"/>
        <v>0</v>
      </c>
      <c r="I73" s="110"/>
      <c r="K73" s="10"/>
    </row>
    <row r="74" spans="1:11" ht="27.6" x14ac:dyDescent="0.3">
      <c r="A74" s="107"/>
      <c r="B74" s="225" t="s">
        <v>77</v>
      </c>
      <c r="C74" s="203" t="s">
        <v>344</v>
      </c>
      <c r="D74" s="204" t="s">
        <v>297</v>
      </c>
      <c r="E74" s="205">
        <v>1</v>
      </c>
      <c r="F74" s="298">
        <v>86693</v>
      </c>
      <c r="G74" s="287"/>
      <c r="H74" s="206">
        <f t="shared" si="5"/>
        <v>0</v>
      </c>
      <c r="I74" s="110"/>
      <c r="K74" s="10"/>
    </row>
    <row r="75" spans="1:11" x14ac:dyDescent="0.3">
      <c r="A75" s="107"/>
      <c r="B75" s="226" t="s">
        <v>78</v>
      </c>
      <c r="C75" s="210" t="s">
        <v>345</v>
      </c>
      <c r="D75" s="199" t="s">
        <v>297</v>
      </c>
      <c r="E75" s="200">
        <v>4</v>
      </c>
      <c r="F75" s="299">
        <v>52620</v>
      </c>
      <c r="G75" s="286"/>
      <c r="H75" s="201">
        <f t="shared" si="5"/>
        <v>0</v>
      </c>
      <c r="I75" s="110"/>
      <c r="K75" s="10"/>
    </row>
    <row r="76" spans="1:11" x14ac:dyDescent="0.3">
      <c r="A76" s="107"/>
      <c r="B76" s="229" t="s">
        <v>79</v>
      </c>
      <c r="C76" s="228" t="s">
        <v>346</v>
      </c>
      <c r="D76" s="204"/>
      <c r="E76" s="205"/>
      <c r="F76" s="298" t="s">
        <v>284</v>
      </c>
      <c r="G76" s="287"/>
      <c r="H76" s="206">
        <f t="shared" si="5"/>
        <v>0</v>
      </c>
      <c r="I76" s="110"/>
      <c r="K76" s="10"/>
    </row>
    <row r="77" spans="1:11" ht="27.6" x14ac:dyDescent="0.3">
      <c r="A77" s="107"/>
      <c r="B77" s="226" t="s">
        <v>80</v>
      </c>
      <c r="C77" s="210" t="s">
        <v>347</v>
      </c>
      <c r="D77" s="199" t="s">
        <v>303</v>
      </c>
      <c r="E77" s="200">
        <v>6</v>
      </c>
      <c r="F77" s="299">
        <v>32371</v>
      </c>
      <c r="G77" s="286"/>
      <c r="H77" s="201">
        <f t="shared" si="5"/>
        <v>0</v>
      </c>
      <c r="I77" s="110"/>
      <c r="K77" s="10"/>
    </row>
    <row r="78" spans="1:11" ht="27.6" x14ac:dyDescent="0.3">
      <c r="A78" s="107"/>
      <c r="B78" s="225" t="s">
        <v>81</v>
      </c>
      <c r="C78" s="203" t="s">
        <v>348</v>
      </c>
      <c r="D78" s="204" t="s">
        <v>303</v>
      </c>
      <c r="E78" s="205">
        <v>6</v>
      </c>
      <c r="F78" s="298">
        <v>28633</v>
      </c>
      <c r="G78" s="287"/>
      <c r="H78" s="206">
        <f t="shared" si="5"/>
        <v>0</v>
      </c>
      <c r="I78" s="110"/>
      <c r="K78" s="10"/>
    </row>
    <row r="79" spans="1:11" ht="27.6" x14ac:dyDescent="0.3">
      <c r="A79" s="107"/>
      <c r="B79" s="226" t="s">
        <v>82</v>
      </c>
      <c r="C79" s="210" t="s">
        <v>349</v>
      </c>
      <c r="D79" s="199" t="s">
        <v>297</v>
      </c>
      <c r="E79" s="200">
        <v>2</v>
      </c>
      <c r="F79" s="299">
        <v>182924</v>
      </c>
      <c r="G79" s="286"/>
      <c r="H79" s="201">
        <f t="shared" si="5"/>
        <v>0</v>
      </c>
      <c r="I79" s="110"/>
      <c r="K79" s="10"/>
    </row>
    <row r="80" spans="1:11" x14ac:dyDescent="0.3">
      <c r="A80" s="107"/>
      <c r="B80" s="230" t="s">
        <v>83</v>
      </c>
      <c r="C80" s="228" t="s">
        <v>350</v>
      </c>
      <c r="D80" s="204"/>
      <c r="E80" s="205"/>
      <c r="F80" s="298" t="s">
        <v>284</v>
      </c>
      <c r="G80" s="287"/>
      <c r="H80" s="206">
        <f t="shared" si="5"/>
        <v>0</v>
      </c>
      <c r="I80" s="110"/>
      <c r="K80" s="10"/>
    </row>
    <row r="81" spans="1:9" ht="55.2" x14ac:dyDescent="0.3">
      <c r="A81" s="107"/>
      <c r="B81" s="226" t="s">
        <v>84</v>
      </c>
      <c r="C81" s="210" t="s">
        <v>351</v>
      </c>
      <c r="D81" s="199" t="s">
        <v>297</v>
      </c>
      <c r="E81" s="200">
        <v>1</v>
      </c>
      <c r="F81" s="299">
        <v>228585</v>
      </c>
      <c r="G81" s="286"/>
      <c r="H81" s="201">
        <f t="shared" si="5"/>
        <v>0</v>
      </c>
      <c r="I81" s="110"/>
    </row>
    <row r="82" spans="1:9" ht="27.6" x14ac:dyDescent="0.3">
      <c r="A82" s="107"/>
      <c r="B82" s="225" t="s">
        <v>85</v>
      </c>
      <c r="C82" s="203" t="s">
        <v>352</v>
      </c>
      <c r="D82" s="204" t="s">
        <v>297</v>
      </c>
      <c r="E82" s="205">
        <v>1</v>
      </c>
      <c r="F82" s="298">
        <v>1731445</v>
      </c>
      <c r="G82" s="287"/>
      <c r="H82" s="206">
        <f t="shared" si="5"/>
        <v>0</v>
      </c>
      <c r="I82" s="110"/>
    </row>
    <row r="83" spans="1:9" ht="27.6" x14ac:dyDescent="0.3">
      <c r="A83" s="107"/>
      <c r="B83" s="226" t="s">
        <v>86</v>
      </c>
      <c r="C83" s="210" t="s">
        <v>353</v>
      </c>
      <c r="D83" s="199" t="s">
        <v>297</v>
      </c>
      <c r="E83" s="200">
        <v>2</v>
      </c>
      <c r="F83" s="299">
        <v>25482100</v>
      </c>
      <c r="G83" s="286"/>
      <c r="H83" s="201">
        <f>IFERROR(ROUND($E83*$G83,0),"")</f>
        <v>0</v>
      </c>
      <c r="I83" s="110"/>
    </row>
    <row r="84" spans="1:9" x14ac:dyDescent="0.3">
      <c r="A84" s="107"/>
      <c r="B84" s="231" t="s">
        <v>87</v>
      </c>
      <c r="C84" s="228" t="s">
        <v>354</v>
      </c>
      <c r="D84" s="204"/>
      <c r="E84" s="205"/>
      <c r="F84" s="298"/>
      <c r="G84" s="287"/>
      <c r="H84" s="206"/>
      <c r="I84" s="110"/>
    </row>
    <row r="85" spans="1:9" x14ac:dyDescent="0.3">
      <c r="A85" s="107"/>
      <c r="B85" s="232" t="s">
        <v>88</v>
      </c>
      <c r="C85" s="210" t="s">
        <v>355</v>
      </c>
      <c r="D85" s="199" t="s">
        <v>297</v>
      </c>
      <c r="E85" s="200">
        <v>1</v>
      </c>
      <c r="F85" s="299">
        <v>1221500</v>
      </c>
      <c r="G85" s="286"/>
      <c r="H85" s="201">
        <f t="shared" si="5"/>
        <v>0</v>
      </c>
      <c r="I85" s="110"/>
    </row>
    <row r="86" spans="1:9" x14ac:dyDescent="0.3">
      <c r="A86" s="107"/>
      <c r="B86" s="233" t="s">
        <v>89</v>
      </c>
      <c r="C86" s="203" t="s">
        <v>356</v>
      </c>
      <c r="D86" s="204" t="s">
        <v>297</v>
      </c>
      <c r="E86" s="205">
        <v>1</v>
      </c>
      <c r="F86" s="298">
        <v>733320</v>
      </c>
      <c r="G86" s="287"/>
      <c r="H86" s="206">
        <f t="shared" si="5"/>
        <v>0</v>
      </c>
      <c r="I86" s="110"/>
    </row>
    <row r="87" spans="1:9" x14ac:dyDescent="0.3">
      <c r="A87" s="107"/>
      <c r="B87" s="232" t="s">
        <v>90</v>
      </c>
      <c r="C87" s="210" t="s">
        <v>357</v>
      </c>
      <c r="D87" s="199" t="s">
        <v>297</v>
      </c>
      <c r="E87" s="200">
        <v>1</v>
      </c>
      <c r="F87" s="299">
        <v>2441951</v>
      </c>
      <c r="G87" s="286"/>
      <c r="H87" s="201">
        <f t="shared" si="5"/>
        <v>0</v>
      </c>
      <c r="I87" s="110"/>
    </row>
    <row r="88" spans="1:9" ht="14.4" thickBot="1" x14ac:dyDescent="0.35">
      <c r="A88" s="107"/>
      <c r="B88" s="233" t="s">
        <v>91</v>
      </c>
      <c r="C88" s="203" t="s">
        <v>358</v>
      </c>
      <c r="D88" s="204" t="s">
        <v>297</v>
      </c>
      <c r="E88" s="205">
        <v>1</v>
      </c>
      <c r="F88" s="298">
        <v>1831725</v>
      </c>
      <c r="G88" s="287"/>
      <c r="H88" s="206">
        <f t="shared" si="5"/>
        <v>0</v>
      </c>
      <c r="I88" s="110"/>
    </row>
    <row r="89" spans="1:9" ht="14.4" thickTop="1" x14ac:dyDescent="0.3">
      <c r="A89" s="107"/>
      <c r="B89" s="234" t="s">
        <v>21</v>
      </c>
      <c r="C89" s="235"/>
      <c r="D89" s="235"/>
      <c r="E89" s="235"/>
      <c r="F89" s="301"/>
      <c r="G89" s="290"/>
      <c r="H89" s="236">
        <f>SUBTOTAL(109,'FORMULARIO OFERTA ECONOMICA'!$H$29:$H$88)</f>
        <v>0</v>
      </c>
      <c r="I89" s="110"/>
    </row>
    <row r="90" spans="1:9" ht="27.6" x14ac:dyDescent="0.3">
      <c r="A90" s="107"/>
      <c r="B90" s="216" t="s">
        <v>92</v>
      </c>
      <c r="C90" s="193" t="s">
        <v>93</v>
      </c>
      <c r="D90" s="194" t="s">
        <v>10</v>
      </c>
      <c r="E90" s="195" t="s">
        <v>11</v>
      </c>
      <c r="F90" s="285" t="s">
        <v>473</v>
      </c>
      <c r="G90" s="289" t="s">
        <v>472</v>
      </c>
      <c r="H90" s="217" t="s">
        <v>13</v>
      </c>
      <c r="I90" s="110"/>
    </row>
    <row r="91" spans="1:9" x14ac:dyDescent="0.3">
      <c r="A91" s="107"/>
      <c r="B91" s="237" t="s">
        <v>94</v>
      </c>
      <c r="C91" s="238" t="s">
        <v>359</v>
      </c>
      <c r="D91" s="199"/>
      <c r="E91" s="200"/>
      <c r="F91" s="299"/>
      <c r="G91" s="286"/>
      <c r="H91" s="219"/>
      <c r="I91" s="110"/>
    </row>
    <row r="92" spans="1:9" ht="144.75" customHeight="1" x14ac:dyDescent="0.3">
      <c r="A92" s="107"/>
      <c r="B92" s="239" t="s">
        <v>95</v>
      </c>
      <c r="C92" s="240" t="s">
        <v>360</v>
      </c>
      <c r="D92" s="204" t="s">
        <v>297</v>
      </c>
      <c r="E92" s="205">
        <v>1</v>
      </c>
      <c r="F92" s="298">
        <v>4354580</v>
      </c>
      <c r="G92" s="287"/>
      <c r="H92" s="221">
        <f>IFERROR(ROUND($E92*$G92,0),"")</f>
        <v>0</v>
      </c>
      <c r="I92" s="110"/>
    </row>
    <row r="93" spans="1:9" ht="57.75" customHeight="1" x14ac:dyDescent="0.3">
      <c r="A93" s="107"/>
      <c r="B93" s="241" t="s">
        <v>96</v>
      </c>
      <c r="C93" s="242" t="s">
        <v>361</v>
      </c>
      <c r="D93" s="199" t="s">
        <v>297</v>
      </c>
      <c r="E93" s="200">
        <v>1</v>
      </c>
      <c r="F93" s="299">
        <v>2374000</v>
      </c>
      <c r="G93" s="286"/>
      <c r="H93" s="219">
        <f>IFERROR(ROUND($E93*$G93,0),"")</f>
        <v>0</v>
      </c>
      <c r="I93" s="110"/>
    </row>
    <row r="94" spans="1:9" x14ac:dyDescent="0.3">
      <c r="A94" s="107"/>
      <c r="B94" s="243" t="s">
        <v>97</v>
      </c>
      <c r="C94" s="244" t="s">
        <v>362</v>
      </c>
      <c r="D94" s="204"/>
      <c r="E94" s="205"/>
      <c r="F94" s="298"/>
      <c r="G94" s="287"/>
      <c r="H94" s="221"/>
      <c r="I94" s="110"/>
    </row>
    <row r="95" spans="1:9" ht="27.6" x14ac:dyDescent="0.3">
      <c r="A95" s="107"/>
      <c r="B95" s="245" t="s">
        <v>98</v>
      </c>
      <c r="C95" s="242" t="s">
        <v>363</v>
      </c>
      <c r="D95" s="199" t="s">
        <v>303</v>
      </c>
      <c r="E95" s="200">
        <v>45</v>
      </c>
      <c r="F95" s="299">
        <v>33728</v>
      </c>
      <c r="G95" s="286"/>
      <c r="H95" s="219">
        <f>IFERROR(ROUND($E95*$G95,0),"")</f>
        <v>0</v>
      </c>
      <c r="I95" s="110"/>
    </row>
    <row r="96" spans="1:9" x14ac:dyDescent="0.3">
      <c r="A96" s="107"/>
      <c r="B96" s="246" t="s">
        <v>99</v>
      </c>
      <c r="C96" s="247" t="s">
        <v>364</v>
      </c>
      <c r="D96" s="204"/>
      <c r="E96" s="205"/>
      <c r="F96" s="298"/>
      <c r="G96" s="287"/>
      <c r="H96" s="221"/>
      <c r="I96" s="110"/>
    </row>
    <row r="97" spans="1:9" ht="41.4" x14ac:dyDescent="0.3">
      <c r="A97" s="107"/>
      <c r="B97" s="241" t="s">
        <v>100</v>
      </c>
      <c r="C97" s="242" t="s">
        <v>365</v>
      </c>
      <c r="D97" s="199" t="s">
        <v>297</v>
      </c>
      <c r="E97" s="200">
        <v>1</v>
      </c>
      <c r="F97" s="299">
        <v>1535277</v>
      </c>
      <c r="G97" s="286"/>
      <c r="H97" s="219">
        <f>IFERROR(ROUND($E97*$G97,0),"")</f>
        <v>0</v>
      </c>
      <c r="I97" s="110"/>
    </row>
    <row r="98" spans="1:9" x14ac:dyDescent="0.3">
      <c r="A98" s="107"/>
      <c r="B98" s="246" t="s">
        <v>101</v>
      </c>
      <c r="C98" s="247" t="s">
        <v>366</v>
      </c>
      <c r="D98" s="204"/>
      <c r="E98" s="205"/>
      <c r="F98" s="298" t="s">
        <v>284</v>
      </c>
      <c r="G98" s="287"/>
      <c r="H98" s="221">
        <f>IFERROR(ROUND($E98*$G98,0),"")</f>
        <v>0</v>
      </c>
      <c r="I98" s="110"/>
    </row>
    <row r="99" spans="1:9" ht="41.4" x14ac:dyDescent="0.3">
      <c r="A99" s="107"/>
      <c r="B99" s="241" t="s">
        <v>102</v>
      </c>
      <c r="C99" s="242" t="s">
        <v>367</v>
      </c>
      <c r="D99" s="199" t="s">
        <v>303</v>
      </c>
      <c r="E99" s="200">
        <v>45</v>
      </c>
      <c r="F99" s="299">
        <v>75463</v>
      </c>
      <c r="G99" s="286"/>
      <c r="H99" s="219">
        <f>IFERROR(ROUND($E99*$G99,0),"")</f>
        <v>0</v>
      </c>
      <c r="I99" s="110"/>
    </row>
    <row r="100" spans="1:9" ht="46.5" customHeight="1" x14ac:dyDescent="0.3">
      <c r="A100" s="107"/>
      <c r="B100" s="225" t="s">
        <v>103</v>
      </c>
      <c r="C100" s="240" t="s">
        <v>368</v>
      </c>
      <c r="D100" s="204" t="s">
        <v>303</v>
      </c>
      <c r="E100" s="205">
        <v>20</v>
      </c>
      <c r="F100" s="298">
        <v>478299</v>
      </c>
      <c r="G100" s="287"/>
      <c r="H100" s="221">
        <f>IFERROR(ROUND($E100*$G100,0),"")</f>
        <v>0</v>
      </c>
      <c r="I100" s="110"/>
    </row>
    <row r="101" spans="1:9" x14ac:dyDescent="0.3">
      <c r="A101" s="107"/>
      <c r="B101" s="237" t="s">
        <v>104</v>
      </c>
      <c r="C101" s="238" t="s">
        <v>369</v>
      </c>
      <c r="D101" s="199"/>
      <c r="E101" s="200"/>
      <c r="F101" s="299"/>
      <c r="G101" s="286"/>
      <c r="H101" s="219"/>
      <c r="I101" s="110"/>
    </row>
    <row r="102" spans="1:9" ht="27.6" x14ac:dyDescent="0.3">
      <c r="A102" s="107"/>
      <c r="B102" s="248" t="s">
        <v>105</v>
      </c>
      <c r="C102" s="240" t="s">
        <v>370</v>
      </c>
      <c r="D102" s="204" t="s">
        <v>303</v>
      </c>
      <c r="E102" s="249">
        <v>500</v>
      </c>
      <c r="F102" s="302">
        <v>17021</v>
      </c>
      <c r="G102" s="287"/>
      <c r="H102" s="221">
        <f>IFERROR(ROUND($E102*$G102,0),"")</f>
        <v>0</v>
      </c>
      <c r="I102" s="110"/>
    </row>
    <row r="103" spans="1:9" x14ac:dyDescent="0.3">
      <c r="A103" s="107"/>
      <c r="B103" s="237" t="s">
        <v>106</v>
      </c>
      <c r="C103" s="238" t="s">
        <v>371</v>
      </c>
      <c r="D103" s="199"/>
      <c r="E103" s="200"/>
      <c r="F103" s="299"/>
      <c r="G103" s="286"/>
      <c r="H103" s="219"/>
      <c r="I103" s="110"/>
    </row>
    <row r="104" spans="1:9" ht="27.6" x14ac:dyDescent="0.3">
      <c r="A104" s="107"/>
      <c r="B104" s="248" t="s">
        <v>107</v>
      </c>
      <c r="C104" s="240" t="s">
        <v>372</v>
      </c>
      <c r="D104" s="204" t="s">
        <v>303</v>
      </c>
      <c r="E104" s="205">
        <v>150</v>
      </c>
      <c r="F104" s="298">
        <v>64166</v>
      </c>
      <c r="G104" s="287"/>
      <c r="H104" s="221">
        <f>IFERROR(ROUND($E104*$G104,0),"")</f>
        <v>0</v>
      </c>
      <c r="I104" s="110"/>
    </row>
    <row r="105" spans="1:9" ht="27.6" x14ac:dyDescent="0.3">
      <c r="A105" s="107"/>
      <c r="B105" s="226" t="s">
        <v>108</v>
      </c>
      <c r="C105" s="242" t="s">
        <v>373</v>
      </c>
      <c r="D105" s="199" t="s">
        <v>303</v>
      </c>
      <c r="E105" s="200">
        <v>20</v>
      </c>
      <c r="F105" s="299">
        <v>127415</v>
      </c>
      <c r="G105" s="286"/>
      <c r="H105" s="219">
        <f>IFERROR(ROUND($E105*$G105,0),"")</f>
        <v>0</v>
      </c>
      <c r="I105" s="110"/>
    </row>
    <row r="106" spans="1:9" x14ac:dyDescent="0.3">
      <c r="A106" s="107"/>
      <c r="B106" s="243" t="s">
        <v>109</v>
      </c>
      <c r="C106" s="244" t="s">
        <v>374</v>
      </c>
      <c r="D106" s="204"/>
      <c r="E106" s="205"/>
      <c r="F106" s="298"/>
      <c r="G106" s="287"/>
      <c r="H106" s="221"/>
      <c r="I106" s="110"/>
    </row>
    <row r="107" spans="1:9" ht="57.75" customHeight="1" x14ac:dyDescent="0.3">
      <c r="A107" s="107"/>
      <c r="B107" s="250" t="s">
        <v>110</v>
      </c>
      <c r="C107" s="242" t="s">
        <v>375</v>
      </c>
      <c r="D107" s="199" t="s">
        <v>297</v>
      </c>
      <c r="E107" s="200">
        <v>20</v>
      </c>
      <c r="F107" s="299">
        <v>728637</v>
      </c>
      <c r="G107" s="286"/>
      <c r="H107" s="219">
        <f>IFERROR(ROUND($E107*$G107,0),"")</f>
        <v>0</v>
      </c>
      <c r="I107" s="110"/>
    </row>
    <row r="108" spans="1:9" ht="27.6" x14ac:dyDescent="0.3">
      <c r="A108" s="107"/>
      <c r="B108" s="233" t="s">
        <v>111</v>
      </c>
      <c r="C108" s="240" t="s">
        <v>376</v>
      </c>
      <c r="D108" s="204" t="s">
        <v>297</v>
      </c>
      <c r="E108" s="205">
        <v>20</v>
      </c>
      <c r="F108" s="298">
        <v>408918</v>
      </c>
      <c r="G108" s="287"/>
      <c r="H108" s="221">
        <f>IFERROR(ROUND($E108*$G108,0),"")</f>
        <v>0</v>
      </c>
      <c r="I108" s="110"/>
    </row>
    <row r="109" spans="1:9" x14ac:dyDescent="0.3">
      <c r="A109" s="107"/>
      <c r="B109" s="226" t="s">
        <v>112</v>
      </c>
      <c r="C109" s="242" t="s">
        <v>377</v>
      </c>
      <c r="D109" s="199" t="s">
        <v>297</v>
      </c>
      <c r="E109" s="200">
        <v>10</v>
      </c>
      <c r="F109" s="299">
        <v>139799</v>
      </c>
      <c r="G109" s="286"/>
      <c r="H109" s="219">
        <f t="shared" ref="H109:H111" si="6">IFERROR(ROUND($E109*$G109,0),"")</f>
        <v>0</v>
      </c>
      <c r="I109" s="110"/>
    </row>
    <row r="110" spans="1:9" ht="58.5" customHeight="1" x14ac:dyDescent="0.3">
      <c r="A110" s="107"/>
      <c r="B110" s="225" t="s">
        <v>113</v>
      </c>
      <c r="C110" s="240" t="s">
        <v>378</v>
      </c>
      <c r="D110" s="204" t="s">
        <v>297</v>
      </c>
      <c r="E110" s="205">
        <v>20</v>
      </c>
      <c r="F110" s="298">
        <v>107849</v>
      </c>
      <c r="G110" s="287"/>
      <c r="H110" s="221">
        <f t="shared" si="6"/>
        <v>0</v>
      </c>
      <c r="I110" s="110"/>
    </row>
    <row r="111" spans="1:9" ht="26.25" customHeight="1" x14ac:dyDescent="0.3">
      <c r="A111" s="107"/>
      <c r="B111" s="226" t="s">
        <v>114</v>
      </c>
      <c r="C111" s="242" t="s">
        <v>379</v>
      </c>
      <c r="D111" s="199" t="s">
        <v>297</v>
      </c>
      <c r="E111" s="200">
        <v>20</v>
      </c>
      <c r="F111" s="299">
        <v>346069</v>
      </c>
      <c r="G111" s="286"/>
      <c r="H111" s="219">
        <f t="shared" si="6"/>
        <v>0</v>
      </c>
      <c r="I111" s="110"/>
    </row>
    <row r="112" spans="1:9" ht="29.25" customHeight="1" x14ac:dyDescent="0.3">
      <c r="A112" s="107"/>
      <c r="B112" s="225" t="s">
        <v>115</v>
      </c>
      <c r="C112" s="240" t="s">
        <v>380</v>
      </c>
      <c r="D112" s="204" t="s">
        <v>297</v>
      </c>
      <c r="E112" s="205">
        <v>10</v>
      </c>
      <c r="F112" s="298">
        <v>679996</v>
      </c>
      <c r="G112" s="287"/>
      <c r="H112" s="221">
        <f>IFERROR(ROUND($E112*$G112,0),"")</f>
        <v>0</v>
      </c>
      <c r="I112" s="110"/>
    </row>
    <row r="113" spans="1:9" x14ac:dyDescent="0.3">
      <c r="A113" s="107"/>
      <c r="B113" s="226" t="s">
        <v>116</v>
      </c>
      <c r="C113" s="242" t="s">
        <v>381</v>
      </c>
      <c r="D113" s="199" t="s">
        <v>297</v>
      </c>
      <c r="E113" s="200">
        <v>20</v>
      </c>
      <c r="F113" s="299">
        <v>195780</v>
      </c>
      <c r="G113" s="286"/>
      <c r="H113" s="219">
        <f t="shared" ref="H113:H114" si="7">IFERROR(ROUND($E113*$G113,0),"")</f>
        <v>0</v>
      </c>
      <c r="I113" s="110"/>
    </row>
    <row r="114" spans="1:9" x14ac:dyDescent="0.3">
      <c r="A114" s="107"/>
      <c r="B114" s="225" t="s">
        <v>117</v>
      </c>
      <c r="C114" s="240" t="s">
        <v>382</v>
      </c>
      <c r="D114" s="204" t="s">
        <v>297</v>
      </c>
      <c r="E114" s="205">
        <v>1.5</v>
      </c>
      <c r="F114" s="298">
        <v>463555</v>
      </c>
      <c r="G114" s="287"/>
      <c r="H114" s="221">
        <f t="shared" si="7"/>
        <v>0</v>
      </c>
      <c r="I114" s="110"/>
    </row>
    <row r="115" spans="1:9" x14ac:dyDescent="0.3">
      <c r="A115" s="107"/>
      <c r="B115" s="251" t="s">
        <v>118</v>
      </c>
      <c r="C115" s="252" t="s">
        <v>383</v>
      </c>
      <c r="D115" s="199"/>
      <c r="E115" s="200"/>
      <c r="F115" s="299"/>
      <c r="G115" s="286"/>
      <c r="H115" s="219"/>
      <c r="I115" s="110"/>
    </row>
    <row r="116" spans="1:9" ht="55.2" x14ac:dyDescent="0.3">
      <c r="A116" s="107"/>
      <c r="B116" s="225" t="s">
        <v>119</v>
      </c>
      <c r="C116" s="240" t="s">
        <v>120</v>
      </c>
      <c r="D116" s="204" t="s">
        <v>297</v>
      </c>
      <c r="E116" s="205">
        <v>3</v>
      </c>
      <c r="F116" s="298">
        <v>1873762</v>
      </c>
      <c r="G116" s="287"/>
      <c r="H116" s="221">
        <f>IFERROR(ROUND($E116*$G116,0),"")</f>
        <v>0</v>
      </c>
      <c r="I116" s="110"/>
    </row>
    <row r="117" spans="1:9" x14ac:dyDescent="0.3">
      <c r="A117" s="107"/>
      <c r="B117" s="253" t="s">
        <v>121</v>
      </c>
      <c r="C117" s="252" t="s">
        <v>384</v>
      </c>
      <c r="D117" s="199"/>
      <c r="E117" s="200"/>
      <c r="F117" s="299"/>
      <c r="G117" s="286"/>
      <c r="H117" s="219"/>
      <c r="I117" s="110"/>
    </row>
    <row r="118" spans="1:9" x14ac:dyDescent="0.3">
      <c r="A118" s="107"/>
      <c r="B118" s="248" t="s">
        <v>122</v>
      </c>
      <c r="C118" s="240" t="s">
        <v>385</v>
      </c>
      <c r="D118" s="204" t="s">
        <v>297</v>
      </c>
      <c r="E118" s="205">
        <v>1</v>
      </c>
      <c r="F118" s="298">
        <v>4500000</v>
      </c>
      <c r="G118" s="291"/>
      <c r="H118" s="221">
        <f t="shared" ref="H118:H120" si="8">IFERROR(ROUND($E118*$G118,0),"")</f>
        <v>0</v>
      </c>
      <c r="I118" s="110"/>
    </row>
    <row r="119" spans="1:9" x14ac:dyDescent="0.3">
      <c r="A119" s="107"/>
      <c r="B119" s="226" t="s">
        <v>123</v>
      </c>
      <c r="C119" s="242" t="s">
        <v>386</v>
      </c>
      <c r="D119" s="199" t="s">
        <v>297</v>
      </c>
      <c r="E119" s="200">
        <v>1</v>
      </c>
      <c r="F119" s="299">
        <v>5748100</v>
      </c>
      <c r="G119" s="292"/>
      <c r="H119" s="219">
        <f t="shared" si="8"/>
        <v>0</v>
      </c>
      <c r="I119" s="110"/>
    </row>
    <row r="120" spans="1:9" ht="90" customHeight="1" x14ac:dyDescent="0.3">
      <c r="A120" s="107"/>
      <c r="B120" s="225" t="s">
        <v>124</v>
      </c>
      <c r="C120" s="240" t="s">
        <v>387</v>
      </c>
      <c r="D120" s="204" t="s">
        <v>297</v>
      </c>
      <c r="E120" s="205">
        <v>1</v>
      </c>
      <c r="F120" s="298">
        <v>3453250</v>
      </c>
      <c r="G120" s="291"/>
      <c r="H120" s="221">
        <f t="shared" si="8"/>
        <v>0</v>
      </c>
      <c r="I120" s="110"/>
    </row>
    <row r="121" spans="1:9" ht="27.6" x14ac:dyDescent="0.3">
      <c r="A121" s="107"/>
      <c r="B121" s="226" t="s">
        <v>125</v>
      </c>
      <c r="C121" s="242" t="s">
        <v>388</v>
      </c>
      <c r="D121" s="199" t="s">
        <v>297</v>
      </c>
      <c r="E121" s="200">
        <v>1</v>
      </c>
      <c r="F121" s="299">
        <v>2323650</v>
      </c>
      <c r="G121" s="286"/>
      <c r="H121" s="219">
        <f>IFERROR(ROUND($E121*$G121,0),"")</f>
        <v>0</v>
      </c>
      <c r="I121" s="110"/>
    </row>
    <row r="122" spans="1:9" x14ac:dyDescent="0.3">
      <c r="A122" s="107"/>
      <c r="B122" s="225" t="s">
        <v>126</v>
      </c>
      <c r="C122" s="240" t="s">
        <v>389</v>
      </c>
      <c r="D122" s="204" t="s">
        <v>297</v>
      </c>
      <c r="E122" s="205">
        <v>1</v>
      </c>
      <c r="F122" s="298">
        <v>870000</v>
      </c>
      <c r="G122" s="287"/>
      <c r="H122" s="221">
        <f>IFERROR(ROUND($E122*$G122,0),"")</f>
        <v>0</v>
      </c>
      <c r="I122" s="110"/>
    </row>
    <row r="123" spans="1:9" x14ac:dyDescent="0.3">
      <c r="A123" s="107"/>
      <c r="B123" s="237" t="s">
        <v>127</v>
      </c>
      <c r="C123" s="252" t="s">
        <v>390</v>
      </c>
      <c r="D123" s="199"/>
      <c r="E123" s="199"/>
      <c r="F123" s="303"/>
      <c r="G123" s="293"/>
      <c r="H123" s="254"/>
      <c r="I123" s="110"/>
    </row>
    <row r="124" spans="1:9" ht="27.6" x14ac:dyDescent="0.3">
      <c r="A124" s="107"/>
      <c r="B124" s="248" t="s">
        <v>128</v>
      </c>
      <c r="C124" s="240" t="s">
        <v>391</v>
      </c>
      <c r="D124" s="204" t="s">
        <v>297</v>
      </c>
      <c r="E124" s="205">
        <v>1</v>
      </c>
      <c r="F124" s="298">
        <v>58168396</v>
      </c>
      <c r="G124" s="287"/>
      <c r="H124" s="221">
        <f>IFERROR(ROUND($E124*$G124,0),"")</f>
        <v>0</v>
      </c>
      <c r="I124" s="110"/>
    </row>
    <row r="125" spans="1:9" ht="27.6" x14ac:dyDescent="0.3">
      <c r="A125" s="107"/>
      <c r="B125" s="226" t="s">
        <v>129</v>
      </c>
      <c r="C125" s="242" t="s">
        <v>392</v>
      </c>
      <c r="D125" s="199" t="s">
        <v>393</v>
      </c>
      <c r="E125" s="200">
        <v>1</v>
      </c>
      <c r="F125" s="299">
        <v>7500000</v>
      </c>
      <c r="G125" s="286"/>
      <c r="H125" s="219">
        <f>IFERROR(ROUND($E125*$G125,0),"")</f>
        <v>0</v>
      </c>
      <c r="I125" s="110"/>
    </row>
    <row r="126" spans="1:9" ht="28.2" thickBot="1" x14ac:dyDescent="0.35">
      <c r="A126" s="107"/>
      <c r="B126" s="225" t="s">
        <v>130</v>
      </c>
      <c r="C126" s="240" t="s">
        <v>394</v>
      </c>
      <c r="D126" s="204" t="s">
        <v>393</v>
      </c>
      <c r="E126" s="205">
        <v>1</v>
      </c>
      <c r="F126" s="298">
        <v>3085800</v>
      </c>
      <c r="G126" s="287"/>
      <c r="H126" s="221">
        <f>IFERROR(ROUND($E126*$G126,0),"")</f>
        <v>0</v>
      </c>
      <c r="I126" s="110"/>
    </row>
    <row r="127" spans="1:9" ht="14.4" thickTop="1" x14ac:dyDescent="0.3">
      <c r="A127" s="107"/>
      <c r="B127" s="255" t="s">
        <v>21</v>
      </c>
      <c r="C127" s="256"/>
      <c r="D127" s="214"/>
      <c r="E127" s="214"/>
      <c r="F127" s="300"/>
      <c r="G127" s="288"/>
      <c r="H127" s="223">
        <f>SUBTOTAL(109,'FORMULARIO OFERTA ECONOMICA'!$H$91:$H$126)</f>
        <v>0</v>
      </c>
      <c r="I127" s="110"/>
    </row>
    <row r="128" spans="1:9" ht="27.6" x14ac:dyDescent="0.3">
      <c r="A128" s="107"/>
      <c r="B128" s="216" t="s">
        <v>131</v>
      </c>
      <c r="C128" s="193" t="s">
        <v>132</v>
      </c>
      <c r="D128" s="194" t="s">
        <v>10</v>
      </c>
      <c r="E128" s="195" t="s">
        <v>11</v>
      </c>
      <c r="F128" s="285" t="s">
        <v>473</v>
      </c>
      <c r="G128" s="289" t="s">
        <v>472</v>
      </c>
      <c r="H128" s="217" t="s">
        <v>13</v>
      </c>
      <c r="I128" s="110"/>
    </row>
    <row r="129" spans="1:9" ht="27.6" x14ac:dyDescent="0.3">
      <c r="A129" s="107"/>
      <c r="B129" s="251" t="s">
        <v>133</v>
      </c>
      <c r="C129" s="198" t="s">
        <v>395</v>
      </c>
      <c r="D129" s="199"/>
      <c r="E129" s="200"/>
      <c r="F129" s="299"/>
      <c r="G129" s="286"/>
      <c r="H129" s="219"/>
      <c r="I129" s="110"/>
    </row>
    <row r="130" spans="1:9" ht="27.6" x14ac:dyDescent="0.3">
      <c r="A130" s="107"/>
      <c r="B130" s="257" t="s">
        <v>134</v>
      </c>
      <c r="C130" s="203" t="s">
        <v>396</v>
      </c>
      <c r="D130" s="204" t="s">
        <v>297</v>
      </c>
      <c r="E130" s="258">
        <v>10</v>
      </c>
      <c r="F130" s="304">
        <v>94888</v>
      </c>
      <c r="G130" s="287"/>
      <c r="H130" s="221">
        <f t="shared" ref="H130:H135" si="9">IFERROR(ROUND($E130*$G130,0),"")</f>
        <v>0</v>
      </c>
      <c r="I130" s="110"/>
    </row>
    <row r="131" spans="1:9" x14ac:dyDescent="0.3">
      <c r="A131" s="107"/>
      <c r="B131" s="241" t="s">
        <v>135</v>
      </c>
      <c r="C131" s="210" t="s">
        <v>397</v>
      </c>
      <c r="D131" s="199" t="s">
        <v>303</v>
      </c>
      <c r="E131" s="259">
        <v>675</v>
      </c>
      <c r="F131" s="303">
        <v>8451</v>
      </c>
      <c r="G131" s="286"/>
      <c r="H131" s="219">
        <f t="shared" si="9"/>
        <v>0</v>
      </c>
      <c r="I131" s="110"/>
    </row>
    <row r="132" spans="1:9" x14ac:dyDescent="0.3">
      <c r="A132" s="107"/>
      <c r="B132" s="257" t="s">
        <v>136</v>
      </c>
      <c r="C132" s="203" t="s">
        <v>398</v>
      </c>
      <c r="D132" s="204" t="s">
        <v>297</v>
      </c>
      <c r="E132" s="258">
        <v>1</v>
      </c>
      <c r="F132" s="304">
        <v>939215</v>
      </c>
      <c r="G132" s="287"/>
      <c r="H132" s="221">
        <f t="shared" si="9"/>
        <v>0</v>
      </c>
      <c r="I132" s="110"/>
    </row>
    <row r="133" spans="1:9" x14ac:dyDescent="0.3">
      <c r="A133" s="107"/>
      <c r="B133" s="241" t="s">
        <v>137</v>
      </c>
      <c r="C133" s="210" t="s">
        <v>399</v>
      </c>
      <c r="D133" s="199" t="s">
        <v>297</v>
      </c>
      <c r="E133" s="259">
        <v>1</v>
      </c>
      <c r="F133" s="303">
        <v>390253</v>
      </c>
      <c r="G133" s="286"/>
      <c r="H133" s="219">
        <f t="shared" si="9"/>
        <v>0</v>
      </c>
      <c r="I133" s="110"/>
    </row>
    <row r="134" spans="1:9" x14ac:dyDescent="0.3">
      <c r="A134" s="107"/>
      <c r="B134" s="257" t="s">
        <v>138</v>
      </c>
      <c r="C134" s="203" t="s">
        <v>400</v>
      </c>
      <c r="D134" s="204" t="s">
        <v>297</v>
      </c>
      <c r="E134" s="258">
        <v>15</v>
      </c>
      <c r="F134" s="304">
        <v>37861</v>
      </c>
      <c r="G134" s="287"/>
      <c r="H134" s="221">
        <f t="shared" si="9"/>
        <v>0</v>
      </c>
      <c r="I134" s="110"/>
    </row>
    <row r="135" spans="1:9" ht="69" x14ac:dyDescent="0.3">
      <c r="A135" s="107"/>
      <c r="B135" s="241" t="s">
        <v>139</v>
      </c>
      <c r="C135" s="210" t="s">
        <v>401</v>
      </c>
      <c r="D135" s="199" t="s">
        <v>297</v>
      </c>
      <c r="E135" s="259">
        <v>1</v>
      </c>
      <c r="F135" s="303">
        <v>933694</v>
      </c>
      <c r="G135" s="286"/>
      <c r="H135" s="219">
        <f t="shared" si="9"/>
        <v>0</v>
      </c>
      <c r="I135" s="110"/>
    </row>
    <row r="136" spans="1:9" ht="27.6" x14ac:dyDescent="0.3">
      <c r="A136" s="107"/>
      <c r="B136" s="257" t="s">
        <v>140</v>
      </c>
      <c r="C136" s="240" t="s">
        <v>402</v>
      </c>
      <c r="D136" s="204" t="s">
        <v>297</v>
      </c>
      <c r="E136" s="258">
        <v>1</v>
      </c>
      <c r="F136" s="304">
        <v>2980468</v>
      </c>
      <c r="G136" s="287"/>
      <c r="H136" s="221">
        <f>IFERROR(ROUND($E136*$G136,0),"")</f>
        <v>0</v>
      </c>
      <c r="I136" s="110"/>
    </row>
    <row r="137" spans="1:9" ht="41.4" x14ac:dyDescent="0.3">
      <c r="A137" s="107"/>
      <c r="B137" s="241" t="s">
        <v>141</v>
      </c>
      <c r="C137" s="242" t="s">
        <v>403</v>
      </c>
      <c r="D137" s="199" t="s">
        <v>297</v>
      </c>
      <c r="E137" s="259">
        <v>2</v>
      </c>
      <c r="F137" s="303">
        <v>299162</v>
      </c>
      <c r="G137" s="286"/>
      <c r="H137" s="219">
        <f>IFERROR(ROUND($E137*$G137,0),"")</f>
        <v>0</v>
      </c>
      <c r="I137" s="110"/>
    </row>
    <row r="138" spans="1:9" ht="55.2" x14ac:dyDescent="0.3">
      <c r="A138" s="107"/>
      <c r="B138" s="257" t="s">
        <v>142</v>
      </c>
      <c r="C138" s="240" t="s">
        <v>404</v>
      </c>
      <c r="D138" s="204" t="s">
        <v>303</v>
      </c>
      <c r="E138" s="258">
        <v>40</v>
      </c>
      <c r="F138" s="304">
        <v>25320</v>
      </c>
      <c r="G138" s="287"/>
      <c r="H138" s="221">
        <f>IFERROR(ROUND($E138*$G138,0),"")</f>
        <v>0</v>
      </c>
      <c r="I138" s="110"/>
    </row>
    <row r="139" spans="1:9" ht="55.8" thickBot="1" x14ac:dyDescent="0.35">
      <c r="A139" s="107"/>
      <c r="B139" s="241" t="s">
        <v>143</v>
      </c>
      <c r="C139" s="242" t="s">
        <v>405</v>
      </c>
      <c r="D139" s="199" t="s">
        <v>303</v>
      </c>
      <c r="E139" s="259">
        <f>E138</f>
        <v>40</v>
      </c>
      <c r="F139" s="303">
        <v>23370</v>
      </c>
      <c r="G139" s="286"/>
      <c r="H139" s="219">
        <f>IFERROR(ROUND($E139*$G139,0),"")</f>
        <v>0</v>
      </c>
      <c r="I139" s="110"/>
    </row>
    <row r="140" spans="1:9" ht="14.4" thickTop="1" x14ac:dyDescent="0.3">
      <c r="A140" s="107"/>
      <c r="B140" s="255" t="s">
        <v>21</v>
      </c>
      <c r="C140" s="256"/>
      <c r="D140" s="214"/>
      <c r="E140" s="214"/>
      <c r="F140" s="300"/>
      <c r="G140" s="288"/>
      <c r="H140" s="223">
        <f>SUBTOTAL(109,'FORMULARIO OFERTA ECONOMICA'!$H$129:$H$139)</f>
        <v>0</v>
      </c>
      <c r="I140" s="110"/>
    </row>
    <row r="141" spans="1:9" ht="27.6" x14ac:dyDescent="0.3">
      <c r="A141" s="107"/>
      <c r="B141" s="216" t="s">
        <v>144</v>
      </c>
      <c r="C141" s="193" t="s">
        <v>145</v>
      </c>
      <c r="D141" s="194" t="s">
        <v>10</v>
      </c>
      <c r="E141" s="195" t="s">
        <v>11</v>
      </c>
      <c r="F141" s="285" t="s">
        <v>473</v>
      </c>
      <c r="G141" s="289" t="s">
        <v>472</v>
      </c>
      <c r="H141" s="196" t="s">
        <v>13</v>
      </c>
      <c r="I141" s="110"/>
    </row>
    <row r="142" spans="1:9" ht="27.6" x14ac:dyDescent="0.3">
      <c r="A142" s="107"/>
      <c r="B142" s="226" t="s">
        <v>146</v>
      </c>
      <c r="C142" s="210" t="s">
        <v>406</v>
      </c>
      <c r="D142" s="199" t="s">
        <v>286</v>
      </c>
      <c r="E142" s="200">
        <f>ROUND(((4+3+4+3)*2.5+(4*3*2)),2)</f>
        <v>59</v>
      </c>
      <c r="F142" s="299">
        <v>248863</v>
      </c>
      <c r="G142" s="286"/>
      <c r="H142" s="201">
        <f>IFERROR(ROUND($E142*$G142,0),"")</f>
        <v>0</v>
      </c>
      <c r="I142" s="110"/>
    </row>
    <row r="143" spans="1:9" ht="14.4" thickBot="1" x14ac:dyDescent="0.35">
      <c r="A143" s="107"/>
      <c r="B143" s="225" t="s">
        <v>147</v>
      </c>
      <c r="C143" s="203" t="s">
        <v>407</v>
      </c>
      <c r="D143" s="204" t="s">
        <v>286</v>
      </c>
      <c r="E143" s="205">
        <f>ROUND((4.62*12),2)</f>
        <v>55.44</v>
      </c>
      <c r="F143" s="298">
        <v>226580</v>
      </c>
      <c r="G143" s="294"/>
      <c r="H143" s="206">
        <f>IFERROR(ROUND($E143*$G143,0),"")</f>
        <v>0</v>
      </c>
      <c r="I143" s="110"/>
    </row>
    <row r="144" spans="1:9" ht="14.4" thickTop="1" x14ac:dyDescent="0.3">
      <c r="A144" s="107"/>
      <c r="B144" s="260" t="s">
        <v>21</v>
      </c>
      <c r="C144" s="261"/>
      <c r="D144" s="262"/>
      <c r="E144" s="262"/>
      <c r="F144" s="305"/>
      <c r="G144" s="295"/>
      <c r="H144" s="263">
        <f>SUBTOTAL(109,'FORMULARIO OFERTA ECONOMICA'!$H$142:$H$143)</f>
        <v>0</v>
      </c>
      <c r="I144" s="110"/>
    </row>
    <row r="145" spans="1:9" ht="27.6" x14ac:dyDescent="0.3">
      <c r="A145" s="107"/>
      <c r="B145" s="216" t="s">
        <v>148</v>
      </c>
      <c r="C145" s="193" t="s">
        <v>149</v>
      </c>
      <c r="D145" s="194" t="s">
        <v>10</v>
      </c>
      <c r="E145" s="195" t="s">
        <v>11</v>
      </c>
      <c r="F145" s="285" t="s">
        <v>473</v>
      </c>
      <c r="G145" s="289" t="s">
        <v>472</v>
      </c>
      <c r="H145" s="196" t="s">
        <v>13</v>
      </c>
      <c r="I145" s="110"/>
    </row>
    <row r="146" spans="1:9" ht="28.2" thickBot="1" x14ac:dyDescent="0.35">
      <c r="A146" s="107"/>
      <c r="B146" s="226" t="s">
        <v>150</v>
      </c>
      <c r="C146" s="210" t="s">
        <v>408</v>
      </c>
      <c r="D146" s="199" t="s">
        <v>286</v>
      </c>
      <c r="E146" s="200">
        <f>ROUND((46.4*0.2),2)</f>
        <v>9.2799999999999994</v>
      </c>
      <c r="F146" s="299">
        <v>29290</v>
      </c>
      <c r="G146" s="286"/>
      <c r="H146" s="201">
        <f>IFERROR(ROUND($E146*$G146,0),"")</f>
        <v>0</v>
      </c>
      <c r="I146" s="110"/>
    </row>
    <row r="147" spans="1:9" ht="14.4" thickTop="1" x14ac:dyDescent="0.3">
      <c r="A147" s="107"/>
      <c r="B147" s="260" t="s">
        <v>21</v>
      </c>
      <c r="C147" s="261"/>
      <c r="D147" s="262"/>
      <c r="E147" s="262"/>
      <c r="F147" s="305"/>
      <c r="G147" s="295"/>
      <c r="H147" s="263">
        <f>SUBTOTAL(109,'FORMULARIO OFERTA ECONOMICA'!$H$146:$H$146)</f>
        <v>0</v>
      </c>
      <c r="I147" s="110"/>
    </row>
    <row r="148" spans="1:9" ht="27.6" x14ac:dyDescent="0.3">
      <c r="A148" s="107"/>
      <c r="B148" s="264" t="s">
        <v>151</v>
      </c>
      <c r="C148" s="265" t="s">
        <v>152</v>
      </c>
      <c r="D148" s="266" t="s">
        <v>10</v>
      </c>
      <c r="E148" s="267" t="s">
        <v>11</v>
      </c>
      <c r="F148" s="285" t="s">
        <v>473</v>
      </c>
      <c r="G148" s="289" t="s">
        <v>472</v>
      </c>
      <c r="H148" s="268" t="s">
        <v>13</v>
      </c>
      <c r="I148" s="110"/>
    </row>
    <row r="149" spans="1:9" x14ac:dyDescent="0.3">
      <c r="A149" s="107"/>
      <c r="B149" s="269" t="s">
        <v>153</v>
      </c>
      <c r="C149" s="252" t="s">
        <v>409</v>
      </c>
      <c r="D149" s="270"/>
      <c r="E149" s="200"/>
      <c r="F149" s="299"/>
      <c r="G149" s="296"/>
      <c r="H149" s="201"/>
      <c r="I149" s="110"/>
    </row>
    <row r="150" spans="1:9" ht="41.4" x14ac:dyDescent="0.3">
      <c r="A150" s="107"/>
      <c r="B150" s="271" t="s">
        <v>154</v>
      </c>
      <c r="C150" s="240" t="s">
        <v>410</v>
      </c>
      <c r="D150" s="204" t="s">
        <v>286</v>
      </c>
      <c r="E150" s="205">
        <f>ROUND(((10.39*2)+((17.19*2.4)*2)),2)</f>
        <v>103.29</v>
      </c>
      <c r="F150" s="298">
        <v>90841</v>
      </c>
      <c r="G150" s="294"/>
      <c r="H150" s="206">
        <f>IFERROR(ROUND($E150*$G150,0),"")</f>
        <v>0</v>
      </c>
      <c r="I150" s="110"/>
    </row>
    <row r="151" spans="1:9" ht="41.4" x14ac:dyDescent="0.3">
      <c r="A151" s="107"/>
      <c r="B151" s="226" t="s">
        <v>155</v>
      </c>
      <c r="C151" s="242" t="s">
        <v>411</v>
      </c>
      <c r="D151" s="199" t="s">
        <v>286</v>
      </c>
      <c r="E151" s="200">
        <v>40.97</v>
      </c>
      <c r="F151" s="299">
        <v>132233</v>
      </c>
      <c r="G151" s="296"/>
      <c r="H151" s="201">
        <f t="shared" ref="H151:H161" si="10">IFERROR(ROUND($E151*$G151,0),"")</f>
        <v>0</v>
      </c>
      <c r="I151" s="110"/>
    </row>
    <row r="152" spans="1:9" ht="27.6" x14ac:dyDescent="0.3">
      <c r="A152" s="107"/>
      <c r="B152" s="225" t="s">
        <v>156</v>
      </c>
      <c r="C152" s="240" t="s">
        <v>412</v>
      </c>
      <c r="D152" s="204" t="s">
        <v>286</v>
      </c>
      <c r="E152" s="205">
        <f>((16.5+14.04+7.24+48.62+3.12+3.12+3.59)+(14.07+6.25+2.45))</f>
        <v>119.00000000000001</v>
      </c>
      <c r="F152" s="298">
        <v>25523</v>
      </c>
      <c r="G152" s="294"/>
      <c r="H152" s="206">
        <f>IFERROR(ROUND($E152*$G152,0),"")</f>
        <v>0</v>
      </c>
      <c r="I152" s="110"/>
    </row>
    <row r="153" spans="1:9" ht="41.4" x14ac:dyDescent="0.3">
      <c r="A153" s="107"/>
      <c r="B153" s="226" t="s">
        <v>157</v>
      </c>
      <c r="C153" s="242" t="s">
        <v>413</v>
      </c>
      <c r="D153" s="199" t="s">
        <v>286</v>
      </c>
      <c r="E153" s="200">
        <f>49.9+36.78</f>
        <v>86.68</v>
      </c>
      <c r="F153" s="299">
        <v>227421</v>
      </c>
      <c r="G153" s="296"/>
      <c r="H153" s="201">
        <f>IFERROR(ROUND($E153*$G153,0),"")</f>
        <v>0</v>
      </c>
      <c r="I153" s="110"/>
    </row>
    <row r="154" spans="1:9" ht="41.4" x14ac:dyDescent="0.3">
      <c r="A154" s="107"/>
      <c r="B154" s="225" t="s">
        <v>158</v>
      </c>
      <c r="C154" s="240" t="s">
        <v>414</v>
      </c>
      <c r="D154" s="204" t="s">
        <v>286</v>
      </c>
      <c r="E154" s="205">
        <v>10</v>
      </c>
      <c r="F154" s="298">
        <v>264906</v>
      </c>
      <c r="G154" s="294"/>
      <c r="H154" s="206">
        <f>IFERROR(ROUND($E154*$G154,0),"")</f>
        <v>0</v>
      </c>
      <c r="I154" s="110"/>
    </row>
    <row r="155" spans="1:9" x14ac:dyDescent="0.3">
      <c r="A155" s="107"/>
      <c r="B155" s="272" t="s">
        <v>159</v>
      </c>
      <c r="C155" s="252" t="s">
        <v>415</v>
      </c>
      <c r="D155" s="199"/>
      <c r="E155" s="200"/>
      <c r="F155" s="299" t="s">
        <v>284</v>
      </c>
      <c r="G155" s="296"/>
      <c r="H155" s="201">
        <f t="shared" ref="H155:H160" si="11">IFERROR(ROUND($E155*$G155,0),"")</f>
        <v>0</v>
      </c>
      <c r="I155" s="110"/>
    </row>
    <row r="156" spans="1:9" ht="41.4" x14ac:dyDescent="0.3">
      <c r="A156" s="107"/>
      <c r="B156" s="225" t="s">
        <v>160</v>
      </c>
      <c r="C156" s="240" t="s">
        <v>416</v>
      </c>
      <c r="D156" s="204" t="s">
        <v>303</v>
      </c>
      <c r="E156" s="205">
        <f>ROUND((32.52-(4.35+5.56+3.8)),2)</f>
        <v>18.809999999999999</v>
      </c>
      <c r="F156" s="298">
        <v>31922</v>
      </c>
      <c r="G156" s="294"/>
      <c r="H156" s="206">
        <f t="shared" si="11"/>
        <v>0</v>
      </c>
      <c r="I156" s="110"/>
    </row>
    <row r="157" spans="1:9" x14ac:dyDescent="0.3">
      <c r="A157" s="107"/>
      <c r="B157" s="226" t="s">
        <v>161</v>
      </c>
      <c r="C157" s="242" t="s">
        <v>417</v>
      </c>
      <c r="D157" s="199" t="s">
        <v>303</v>
      </c>
      <c r="E157" s="200">
        <v>10</v>
      </c>
      <c r="F157" s="299">
        <v>52576</v>
      </c>
      <c r="G157" s="296"/>
      <c r="H157" s="201">
        <f>IFERROR(ROUND($E157*$G157,0),"")</f>
        <v>0</v>
      </c>
      <c r="I157" s="110"/>
    </row>
    <row r="158" spans="1:9" x14ac:dyDescent="0.3">
      <c r="A158" s="107"/>
      <c r="B158" s="229" t="s">
        <v>162</v>
      </c>
      <c r="C158" s="247" t="s">
        <v>418</v>
      </c>
      <c r="D158" s="204"/>
      <c r="E158" s="205"/>
      <c r="F158" s="298" t="s">
        <v>284</v>
      </c>
      <c r="G158" s="294"/>
      <c r="H158" s="206">
        <f t="shared" si="11"/>
        <v>0</v>
      </c>
      <c r="I158" s="110"/>
    </row>
    <row r="159" spans="1:9" ht="110.4" x14ac:dyDescent="0.3">
      <c r="A159" s="107"/>
      <c r="B159" s="226" t="s">
        <v>163</v>
      </c>
      <c r="C159" s="242" t="s">
        <v>419</v>
      </c>
      <c r="D159" s="199" t="s">
        <v>286</v>
      </c>
      <c r="E159" s="200">
        <v>48.04</v>
      </c>
      <c r="F159" s="299">
        <v>266728</v>
      </c>
      <c r="G159" s="296"/>
      <c r="H159" s="201">
        <f t="shared" si="11"/>
        <v>0</v>
      </c>
      <c r="I159" s="110"/>
    </row>
    <row r="160" spans="1:9" ht="55.2" x14ac:dyDescent="0.3">
      <c r="A160" s="107"/>
      <c r="B160" s="225" t="s">
        <v>164</v>
      </c>
      <c r="C160" s="240" t="s">
        <v>420</v>
      </c>
      <c r="D160" s="204" t="s">
        <v>303</v>
      </c>
      <c r="E160" s="205">
        <v>35.619999999999997</v>
      </c>
      <c r="F160" s="298">
        <v>65933</v>
      </c>
      <c r="G160" s="294"/>
      <c r="H160" s="206">
        <f t="shared" si="11"/>
        <v>0</v>
      </c>
      <c r="I160" s="110"/>
    </row>
    <row r="161" spans="1:9" x14ac:dyDescent="0.3">
      <c r="A161" s="107"/>
      <c r="B161" s="272" t="s">
        <v>165</v>
      </c>
      <c r="C161" s="252" t="s">
        <v>421</v>
      </c>
      <c r="D161" s="199"/>
      <c r="E161" s="200"/>
      <c r="F161" s="299" t="s">
        <v>284</v>
      </c>
      <c r="G161" s="296"/>
      <c r="H161" s="201">
        <f t="shared" si="10"/>
        <v>0</v>
      </c>
      <c r="I161" s="110"/>
    </row>
    <row r="162" spans="1:9" ht="69" x14ac:dyDescent="0.3">
      <c r="A162" s="107"/>
      <c r="B162" s="225" t="s">
        <v>166</v>
      </c>
      <c r="C162" s="240" t="s">
        <v>422</v>
      </c>
      <c r="D162" s="204" t="s">
        <v>303</v>
      </c>
      <c r="E162" s="205">
        <f>ROUND(((1.74+1.74)+(4.35+5.56)),2)</f>
        <v>13.39</v>
      </c>
      <c r="F162" s="298">
        <v>294017</v>
      </c>
      <c r="G162" s="294"/>
      <c r="H162" s="206">
        <f>IFERROR(ROUND($E162*$G162,0),"")</f>
        <v>0</v>
      </c>
      <c r="I162" s="110"/>
    </row>
    <row r="163" spans="1:9" ht="55.2" x14ac:dyDescent="0.3">
      <c r="A163" s="107"/>
      <c r="B163" s="226" t="s">
        <v>167</v>
      </c>
      <c r="C163" s="210" t="s">
        <v>423</v>
      </c>
      <c r="D163" s="199" t="s">
        <v>297</v>
      </c>
      <c r="E163" s="200">
        <v>3</v>
      </c>
      <c r="F163" s="299">
        <v>267727</v>
      </c>
      <c r="G163" s="286"/>
      <c r="H163" s="201">
        <f t="shared" ref="H163" si="12">IFERROR(ROUND($E163*$G163,0),"")</f>
        <v>0</v>
      </c>
      <c r="I163" s="110"/>
    </row>
    <row r="164" spans="1:9" ht="14.4" thickBot="1" x14ac:dyDescent="0.35">
      <c r="A164" s="107"/>
      <c r="B164" s="225" t="s">
        <v>168</v>
      </c>
      <c r="C164" s="203" t="s">
        <v>424</v>
      </c>
      <c r="D164" s="204" t="s">
        <v>303</v>
      </c>
      <c r="E164" s="205">
        <f>ROUND(((8.87+4.62)+(3.5*6)),2)</f>
        <v>34.49</v>
      </c>
      <c r="F164" s="298">
        <v>19320</v>
      </c>
      <c r="G164" s="294"/>
      <c r="H164" s="206">
        <f>IFERROR(ROUND($E164*$G164,0),"")</f>
        <v>0</v>
      </c>
      <c r="I164" s="110"/>
    </row>
    <row r="165" spans="1:9" ht="14.4" thickTop="1" x14ac:dyDescent="0.3">
      <c r="A165" s="107"/>
      <c r="B165" s="273" t="s">
        <v>21</v>
      </c>
      <c r="C165" s="274"/>
      <c r="D165" s="274"/>
      <c r="E165" s="262"/>
      <c r="F165" s="305"/>
      <c r="G165" s="295"/>
      <c r="H165" s="263">
        <f>SUBTOTAL(109,'FORMULARIO OFERTA ECONOMICA'!$H$149:$H$164)</f>
        <v>0</v>
      </c>
      <c r="I165" s="110"/>
    </row>
    <row r="166" spans="1:9" ht="27.6" x14ac:dyDescent="0.3">
      <c r="A166" s="107"/>
      <c r="B166" s="264" t="s">
        <v>169</v>
      </c>
      <c r="C166" s="265" t="s">
        <v>170</v>
      </c>
      <c r="D166" s="266" t="s">
        <v>10</v>
      </c>
      <c r="E166" s="267" t="s">
        <v>11</v>
      </c>
      <c r="F166" s="285" t="s">
        <v>473</v>
      </c>
      <c r="G166" s="289" t="s">
        <v>472</v>
      </c>
      <c r="H166" s="275" t="s">
        <v>13</v>
      </c>
      <c r="I166" s="110"/>
    </row>
    <row r="167" spans="1:9" ht="28.2" thickBot="1" x14ac:dyDescent="0.35">
      <c r="A167" s="107"/>
      <c r="B167" s="226" t="s">
        <v>171</v>
      </c>
      <c r="C167" s="210" t="s">
        <v>425</v>
      </c>
      <c r="D167" s="199" t="s">
        <v>303</v>
      </c>
      <c r="E167" s="200">
        <f>18.79+14.04</f>
        <v>32.83</v>
      </c>
      <c r="F167" s="299">
        <v>44135</v>
      </c>
      <c r="G167" s="286"/>
      <c r="H167" s="219">
        <f t="shared" ref="H167" si="13">IFERROR(ROUND($E167*$G167,0),"")</f>
        <v>0</v>
      </c>
      <c r="I167" s="110"/>
    </row>
    <row r="168" spans="1:9" ht="14.4" thickTop="1" x14ac:dyDescent="0.3">
      <c r="A168" s="107"/>
      <c r="B168" s="222" t="s">
        <v>21</v>
      </c>
      <c r="C168" s="256"/>
      <c r="D168" s="214"/>
      <c r="E168" s="214"/>
      <c r="F168" s="300"/>
      <c r="G168" s="288"/>
      <c r="H168" s="223">
        <f>SUBTOTAL(109,'FORMULARIO OFERTA ECONOMICA'!$H$167:$H$167)</f>
        <v>0</v>
      </c>
      <c r="I168" s="110"/>
    </row>
    <row r="169" spans="1:9" ht="27.6" x14ac:dyDescent="0.3">
      <c r="A169" s="107"/>
      <c r="B169" s="264" t="s">
        <v>172</v>
      </c>
      <c r="C169" s="265" t="s">
        <v>173</v>
      </c>
      <c r="D169" s="266" t="s">
        <v>10</v>
      </c>
      <c r="E169" s="267" t="s">
        <v>11</v>
      </c>
      <c r="F169" s="285" t="s">
        <v>473</v>
      </c>
      <c r="G169" s="289" t="s">
        <v>472</v>
      </c>
      <c r="H169" s="275" t="s">
        <v>13</v>
      </c>
      <c r="I169" s="110"/>
    </row>
    <row r="170" spans="1:9" ht="55.8" thickBot="1" x14ac:dyDescent="0.35">
      <c r="A170" s="107"/>
      <c r="B170" s="226" t="s">
        <v>174</v>
      </c>
      <c r="C170" s="210" t="s">
        <v>426</v>
      </c>
      <c r="D170" s="199" t="s">
        <v>286</v>
      </c>
      <c r="E170" s="200">
        <v>23.2</v>
      </c>
      <c r="F170" s="299">
        <v>980225</v>
      </c>
      <c r="G170" s="286"/>
      <c r="H170" s="219">
        <f t="shared" ref="H170" si="14">IFERROR(ROUND($E170*$G170,0),"")</f>
        <v>0</v>
      </c>
      <c r="I170" s="110"/>
    </row>
    <row r="171" spans="1:9" ht="14.4" thickTop="1" x14ac:dyDescent="0.3">
      <c r="A171" s="107"/>
      <c r="B171" s="222" t="s">
        <v>21</v>
      </c>
      <c r="C171" s="256"/>
      <c r="D171" s="214"/>
      <c r="E171" s="214"/>
      <c r="F171" s="300"/>
      <c r="G171" s="288"/>
      <c r="H171" s="223">
        <f>SUBTOTAL(109,'FORMULARIO OFERTA ECONOMICA'!$H$170:$H$170)</f>
        <v>0</v>
      </c>
      <c r="I171" s="110"/>
    </row>
    <row r="172" spans="1:9" ht="27.6" x14ac:dyDescent="0.3">
      <c r="A172" s="107"/>
      <c r="B172" s="264" t="s">
        <v>175</v>
      </c>
      <c r="C172" s="265" t="s">
        <v>176</v>
      </c>
      <c r="D172" s="266" t="s">
        <v>10</v>
      </c>
      <c r="E172" s="267" t="s">
        <v>11</v>
      </c>
      <c r="F172" s="285" t="s">
        <v>473</v>
      </c>
      <c r="G172" s="289" t="s">
        <v>472</v>
      </c>
      <c r="H172" s="275" t="s">
        <v>13</v>
      </c>
      <c r="I172" s="110"/>
    </row>
    <row r="173" spans="1:9" ht="55.2" x14ac:dyDescent="0.3">
      <c r="A173" s="107"/>
      <c r="B173" s="226" t="s">
        <v>427</v>
      </c>
      <c r="C173" s="210" t="s">
        <v>428</v>
      </c>
      <c r="D173" s="199" t="s">
        <v>297</v>
      </c>
      <c r="E173" s="200">
        <v>2</v>
      </c>
      <c r="F173" s="299">
        <v>2073371</v>
      </c>
      <c r="G173" s="286"/>
      <c r="H173" s="219">
        <f t="shared" ref="H173" si="15">IFERROR(ROUND($E173*$G173,0),"")</f>
        <v>0</v>
      </c>
      <c r="I173" s="110"/>
    </row>
    <row r="174" spans="1:9" ht="41.4" x14ac:dyDescent="0.3">
      <c r="A174" s="107"/>
      <c r="B174" s="225" t="s">
        <v>177</v>
      </c>
      <c r="C174" s="240" t="s">
        <v>429</v>
      </c>
      <c r="D174" s="204" t="s">
        <v>297</v>
      </c>
      <c r="E174" s="205">
        <v>1</v>
      </c>
      <c r="F174" s="298">
        <v>211418</v>
      </c>
      <c r="G174" s="294"/>
      <c r="H174" s="221">
        <f>IFERROR(ROUND($E174*$G174,0),"")</f>
        <v>0</v>
      </c>
      <c r="I174" s="110"/>
    </row>
    <row r="175" spans="1:9" ht="28.2" thickBot="1" x14ac:dyDescent="0.35">
      <c r="A175" s="107"/>
      <c r="B175" s="226" t="s">
        <v>178</v>
      </c>
      <c r="C175" s="242" t="s">
        <v>430</v>
      </c>
      <c r="D175" s="199" t="s">
        <v>297</v>
      </c>
      <c r="E175" s="200">
        <v>1</v>
      </c>
      <c r="F175" s="299">
        <v>82994</v>
      </c>
      <c r="G175" s="296"/>
      <c r="H175" s="219">
        <f>IFERROR(ROUND($E175*$G175,0),"")</f>
        <v>0</v>
      </c>
      <c r="I175" s="110"/>
    </row>
    <row r="176" spans="1:9" ht="14.4" thickTop="1" x14ac:dyDescent="0.3">
      <c r="A176" s="107"/>
      <c r="B176" s="222" t="s">
        <v>21</v>
      </c>
      <c r="C176" s="256"/>
      <c r="D176" s="214"/>
      <c r="E176" s="214"/>
      <c r="F176" s="300"/>
      <c r="G176" s="288"/>
      <c r="H176" s="223">
        <f>SUBTOTAL(109,'FORMULARIO OFERTA ECONOMICA'!$H$173:$H$175)</f>
        <v>0</v>
      </c>
      <c r="I176" s="110"/>
    </row>
    <row r="177" spans="1:9" ht="27.6" x14ac:dyDescent="0.3">
      <c r="A177" s="107"/>
      <c r="B177" s="264" t="s">
        <v>179</v>
      </c>
      <c r="C177" s="265" t="s">
        <v>180</v>
      </c>
      <c r="D177" s="266" t="s">
        <v>10</v>
      </c>
      <c r="E177" s="267" t="s">
        <v>11</v>
      </c>
      <c r="F177" s="285" t="s">
        <v>473</v>
      </c>
      <c r="G177" s="289" t="s">
        <v>472</v>
      </c>
      <c r="H177" s="275" t="s">
        <v>13</v>
      </c>
      <c r="I177" s="110"/>
    </row>
    <row r="178" spans="1:9" x14ac:dyDescent="0.3">
      <c r="A178" s="107"/>
      <c r="B178" s="237" t="s">
        <v>181</v>
      </c>
      <c r="C178" s="276" t="s">
        <v>431</v>
      </c>
      <c r="D178" s="199"/>
      <c r="E178" s="200"/>
      <c r="F178" s="299"/>
      <c r="G178" s="286"/>
      <c r="H178" s="219"/>
      <c r="I178" s="110"/>
    </row>
    <row r="179" spans="1:9" ht="41.4" x14ac:dyDescent="0.3">
      <c r="A179" s="107"/>
      <c r="B179" s="248" t="s">
        <v>182</v>
      </c>
      <c r="C179" s="240" t="s">
        <v>432</v>
      </c>
      <c r="D179" s="204" t="s">
        <v>297</v>
      </c>
      <c r="E179" s="205">
        <f t="shared" ref="E179" si="16">1+2+1</f>
        <v>4</v>
      </c>
      <c r="F179" s="298">
        <v>847973</v>
      </c>
      <c r="G179" s="294"/>
      <c r="H179" s="221">
        <f>IFERROR(ROUND($E179*$G179,0),"")</f>
        <v>0</v>
      </c>
      <c r="I179" s="110"/>
    </row>
    <row r="180" spans="1:9" ht="41.4" x14ac:dyDescent="0.3">
      <c r="A180" s="107"/>
      <c r="B180" s="226" t="s">
        <v>183</v>
      </c>
      <c r="C180" s="242" t="s">
        <v>433</v>
      </c>
      <c r="D180" s="199" t="s">
        <v>297</v>
      </c>
      <c r="E180" s="200">
        <f>1+5+8</f>
        <v>14</v>
      </c>
      <c r="F180" s="299">
        <v>730938</v>
      </c>
      <c r="G180" s="296"/>
      <c r="H180" s="219">
        <f>IFERROR(ROUND($E180*$G180,0),"")</f>
        <v>0</v>
      </c>
      <c r="I180" s="110"/>
    </row>
    <row r="181" spans="1:9" ht="41.4" x14ac:dyDescent="0.3">
      <c r="A181" s="107"/>
      <c r="B181" s="225" t="s">
        <v>184</v>
      </c>
      <c r="C181" s="240" t="s">
        <v>434</v>
      </c>
      <c r="D181" s="204" t="s">
        <v>297</v>
      </c>
      <c r="E181" s="205">
        <f>2+2+2</f>
        <v>6</v>
      </c>
      <c r="F181" s="298">
        <v>427301</v>
      </c>
      <c r="G181" s="294"/>
      <c r="H181" s="221">
        <f t="shared" ref="H181:H183" si="17">IFERROR(ROUND($E181*$G181,0),"")</f>
        <v>0</v>
      </c>
      <c r="I181" s="110"/>
    </row>
    <row r="182" spans="1:9" ht="41.4" x14ac:dyDescent="0.3">
      <c r="A182" s="107"/>
      <c r="B182" s="226" t="s">
        <v>185</v>
      </c>
      <c r="C182" s="242" t="s">
        <v>435</v>
      </c>
      <c r="D182" s="199" t="s">
        <v>297</v>
      </c>
      <c r="E182" s="200">
        <v>9</v>
      </c>
      <c r="F182" s="299">
        <v>196881</v>
      </c>
      <c r="G182" s="296"/>
      <c r="H182" s="219">
        <f>IFERROR(ROUND($E182*$G182,0),"")</f>
        <v>0</v>
      </c>
      <c r="I182" s="110"/>
    </row>
    <row r="183" spans="1:9" ht="41.4" x14ac:dyDescent="0.3">
      <c r="A183" s="107"/>
      <c r="B183" s="225" t="s">
        <v>186</v>
      </c>
      <c r="C183" s="240" t="s">
        <v>436</v>
      </c>
      <c r="D183" s="204" t="s">
        <v>297</v>
      </c>
      <c r="E183" s="205">
        <f>4</f>
        <v>4</v>
      </c>
      <c r="F183" s="298">
        <v>248920</v>
      </c>
      <c r="G183" s="294"/>
      <c r="H183" s="221">
        <f t="shared" si="17"/>
        <v>0</v>
      </c>
      <c r="I183" s="110"/>
    </row>
    <row r="184" spans="1:9" ht="41.4" x14ac:dyDescent="0.3">
      <c r="A184" s="107"/>
      <c r="B184" s="226" t="s">
        <v>187</v>
      </c>
      <c r="C184" s="242" t="s">
        <v>437</v>
      </c>
      <c r="D184" s="199" t="s">
        <v>297</v>
      </c>
      <c r="E184" s="200">
        <v>12</v>
      </c>
      <c r="F184" s="299">
        <v>505379</v>
      </c>
      <c r="G184" s="296"/>
      <c r="H184" s="219">
        <f>IFERROR(ROUND($E184*$G184,0),"")</f>
        <v>0</v>
      </c>
      <c r="I184" s="110"/>
    </row>
    <row r="185" spans="1:9" x14ac:dyDescent="0.3">
      <c r="A185" s="107"/>
      <c r="B185" s="243" t="s">
        <v>188</v>
      </c>
      <c r="C185" s="244" t="s">
        <v>438</v>
      </c>
      <c r="D185" s="204"/>
      <c r="E185" s="205"/>
      <c r="F185" s="298" t="s">
        <v>284</v>
      </c>
      <c r="G185" s="294"/>
      <c r="H185" s="221">
        <f t="shared" ref="H185:H191" si="18">IFERROR(ROUND($E185*$G185,0),"")</f>
        <v>0</v>
      </c>
      <c r="I185" s="110"/>
    </row>
    <row r="186" spans="1:9" ht="41.4" x14ac:dyDescent="0.3">
      <c r="A186" s="107"/>
      <c r="B186" s="250" t="s">
        <v>189</v>
      </c>
      <c r="C186" s="242" t="s">
        <v>439</v>
      </c>
      <c r="D186" s="199" t="s">
        <v>297</v>
      </c>
      <c r="E186" s="200">
        <v>21</v>
      </c>
      <c r="F186" s="299">
        <v>313317</v>
      </c>
      <c r="G186" s="296"/>
      <c r="H186" s="219">
        <f t="shared" si="18"/>
        <v>0</v>
      </c>
      <c r="I186" s="110"/>
    </row>
    <row r="187" spans="1:9" ht="41.4" x14ac:dyDescent="0.3">
      <c r="A187" s="107"/>
      <c r="B187" s="225" t="s">
        <v>190</v>
      </c>
      <c r="C187" s="240" t="s">
        <v>440</v>
      </c>
      <c r="D187" s="204" t="s">
        <v>297</v>
      </c>
      <c r="E187" s="205">
        <f>E181</f>
        <v>6</v>
      </c>
      <c r="F187" s="298">
        <v>1151838</v>
      </c>
      <c r="G187" s="294"/>
      <c r="H187" s="221">
        <f t="shared" si="18"/>
        <v>0</v>
      </c>
      <c r="I187" s="110"/>
    </row>
    <row r="188" spans="1:9" ht="41.4" x14ac:dyDescent="0.3">
      <c r="A188" s="107"/>
      <c r="B188" s="226" t="s">
        <v>191</v>
      </c>
      <c r="C188" s="242" t="s">
        <v>441</v>
      </c>
      <c r="D188" s="199" t="s">
        <v>297</v>
      </c>
      <c r="E188" s="200">
        <f>E183</f>
        <v>4</v>
      </c>
      <c r="F188" s="299">
        <v>167690</v>
      </c>
      <c r="G188" s="296"/>
      <c r="H188" s="219">
        <f t="shared" si="18"/>
        <v>0</v>
      </c>
      <c r="I188" s="110"/>
    </row>
    <row r="189" spans="1:9" x14ac:dyDescent="0.3">
      <c r="A189" s="107"/>
      <c r="B189" s="243" t="s">
        <v>192</v>
      </c>
      <c r="C189" s="244" t="s">
        <v>442</v>
      </c>
      <c r="D189" s="204"/>
      <c r="E189" s="205"/>
      <c r="F189" s="298" t="s">
        <v>284</v>
      </c>
      <c r="G189" s="294"/>
      <c r="H189" s="221">
        <f t="shared" si="18"/>
        <v>0</v>
      </c>
      <c r="I189" s="110"/>
    </row>
    <row r="190" spans="1:9" ht="27.6" x14ac:dyDescent="0.3">
      <c r="A190" s="107"/>
      <c r="B190" s="250" t="s">
        <v>193</v>
      </c>
      <c r="C190" s="242" t="s">
        <v>443</v>
      </c>
      <c r="D190" s="199" t="s">
        <v>297</v>
      </c>
      <c r="E190" s="200">
        <f>E179</f>
        <v>4</v>
      </c>
      <c r="F190" s="299">
        <v>432320</v>
      </c>
      <c r="G190" s="296"/>
      <c r="H190" s="219">
        <f t="shared" si="18"/>
        <v>0</v>
      </c>
      <c r="I190" s="110"/>
    </row>
    <row r="191" spans="1:9" ht="28.2" thickBot="1" x14ac:dyDescent="0.35">
      <c r="A191" s="107"/>
      <c r="B191" s="225" t="s">
        <v>194</v>
      </c>
      <c r="C191" s="240" t="s">
        <v>444</v>
      </c>
      <c r="D191" s="204" t="s">
        <v>297</v>
      </c>
      <c r="E191" s="205">
        <f>3+5+3</f>
        <v>11</v>
      </c>
      <c r="F191" s="298">
        <v>27016</v>
      </c>
      <c r="G191" s="294"/>
      <c r="H191" s="221">
        <f t="shared" si="18"/>
        <v>0</v>
      </c>
      <c r="I191" s="110"/>
    </row>
    <row r="192" spans="1:9" ht="14.4" thickTop="1" x14ac:dyDescent="0.3">
      <c r="A192" s="107"/>
      <c r="B192" s="222" t="s">
        <v>21</v>
      </c>
      <c r="C192" s="256"/>
      <c r="D192" s="214"/>
      <c r="E192" s="214"/>
      <c r="F192" s="300"/>
      <c r="G192" s="288"/>
      <c r="H192" s="223">
        <f>SUBTOTAL(109,'FORMULARIO OFERTA ECONOMICA'!$H$178:$H$191)</f>
        <v>0</v>
      </c>
      <c r="I192" s="110"/>
    </row>
    <row r="193" spans="1:9" ht="27.6" x14ac:dyDescent="0.3">
      <c r="A193" s="107"/>
      <c r="B193" s="264" t="s">
        <v>195</v>
      </c>
      <c r="C193" s="265" t="s">
        <v>196</v>
      </c>
      <c r="D193" s="266" t="s">
        <v>10</v>
      </c>
      <c r="E193" s="267" t="s">
        <v>11</v>
      </c>
      <c r="F193" s="285" t="s">
        <v>473</v>
      </c>
      <c r="G193" s="289" t="s">
        <v>472</v>
      </c>
      <c r="H193" s="275" t="s">
        <v>13</v>
      </c>
      <c r="I193" s="110"/>
    </row>
    <row r="194" spans="1:9" ht="41.4" x14ac:dyDescent="0.3">
      <c r="A194" s="107"/>
      <c r="B194" s="277" t="s">
        <v>197</v>
      </c>
      <c r="C194" s="210" t="s">
        <v>445</v>
      </c>
      <c r="D194" s="199" t="s">
        <v>286</v>
      </c>
      <c r="E194" s="200">
        <f>ROUND(((8.87*4.62)+((8.87+4.62)*3.5)),2)</f>
        <v>88.19</v>
      </c>
      <c r="F194" s="299">
        <v>17115</v>
      </c>
      <c r="G194" s="286"/>
      <c r="H194" s="219">
        <f t="shared" ref="H194" si="19">IFERROR(ROUND($E194*$G194,0),"")</f>
        <v>0</v>
      </c>
      <c r="I194" s="110"/>
    </row>
    <row r="195" spans="1:9" ht="41.4" x14ac:dyDescent="0.3">
      <c r="A195" s="107"/>
      <c r="B195" s="271" t="s">
        <v>198</v>
      </c>
      <c r="C195" s="203" t="s">
        <v>446</v>
      </c>
      <c r="D195" s="204" t="s">
        <v>286</v>
      </c>
      <c r="E195" s="205" cm="1">
        <f t="array" ref="E195">ROUND(('FORMULARIO OFERTA ECONOMICA'!$E$146:$E$146+(34*2.5)),2)</f>
        <v>94.28</v>
      </c>
      <c r="F195" s="298">
        <v>18148</v>
      </c>
      <c r="G195" s="294"/>
      <c r="H195" s="221">
        <f>IFERROR(ROUND($E195*$G195,0),"")</f>
        <v>0</v>
      </c>
      <c r="I195" s="110"/>
    </row>
    <row r="196" spans="1:9" ht="42" thickBot="1" x14ac:dyDescent="0.35">
      <c r="A196" s="107"/>
      <c r="B196" s="277" t="s">
        <v>199</v>
      </c>
      <c r="C196" s="210" t="s">
        <v>447</v>
      </c>
      <c r="D196" s="199" t="s">
        <v>286</v>
      </c>
      <c r="E196" s="200">
        <f>ROUND(E194,2)</f>
        <v>88.19</v>
      </c>
      <c r="F196" s="299">
        <v>20867</v>
      </c>
      <c r="G196" s="296"/>
      <c r="H196" s="219">
        <f>IFERROR(ROUND($E196*$G196,0),"")</f>
        <v>0</v>
      </c>
      <c r="I196" s="110"/>
    </row>
    <row r="197" spans="1:9" ht="14.4" thickTop="1" x14ac:dyDescent="0.3">
      <c r="A197" s="107"/>
      <c r="B197" s="222" t="s">
        <v>21</v>
      </c>
      <c r="C197" s="235"/>
      <c r="D197" s="214"/>
      <c r="E197" s="214"/>
      <c r="F197" s="300"/>
      <c r="G197" s="288"/>
      <c r="H197" s="223">
        <f>SUBTOTAL(109,'FORMULARIO OFERTA ECONOMICA'!$H$194:$H$196)</f>
        <v>0</v>
      </c>
      <c r="I197" s="110"/>
    </row>
    <row r="198" spans="1:9" ht="27.6" x14ac:dyDescent="0.3">
      <c r="A198" s="107"/>
      <c r="B198" s="264" t="s">
        <v>200</v>
      </c>
      <c r="C198" s="265" t="s">
        <v>201</v>
      </c>
      <c r="D198" s="266" t="s">
        <v>10</v>
      </c>
      <c r="E198" s="267" t="s">
        <v>11</v>
      </c>
      <c r="F198" s="285" t="s">
        <v>473</v>
      </c>
      <c r="G198" s="289" t="s">
        <v>472</v>
      </c>
      <c r="H198" s="275" t="s">
        <v>13</v>
      </c>
      <c r="I198" s="110"/>
    </row>
    <row r="199" spans="1:9" ht="83.4" thickBot="1" x14ac:dyDescent="0.35">
      <c r="A199" s="107"/>
      <c r="B199" s="277" t="s">
        <v>202</v>
      </c>
      <c r="C199" s="242" t="s">
        <v>448</v>
      </c>
      <c r="D199" s="199" t="s">
        <v>286</v>
      </c>
      <c r="E199" s="259">
        <v>23.97</v>
      </c>
      <c r="F199" s="303">
        <v>331945</v>
      </c>
      <c r="G199" s="286"/>
      <c r="H199" s="278">
        <f>IFERROR(ROUND($E199*$G199,0),"")</f>
        <v>0</v>
      </c>
      <c r="I199" s="110"/>
    </row>
    <row r="200" spans="1:9" ht="14.4" thickTop="1" x14ac:dyDescent="0.3">
      <c r="A200" s="107"/>
      <c r="B200" s="279" t="s">
        <v>21</v>
      </c>
      <c r="C200" s="235"/>
      <c r="D200" s="235"/>
      <c r="E200" s="235"/>
      <c r="F200" s="301"/>
      <c r="G200" s="290"/>
      <c r="H200" s="280">
        <f>SUBTOTAL(109,'FORMULARIO OFERTA ECONOMICA'!$H$199:$H$199)</f>
        <v>0</v>
      </c>
      <c r="I200" s="110"/>
    </row>
    <row r="201" spans="1:9" ht="27.6" x14ac:dyDescent="0.3">
      <c r="A201" s="107"/>
      <c r="B201" s="264" t="s">
        <v>203</v>
      </c>
      <c r="C201" s="265" t="s">
        <v>204</v>
      </c>
      <c r="D201" s="266" t="s">
        <v>10</v>
      </c>
      <c r="E201" s="267" t="s">
        <v>11</v>
      </c>
      <c r="F201" s="285" t="s">
        <v>473</v>
      </c>
      <c r="G201" s="289" t="s">
        <v>472</v>
      </c>
      <c r="H201" s="275" t="s">
        <v>13</v>
      </c>
      <c r="I201" s="110"/>
    </row>
    <row r="202" spans="1:9" ht="41.4" x14ac:dyDescent="0.3">
      <c r="A202" s="107"/>
      <c r="B202" s="277" t="s">
        <v>205</v>
      </c>
      <c r="C202" s="242" t="s">
        <v>449</v>
      </c>
      <c r="D202" s="199" t="s">
        <v>286</v>
      </c>
      <c r="E202" s="200">
        <f>ROUND((8*1.2),2)</f>
        <v>9.6</v>
      </c>
      <c r="F202" s="299">
        <v>129364</v>
      </c>
      <c r="G202" s="296"/>
      <c r="H202" s="219">
        <f>IFERROR(ROUND($E202*$G202,0),"")</f>
        <v>0</v>
      </c>
      <c r="I202" s="110"/>
    </row>
    <row r="203" spans="1:9" x14ac:dyDescent="0.3">
      <c r="A203" s="107"/>
      <c r="B203" s="225" t="s">
        <v>206</v>
      </c>
      <c r="C203" s="240" t="s">
        <v>450</v>
      </c>
      <c r="D203" s="204" t="s">
        <v>286</v>
      </c>
      <c r="E203" s="205">
        <v>80.38</v>
      </c>
      <c r="F203" s="298">
        <v>44451</v>
      </c>
      <c r="G203" s="294"/>
      <c r="H203" s="221">
        <f t="shared" ref="H203:H204" si="20">IFERROR(ROUND($E203*$G203,0),"")</f>
        <v>0</v>
      </c>
      <c r="I203" s="110"/>
    </row>
    <row r="204" spans="1:9" ht="41.4" x14ac:dyDescent="0.3">
      <c r="A204" s="107"/>
      <c r="B204" s="226" t="s">
        <v>207</v>
      </c>
      <c r="C204" s="242" t="s">
        <v>451</v>
      </c>
      <c r="D204" s="199" t="s">
        <v>303</v>
      </c>
      <c r="E204" s="200">
        <f>ROUND((35.07+8.82+16+6.67+43.76+79.24+60),2)</f>
        <v>249.56</v>
      </c>
      <c r="F204" s="299">
        <v>85125</v>
      </c>
      <c r="G204" s="296"/>
      <c r="H204" s="219">
        <f t="shared" si="20"/>
        <v>0</v>
      </c>
      <c r="I204" s="110"/>
    </row>
    <row r="205" spans="1:9" ht="41.4" x14ac:dyDescent="0.3">
      <c r="A205" s="107"/>
      <c r="B205" s="225" t="s">
        <v>208</v>
      </c>
      <c r="C205" s="240" t="s">
        <v>452</v>
      </c>
      <c r="D205" s="204" t="s">
        <v>297</v>
      </c>
      <c r="E205" s="205">
        <v>15</v>
      </c>
      <c r="F205" s="298">
        <v>378941</v>
      </c>
      <c r="G205" s="294"/>
      <c r="H205" s="221">
        <f>IFERROR(ROUND($E205*$G205,0),"")</f>
        <v>0</v>
      </c>
      <c r="I205" s="110"/>
    </row>
    <row r="206" spans="1:9" ht="27.6" x14ac:dyDescent="0.3">
      <c r="A206" s="107"/>
      <c r="B206" s="226" t="s">
        <v>209</v>
      </c>
      <c r="C206" s="242" t="s">
        <v>453</v>
      </c>
      <c r="D206" s="199" t="s">
        <v>286</v>
      </c>
      <c r="E206" s="200">
        <v>230</v>
      </c>
      <c r="F206" s="299">
        <v>33964</v>
      </c>
      <c r="G206" s="296"/>
      <c r="H206" s="219">
        <f>IFERROR(ROUND($E206*$G206,0),"")</f>
        <v>0</v>
      </c>
      <c r="I206" s="110"/>
    </row>
    <row r="207" spans="1:9" ht="41.4" x14ac:dyDescent="0.3">
      <c r="A207" s="107"/>
      <c r="B207" s="225" t="s">
        <v>210</v>
      </c>
      <c r="C207" s="240" t="s">
        <v>454</v>
      </c>
      <c r="D207" s="204" t="s">
        <v>286</v>
      </c>
      <c r="E207" s="205">
        <v>40</v>
      </c>
      <c r="F207" s="298">
        <v>416188</v>
      </c>
      <c r="G207" s="294"/>
      <c r="H207" s="221">
        <f>IFERROR(ROUND($E207*$G207,0),"")</f>
        <v>0</v>
      </c>
      <c r="I207" s="110"/>
    </row>
    <row r="208" spans="1:9" ht="28.2" thickBot="1" x14ac:dyDescent="0.35">
      <c r="A208" s="107"/>
      <c r="B208" s="226" t="s">
        <v>211</v>
      </c>
      <c r="C208" s="242" t="s">
        <v>455</v>
      </c>
      <c r="D208" s="199" t="s">
        <v>286</v>
      </c>
      <c r="E208" s="200">
        <v>240</v>
      </c>
      <c r="F208" s="299">
        <v>40054</v>
      </c>
      <c r="G208" s="296"/>
      <c r="H208" s="219">
        <f>IFERROR(ROUND($E208*$G208,0),"")</f>
        <v>0</v>
      </c>
      <c r="I208" s="110"/>
    </row>
    <row r="209" spans="1:9" ht="14.4" thickTop="1" x14ac:dyDescent="0.3">
      <c r="A209" s="107"/>
      <c r="B209" s="222" t="s">
        <v>21</v>
      </c>
      <c r="C209" s="256"/>
      <c r="D209" s="214"/>
      <c r="E209" s="214"/>
      <c r="F209" s="300"/>
      <c r="G209" s="288"/>
      <c r="H209" s="223">
        <f>SUBTOTAL(109,'FORMULARIO OFERTA ECONOMICA'!$H$202:$H$208)</f>
        <v>0</v>
      </c>
      <c r="I209" s="110"/>
    </row>
    <row r="210" spans="1:9" ht="27.6" x14ac:dyDescent="0.3">
      <c r="A210" s="160"/>
      <c r="B210" s="281" t="s">
        <v>212</v>
      </c>
      <c r="C210" s="282" t="s">
        <v>213</v>
      </c>
      <c r="D210" s="266" t="s">
        <v>10</v>
      </c>
      <c r="E210" s="267" t="s">
        <v>11</v>
      </c>
      <c r="F210" s="285" t="s">
        <v>473</v>
      </c>
      <c r="G210" s="289" t="s">
        <v>472</v>
      </c>
      <c r="H210" s="275" t="s">
        <v>13</v>
      </c>
      <c r="I210" s="110"/>
    </row>
    <row r="211" spans="1:9" ht="14.4" thickBot="1" x14ac:dyDescent="0.35">
      <c r="A211" s="160"/>
      <c r="B211" s="283" t="s">
        <v>214</v>
      </c>
      <c r="C211" s="210" t="s">
        <v>456</v>
      </c>
      <c r="D211" s="199" t="s">
        <v>286</v>
      </c>
      <c r="E211" s="200">
        <f>ROUND((4.41*4),2)</f>
        <v>17.64</v>
      </c>
      <c r="F211" s="299">
        <v>269995</v>
      </c>
      <c r="G211" s="286"/>
      <c r="H211" s="219">
        <f t="shared" ref="H211" si="21">IFERROR(ROUND($E211*$G211,0),"")</f>
        <v>0</v>
      </c>
      <c r="I211" s="110"/>
    </row>
    <row r="212" spans="1:9" ht="14.4" thickTop="1" x14ac:dyDescent="0.3">
      <c r="A212" s="160"/>
      <c r="B212" s="222" t="s">
        <v>21</v>
      </c>
      <c r="C212" s="256"/>
      <c r="D212" s="214"/>
      <c r="E212" s="214"/>
      <c r="F212" s="300"/>
      <c r="G212" s="290"/>
      <c r="H212" s="280">
        <f>SUBTOTAL(109,'FORMULARIO OFERTA ECONOMICA'!$H$211:$H$211)</f>
        <v>0</v>
      </c>
      <c r="I212" s="110"/>
    </row>
    <row r="213" spans="1:9" ht="27.6" x14ac:dyDescent="0.3">
      <c r="A213" s="160"/>
      <c r="B213" s="264" t="s">
        <v>215</v>
      </c>
      <c r="C213" s="265" t="s">
        <v>216</v>
      </c>
      <c r="D213" s="266" t="s">
        <v>10</v>
      </c>
      <c r="E213" s="267" t="s">
        <v>11</v>
      </c>
      <c r="F213" s="285" t="s">
        <v>473</v>
      </c>
      <c r="G213" s="289" t="s">
        <v>472</v>
      </c>
      <c r="H213" s="275" t="s">
        <v>13</v>
      </c>
      <c r="I213" s="110"/>
    </row>
    <row r="214" spans="1:9" ht="14.4" thickBot="1" x14ac:dyDescent="0.35">
      <c r="A214" s="160"/>
      <c r="B214" s="226" t="s">
        <v>217</v>
      </c>
      <c r="C214" s="210" t="s">
        <v>457</v>
      </c>
      <c r="D214" s="199" t="s">
        <v>286</v>
      </c>
      <c r="E214" s="284">
        <v>189.13220000000001</v>
      </c>
      <c r="F214" s="299">
        <v>4190</v>
      </c>
      <c r="G214" s="286"/>
      <c r="H214" s="219">
        <f t="shared" ref="H214" si="22">IFERROR(ROUND($E214*$G214,0),"")</f>
        <v>0</v>
      </c>
      <c r="I214" s="110"/>
    </row>
    <row r="215" spans="1:9" ht="14.4" thickTop="1" x14ac:dyDescent="0.3">
      <c r="A215" s="160"/>
      <c r="B215" s="222" t="s">
        <v>21</v>
      </c>
      <c r="C215" s="256"/>
      <c r="D215" s="214"/>
      <c r="E215" s="214"/>
      <c r="F215" s="300"/>
      <c r="G215" s="288"/>
      <c r="H215" s="223">
        <f>SUBTOTAL(109,'FORMULARIO OFERTA ECONOMICA'!$H$214:$H$214)</f>
        <v>0</v>
      </c>
      <c r="I215" s="110"/>
    </row>
    <row r="216" spans="1:9" x14ac:dyDescent="0.3">
      <c r="A216" s="160"/>
      <c r="C216" s="150"/>
      <c r="D216" s="135"/>
      <c r="E216" s="135"/>
      <c r="F216" s="135"/>
      <c r="G216" s="297"/>
      <c r="H216" s="142"/>
      <c r="I216" s="110"/>
    </row>
    <row r="217" spans="1:9" x14ac:dyDescent="0.3">
      <c r="A217" s="160"/>
      <c r="B217" s="307" t="s">
        <v>218</v>
      </c>
      <c r="C217" s="307"/>
      <c r="D217" s="307"/>
      <c r="E217" s="307"/>
      <c r="F217" s="307"/>
      <c r="G217" s="307"/>
      <c r="H217" s="18">
        <f>SUBTOTAL(9,H11:H216)</f>
        <v>0</v>
      </c>
      <c r="I217" s="164"/>
    </row>
    <row r="218" spans="1:9" ht="14.4" thickBot="1" x14ac:dyDescent="0.35">
      <c r="A218" s="160"/>
      <c r="B218" s="165"/>
      <c r="C218" s="165"/>
      <c r="D218" s="165"/>
      <c r="E218" s="165"/>
      <c r="F218" s="165"/>
      <c r="G218" s="165"/>
      <c r="H218" s="165"/>
      <c r="I218" s="110"/>
    </row>
    <row r="219" spans="1:9" x14ac:dyDescent="0.3">
      <c r="A219" s="160"/>
      <c r="B219" s="165"/>
      <c r="C219" s="322" t="s">
        <v>219</v>
      </c>
      <c r="D219" s="323" t="s">
        <v>220</v>
      </c>
      <c r="E219" s="324">
        <v>0.215</v>
      </c>
      <c r="F219" s="166"/>
      <c r="G219" s="19">
        <f>IF(ISNUMBER(H233),H233,0)</f>
        <v>0</v>
      </c>
      <c r="H219" s="20">
        <f>ROUND((H217*G219),0)</f>
        <v>0</v>
      </c>
      <c r="I219" s="110"/>
    </row>
    <row r="220" spans="1:9" x14ac:dyDescent="0.3">
      <c r="A220" s="160"/>
      <c r="B220" s="165"/>
      <c r="C220" s="325" t="s">
        <v>221</v>
      </c>
      <c r="D220" s="326" t="s">
        <v>220</v>
      </c>
      <c r="E220" s="327">
        <v>0.01</v>
      </c>
      <c r="F220" s="168"/>
      <c r="G220" s="21">
        <f>IF(ISNUMBER(H234),H234,0)</f>
        <v>0</v>
      </c>
      <c r="H220" s="22">
        <f>ROUND((+H217*G220),0)</f>
        <v>0</v>
      </c>
      <c r="I220" s="110"/>
    </row>
    <row r="221" spans="1:9" x14ac:dyDescent="0.3">
      <c r="A221" s="160"/>
      <c r="B221" s="165"/>
      <c r="C221" s="328" t="s">
        <v>222</v>
      </c>
      <c r="D221" s="326" t="s">
        <v>220</v>
      </c>
      <c r="E221" s="327">
        <v>0.05</v>
      </c>
      <c r="F221" s="168"/>
      <c r="G221" s="21">
        <f>IF(ISNUMBER(H235),H235,0)</f>
        <v>0</v>
      </c>
      <c r="H221" s="22">
        <f>ROUND((+H217*G221),0)</f>
        <v>0</v>
      </c>
      <c r="I221" s="110"/>
    </row>
    <row r="222" spans="1:9" x14ac:dyDescent="0.3">
      <c r="A222" s="160"/>
      <c r="B222" s="165"/>
      <c r="C222" s="328" t="s">
        <v>223</v>
      </c>
      <c r="D222" s="326" t="s">
        <v>220</v>
      </c>
      <c r="E222" s="327">
        <v>0.19</v>
      </c>
      <c r="F222" s="168"/>
      <c r="G222" s="21">
        <v>0.19</v>
      </c>
      <c r="H222" s="22">
        <f>ROUND((+H221*G222),0)</f>
        <v>0</v>
      </c>
      <c r="I222" s="110"/>
    </row>
    <row r="223" spans="1:9" ht="14.4" thickBot="1" x14ac:dyDescent="0.35">
      <c r="A223" s="160"/>
      <c r="B223" s="165"/>
      <c r="C223" s="329" t="s">
        <v>224</v>
      </c>
      <c r="D223" s="330"/>
      <c r="E223" s="331"/>
      <c r="F223" s="170"/>
      <c r="G223" s="171"/>
      <c r="H223" s="23">
        <f>SUM(H219:H222)</f>
        <v>0</v>
      </c>
      <c r="I223" s="110"/>
    </row>
    <row r="224" spans="1:9" ht="15.75" customHeight="1" thickBot="1" x14ac:dyDescent="0.35">
      <c r="A224" s="313"/>
      <c r="B224" s="313"/>
      <c r="C224" s="314" t="s">
        <v>225</v>
      </c>
      <c r="D224" s="315"/>
      <c r="E224" s="316"/>
      <c r="F224" s="173"/>
      <c r="G224" s="174"/>
      <c r="H224" s="175">
        <f>+H217+H223</f>
        <v>0</v>
      </c>
    </row>
    <row r="225" spans="1:11" ht="16.5" customHeight="1" thickBot="1" x14ac:dyDescent="0.35">
      <c r="A225" s="313"/>
      <c r="B225" s="313"/>
      <c r="C225" s="117"/>
      <c r="D225" s="115"/>
      <c r="E225" s="176"/>
      <c r="F225" s="176"/>
      <c r="G225" s="119"/>
      <c r="H225" s="109"/>
    </row>
    <row r="226" spans="1:11" ht="13.5" customHeight="1" x14ac:dyDescent="0.3">
      <c r="A226" s="313"/>
      <c r="B226" s="313"/>
      <c r="C226" s="317" t="s">
        <v>226</v>
      </c>
      <c r="D226" s="318"/>
      <c r="E226" s="318"/>
      <c r="F226" s="318"/>
      <c r="G226" s="319"/>
      <c r="H226" s="306"/>
    </row>
    <row r="227" spans="1:11" ht="15" customHeight="1" x14ac:dyDescent="0.3">
      <c r="A227" s="313"/>
      <c r="B227" s="313"/>
      <c r="C227" s="169" t="s">
        <v>227</v>
      </c>
      <c r="D227" s="167" t="s">
        <v>220</v>
      </c>
      <c r="E227" s="168"/>
      <c r="F227" s="168"/>
      <c r="G227" s="21">
        <v>0.19</v>
      </c>
      <c r="H227" s="22">
        <f>ROUND(((SUM(H226:H226))*G227),0)</f>
        <v>0</v>
      </c>
    </row>
    <row r="228" spans="1:11" ht="15" customHeight="1" thickBot="1" x14ac:dyDescent="0.35">
      <c r="A228" s="313"/>
      <c r="B228" s="313"/>
      <c r="C228" s="314" t="s">
        <v>228</v>
      </c>
      <c r="D228" s="315"/>
      <c r="E228" s="315"/>
      <c r="F228" s="172"/>
      <c r="G228" s="174"/>
      <c r="H228" s="25">
        <f>SUM(H226:H227)</f>
        <v>0</v>
      </c>
      <c r="I228" s="177"/>
    </row>
    <row r="229" spans="1:11" ht="15.75" customHeight="1" thickBot="1" x14ac:dyDescent="0.35">
      <c r="A229" s="313"/>
      <c r="B229" s="313"/>
      <c r="C229" s="178"/>
      <c r="D229" s="178"/>
      <c r="E229" s="179"/>
      <c r="F229" s="179"/>
      <c r="G229" s="180"/>
      <c r="H229" s="26"/>
      <c r="I229" s="177"/>
    </row>
    <row r="230" spans="1:11" ht="15.75" customHeight="1" thickBot="1" x14ac:dyDescent="0.35">
      <c r="A230" s="313"/>
      <c r="B230" s="313"/>
      <c r="C230" s="320" t="s">
        <v>229</v>
      </c>
      <c r="D230" s="321"/>
      <c r="E230" s="321"/>
      <c r="F230" s="181"/>
      <c r="G230" s="182"/>
      <c r="H230" s="175">
        <f>H224+H228</f>
        <v>0</v>
      </c>
      <c r="J230" s="7"/>
      <c r="K230" s="11"/>
    </row>
    <row r="231" spans="1:11" ht="15" customHeight="1" x14ac:dyDescent="0.3">
      <c r="A231" s="313"/>
      <c r="B231" s="313"/>
    </row>
    <row r="232" spans="1:11" ht="25.5" customHeight="1" x14ac:dyDescent="0.3">
      <c r="B232" s="359" t="s">
        <v>461</v>
      </c>
      <c r="C232" s="360"/>
      <c r="D232" s="353" t="s">
        <v>7</v>
      </c>
      <c r="E232" s="361"/>
      <c r="F232" s="361"/>
      <c r="G232" s="354"/>
      <c r="H232" s="184" t="s">
        <v>280</v>
      </c>
    </row>
    <row r="233" spans="1:11" ht="25.5" customHeight="1" x14ac:dyDescent="0.3">
      <c r="B233" s="359" t="s">
        <v>462</v>
      </c>
      <c r="C233" s="360"/>
      <c r="D233" s="355" t="s">
        <v>219</v>
      </c>
      <c r="E233" s="356"/>
      <c r="F233" s="185"/>
      <c r="G233" s="186" t="s">
        <v>463</v>
      </c>
      <c r="H233" s="191" t="s">
        <v>464</v>
      </c>
    </row>
    <row r="234" spans="1:11" ht="25.5" customHeight="1" x14ac:dyDescent="0.3">
      <c r="B234" s="359" t="s">
        <v>465</v>
      </c>
      <c r="C234" s="360"/>
      <c r="D234" s="362" t="s">
        <v>466</v>
      </c>
      <c r="E234" s="363"/>
      <c r="F234" s="187"/>
      <c r="G234" s="186" t="s">
        <v>467</v>
      </c>
      <c r="H234" s="191" t="s">
        <v>464</v>
      </c>
    </row>
    <row r="235" spans="1:11" x14ac:dyDescent="0.3">
      <c r="B235" s="2"/>
      <c r="D235" s="353" t="s">
        <v>222</v>
      </c>
      <c r="E235" s="354"/>
      <c r="F235" s="183"/>
      <c r="G235" s="186" t="s">
        <v>468</v>
      </c>
      <c r="H235" s="191" t="s">
        <v>464</v>
      </c>
    </row>
    <row r="236" spans="1:11" x14ac:dyDescent="0.3">
      <c r="B236" s="2"/>
      <c r="D236" s="355" t="s">
        <v>469</v>
      </c>
      <c r="E236" s="356"/>
      <c r="F236" s="185"/>
      <c r="G236" s="186" t="s">
        <v>470</v>
      </c>
      <c r="H236" s="188">
        <f>SUM(H233:H235)</f>
        <v>0</v>
      </c>
    </row>
    <row r="237" spans="1:11" x14ac:dyDescent="0.3">
      <c r="D237" s="189"/>
      <c r="E237" s="189"/>
      <c r="F237" s="189"/>
      <c r="G237" s="190"/>
    </row>
    <row r="238" spans="1:11" x14ac:dyDescent="0.3">
      <c r="D238" s="189"/>
      <c r="E238" s="189"/>
      <c r="F238" s="189"/>
      <c r="G238" s="190"/>
    </row>
    <row r="239" spans="1:11" x14ac:dyDescent="0.3">
      <c r="D239" s="189"/>
      <c r="E239" s="189"/>
      <c r="F239" s="189"/>
      <c r="G239" s="190"/>
    </row>
    <row r="240" spans="1:11" x14ac:dyDescent="0.3">
      <c r="D240" s="357"/>
      <c r="E240" s="357"/>
      <c r="F240" s="357"/>
      <c r="G240" s="357"/>
    </row>
    <row r="241" spans="4:7" x14ac:dyDescent="0.3">
      <c r="D241" s="358" t="s">
        <v>471</v>
      </c>
      <c r="E241" s="358"/>
      <c r="F241" s="358"/>
      <c r="G241" s="358"/>
    </row>
  </sheetData>
  <sheetProtection algorithmName="SHA-512" hashValue="6Xpd9BW0WgnJdNJIPifKMDmCv/nHZpZCs8cPlQU6kv7vYnR//PH3GoovcL0d7geyod5cNa6lwP1lgFbuEHttog==" saltValue="wAA4skNL4v91iU64QACl+g==" spinCount="100000" sheet="1"/>
  <mergeCells count="26">
    <mergeCell ref="D235:E235"/>
    <mergeCell ref="D236:E236"/>
    <mergeCell ref="D240:G240"/>
    <mergeCell ref="D241:G241"/>
    <mergeCell ref="B232:C232"/>
    <mergeCell ref="D232:G232"/>
    <mergeCell ref="B233:C233"/>
    <mergeCell ref="D233:E233"/>
    <mergeCell ref="B234:C234"/>
    <mergeCell ref="D234:E234"/>
    <mergeCell ref="C219:E219"/>
    <mergeCell ref="C220:E220"/>
    <mergeCell ref="C221:E221"/>
    <mergeCell ref="C222:E222"/>
    <mergeCell ref="C223:E223"/>
    <mergeCell ref="A224:B231"/>
    <mergeCell ref="C224:E224"/>
    <mergeCell ref="C226:G226"/>
    <mergeCell ref="C228:E228"/>
    <mergeCell ref="C230:E230"/>
    <mergeCell ref="B217:G217"/>
    <mergeCell ref="B2:C2"/>
    <mergeCell ref="B6:H6"/>
    <mergeCell ref="B7:H7"/>
    <mergeCell ref="B8:H8"/>
    <mergeCell ref="B9:H9"/>
  </mergeCells>
  <conditionalFormatting sqref="B210">
    <cfRule type="duplicateValues" dxfId="7" priority="3"/>
  </conditionalFormatting>
  <conditionalFormatting sqref="B211">
    <cfRule type="duplicateValues" dxfId="6" priority="8"/>
  </conditionalFormatting>
  <conditionalFormatting sqref="C10">
    <cfRule type="containsText" dxfId="5" priority="6" operator="containsText" text="escari">
      <formula>NOT(ISERROR(SEARCH("escari",C10)))</formula>
    </cfRule>
    <cfRule type="containsText" dxfId="4" priority="7" operator="containsText" text="escarificación">
      <formula>NOT(ISERROR(SEARCH("escarificación",C10)))</formula>
    </cfRule>
  </conditionalFormatting>
  <conditionalFormatting sqref="C219:C224">
    <cfRule type="containsText" dxfId="3" priority="4" operator="containsText" text="escari">
      <formula>NOT(ISERROR(SEARCH("escari",C219)))</formula>
    </cfRule>
    <cfRule type="containsText" dxfId="2" priority="5" operator="containsText" text="escarificación">
      <formula>NOT(ISERROR(SEARCH("escarificación",C219)))</formula>
    </cfRule>
  </conditionalFormatting>
  <conditionalFormatting sqref="C226:C230">
    <cfRule type="containsText" dxfId="1" priority="1" operator="containsText" text="escari">
      <formula>NOT(ISERROR(SEARCH("escari",C226)))</formula>
    </cfRule>
    <cfRule type="containsText" dxfId="0" priority="2" operator="containsText" text="escarificación">
      <formula>NOT(ISERROR(SEARCH("escarificación",C226)))</formula>
    </cfRule>
  </conditionalFormatting>
  <pageMargins left="0.7" right="0.7" top="0.75" bottom="0.75" header="0.3" footer="0.3"/>
  <pageSetup paperSize="9" scale="40" fitToHeight="0" orientation="portrait" r:id="rId1"/>
  <rowBreaks count="1" manualBreakCount="1">
    <brk id="100" max="7"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11af437-87f4-4afa-9549-23bfbf87a09e" xsi:nil="true"/>
    <lcf76f155ced4ddcb4097134ff3c332f xmlns="b0f012bd-71e5-438b-ba6b-85a71e63bc1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C833F6710146E43B3FD0085674ED13B" ma:contentTypeVersion="13" ma:contentTypeDescription="Crear nuevo documento." ma:contentTypeScope="" ma:versionID="f386dcafaddd3a251d616c870fea23c2">
  <xsd:schema xmlns:xsd="http://www.w3.org/2001/XMLSchema" xmlns:xs="http://www.w3.org/2001/XMLSchema" xmlns:p="http://schemas.microsoft.com/office/2006/metadata/properties" xmlns:ns2="b0f012bd-71e5-438b-ba6b-85a71e63bc17" xmlns:ns3="411af437-87f4-4afa-9549-23bfbf87a09e" targetNamespace="http://schemas.microsoft.com/office/2006/metadata/properties" ma:root="true" ma:fieldsID="5d0637034fc4983eee6aad47ec623c93" ns2:_="" ns3:_="">
    <xsd:import namespace="b0f012bd-71e5-438b-ba6b-85a71e63bc17"/>
    <xsd:import namespace="411af437-87f4-4afa-9549-23bfbf87a0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12bd-71e5-438b-ba6b-85a71e63bc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11af437-87f4-4afa-9549-23bfbf87a09e"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58a2c374-60a7-4878-bdb6-d05d263ac73c}" ma:internalName="TaxCatchAll" ma:showField="CatchAllData" ma:web="411af437-87f4-4afa-9549-23bfbf87a0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22E824D-9322-4503-84F6-DF3E9D6DB167}">
  <ds:schemaRefs>
    <ds:schemaRef ds:uri="http://schemas.microsoft.com/office/2006/metadata/properties"/>
    <ds:schemaRef ds:uri="http://schemas.microsoft.com/office/infopath/2007/PartnerControls"/>
    <ds:schemaRef ds:uri="411af437-87f4-4afa-9549-23bfbf87a09e"/>
    <ds:schemaRef ds:uri="b0f012bd-71e5-438b-ba6b-85a71e63bc17"/>
  </ds:schemaRefs>
</ds:datastoreItem>
</file>

<file path=customXml/itemProps2.xml><?xml version="1.0" encoding="utf-8"?>
<ds:datastoreItem xmlns:ds="http://schemas.openxmlformats.org/officeDocument/2006/customXml" ds:itemID="{69580164-082B-4721-99A3-A75115887B79}">
  <ds:schemaRefs>
    <ds:schemaRef ds:uri="http://schemas.microsoft.com/sharepoint/v3/contenttype/forms"/>
  </ds:schemaRefs>
</ds:datastoreItem>
</file>

<file path=customXml/itemProps3.xml><?xml version="1.0" encoding="utf-8"?>
<ds:datastoreItem xmlns:ds="http://schemas.openxmlformats.org/officeDocument/2006/customXml" ds:itemID="{B048F080-4525-4B21-8484-4250EB0AC3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12bd-71e5-438b-ba6b-85a71e63bc17"/>
    <ds:schemaRef ds:uri="411af437-87f4-4afa-9549-23bfbf87a0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vt:lpstr>
      <vt:lpstr>AIU</vt:lpstr>
      <vt:lpstr>FORMULARIO OFERTA ECONOMICA</vt:lpstr>
      <vt:lpstr>AIU!Área_de_impresión</vt:lpstr>
      <vt:lpstr>'FORMULARIO OFERTA ECONOMICA'!Área_de_impresión</vt:lpstr>
      <vt:lpstr>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Esteban David Martìnez Guerrero.</dc:creator>
  <cp:lastModifiedBy>Andrea Rocha</cp:lastModifiedBy>
  <dcterms:created xsi:type="dcterms:W3CDTF">2025-10-03T16:38:25Z</dcterms:created>
  <dcterms:modified xsi:type="dcterms:W3CDTF">2025-10-08T20:38:47Z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0x010100DC833F6710146E43B3FD0085674ED13B</vt:lpwstr>
  </property>
</Properties>
</file>