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autoCompressPictures="0" defaultThemeVersion="124226"/>
  <mc:AlternateContent xmlns:mc="http://schemas.openxmlformats.org/markup-compatibility/2006">
    <mc:Choice Requires="x15">
      <x15ac:absPath xmlns:x15ac="http://schemas.microsoft.com/office/spreadsheetml/2010/11/ac" url="C:\Users\Jose_\Desktop\CONSTRU ARQUITECTURA\LICITACIONES 2025\JULIO\MEDICINA LEGAL Y CIENCIAS FORENSES\OFERTA\"/>
    </mc:Choice>
  </mc:AlternateContent>
  <xr:revisionPtr revIDLastSave="0" documentId="13_ncr:1_{295DC8CB-789E-4779-9A34-D4D22C4AF5F2}" xr6:coauthVersionLast="47" xr6:coauthVersionMax="47" xr10:uidLastSave="{00000000-0000-0000-0000-000000000000}"/>
  <bookViews>
    <workbookView minimized="1" xWindow="6150" yWindow="4050" windowWidth="15375" windowHeight="7785" tabRatio="783" activeTab="4" xr2:uid="{00000000-000D-0000-FFFF-FFFF00000000}"/>
  </bookViews>
  <sheets>
    <sheet name="PPTO VENT MECAN" sheetId="221" state="hidden" r:id="rId1"/>
    <sheet name="PTAS VENTANAS" sheetId="220" state="hidden" r:id="rId2"/>
    <sheet name="ENCHAPES" sheetId="225" state="hidden" r:id="rId3"/>
    <sheet name="FLANCHES" sheetId="226" state="hidden" r:id="rId4"/>
    <sheet name="FORMATO OFERTA ECONOMICA" sheetId="261" r:id="rId5"/>
    <sheet name="Gráfico2" sheetId="235" state="hidden" r:id="rId6"/>
    <sheet name="Gráfico1" sheetId="234" state="hidden" r:id="rId7"/>
    <sheet name="PINTURA" sheetId="176" state="hidden" r:id="rId8"/>
    <sheet name="AREAS Y PERIMETROS" sheetId="224" state="hidden" r:id="rId9"/>
    <sheet name="PRESUPUESTO" sheetId="207" state="hidden" r:id="rId10"/>
    <sheet name="EST.MERCADO." sheetId="147" state="hidden" r:id="rId11"/>
    <sheet name="1- PRESUPUESTO MANTENIMIENTO " sheetId="249" state="hidden" r:id="rId12"/>
    <sheet name="PRESUPUESTO ELECTROMECANICO" sheetId="254" state="hidden" r:id="rId13"/>
    <sheet name="PRESUPUESTO HVAC" sheetId="272" state="hidden" r:id="rId14"/>
    <sheet name="2,5- Cuadrillas" sheetId="259" state="hidden" r:id="rId15"/>
  </sheets>
  <externalReferences>
    <externalReference r:id="rId16"/>
    <externalReference r:id="rId17"/>
    <externalReference r:id="rId18"/>
    <externalReference r:id="rId19"/>
    <externalReference r:id="rId20"/>
  </externalReferences>
  <definedNames>
    <definedName name="_xlnm._FilterDatabase" localSheetId="10" hidden="1">'EST.MERCADO.'!$B$8:$Z$92</definedName>
    <definedName name="_xlnm._FilterDatabase" localSheetId="12" hidden="1">'PRESUPUESTO ELECTROMECANICO'!$A$5:$F$66</definedName>
    <definedName name="_xlnm._FilterDatabase" localSheetId="13" hidden="1">#REF!</definedName>
    <definedName name="_xlnm._FilterDatabase" hidden="1">#REF!</definedName>
    <definedName name="_q" localSheetId="12" hidden="1">#REF!</definedName>
    <definedName name="_q" localSheetId="13" hidden="1">'[1]3'!#REF!</definedName>
    <definedName name="_q" hidden="1">#REF!</definedName>
    <definedName name="A" localSheetId="13">[2]PRECIOS!$J$61</definedName>
    <definedName name="A">#REF!</definedName>
    <definedName name="_xlnm.Print_Area" localSheetId="10">'EST.MERCADO.'!$B$8:$Z$95</definedName>
    <definedName name="_xlnm.Print_Area" localSheetId="4">'FORMATO OFERTA ECONOMICA'!$A$1:$L$226</definedName>
    <definedName name="_xlnm.Print_Area" localSheetId="9">PRESUPUESTO!$B$8:$G$125</definedName>
    <definedName name="_xlnm.Print_Area" localSheetId="12">'PRESUPUESTO ELECTROMECANICO'!$A$1:$F$79</definedName>
    <definedName name="_xlnm.Print_Area" localSheetId="13">'PRESUPUESTO HVAC'!$A$1:$F$89</definedName>
    <definedName name="beto" localSheetId="12" hidden="1">#REF!</definedName>
    <definedName name="beto" localSheetId="13" hidden="1">#REF!</definedName>
    <definedName name="beto" hidden="1">#REF!</definedName>
    <definedName name="COD" localSheetId="12">#REF!</definedName>
    <definedName name="COD" localSheetId="13">#REF!</definedName>
    <definedName name="COD">#REF!</definedName>
    <definedName name="CODIGO" localSheetId="12">#REF!</definedName>
    <definedName name="CODIGO" localSheetId="13">#REF!</definedName>
    <definedName name="CODIGO">#REF!</definedName>
    <definedName name="CODIGOS" localSheetId="12">#REF!</definedName>
    <definedName name="CODIGOS" localSheetId="13">#REF!</definedName>
    <definedName name="CODIGOS">#REF!</definedName>
    <definedName name="ConsMaestro" localSheetId="12" hidden="1">#REF!</definedName>
    <definedName name="ConsMaestro" localSheetId="13" hidden="1">#REF!</definedName>
    <definedName name="ConsMaestro" hidden="1">#REF!</definedName>
    <definedName name="deee" localSheetId="12" hidden="1">#REF!,#REF!,#REF!,#REF!,#REF!</definedName>
    <definedName name="deee" localSheetId="13" hidden="1">#REF!,#REF!,#REF!,#REF!,#REF!</definedName>
    <definedName name="deee" hidden="1">#REF!,#REF!,#REF!,#REF!,#REF!</definedName>
    <definedName name="ESTADO" localSheetId="12">#REF!</definedName>
    <definedName name="ESTADO" localSheetId="13">#REF!</definedName>
    <definedName name="ESTADO">#REF!</definedName>
    <definedName name="gttt" localSheetId="12" hidden="1">#REF!,#REF!</definedName>
    <definedName name="gttt" localSheetId="13" hidden="1">'[1]3'!#REF!,'[1]3'!#REF!</definedName>
    <definedName name="gttt" hidden="1">#REF!,#REF!</definedName>
    <definedName name="hghghg" localSheetId="12" hidden="1">#REF!</definedName>
    <definedName name="hghghg" localSheetId="13" hidden="1">#REF!</definedName>
    <definedName name="hghghg" hidden="1">#REF!</definedName>
    <definedName name="Informe" localSheetId="12" hidden="1">#REF!</definedName>
    <definedName name="Informe" localSheetId="13" hidden="1">#REF!</definedName>
    <definedName name="Informe" hidden="1">#REF!</definedName>
    <definedName name="jairo" localSheetId="12" hidden="1">#REF!</definedName>
    <definedName name="jairo" localSheetId="13" hidden="1">#REF!</definedName>
    <definedName name="jairo" hidden="1">#REF!</definedName>
    <definedName name="jairo2" localSheetId="12" hidden="1">#REF!</definedName>
    <definedName name="jairo2" localSheetId="13" hidden="1">#REF!</definedName>
    <definedName name="jairo2" hidden="1">#REF!</definedName>
    <definedName name="LUGAR" localSheetId="12">#REF!</definedName>
    <definedName name="LUGAR" localSheetId="13">#REF!</definedName>
    <definedName name="LUGAR">#REF!</definedName>
    <definedName name="ND" localSheetId="12">#REF!</definedName>
    <definedName name="ND" localSheetId="13">#REF!</definedName>
    <definedName name="ND">#REF!</definedName>
    <definedName name="ñpñ" localSheetId="12" hidden="1">#REF!</definedName>
    <definedName name="ñpñ" localSheetId="13" hidden="1">#REF!</definedName>
    <definedName name="ñpñ" hidden="1">#REF!</definedName>
    <definedName name="O" localSheetId="13">[2]PRECIOS!$J$60</definedName>
    <definedName name="O">#REF!</definedName>
    <definedName name="oioioio" localSheetId="12" hidden="1">#REF!</definedName>
    <definedName name="oioioio" localSheetId="13" hidden="1">#REF!</definedName>
    <definedName name="oioioio" hidden="1">#REF!</definedName>
    <definedName name="P" localSheetId="13">[2]PRECIOS!$I$55</definedName>
    <definedName name="P">#REF!</definedName>
    <definedName name="ssd" localSheetId="12" hidden="1">#REF!</definedName>
    <definedName name="ssd" localSheetId="13" hidden="1">'[3]3'!#REF!</definedName>
    <definedName name="ssd" hidden="1">#REF!</definedName>
    <definedName name="TAB_GESTORES" localSheetId="12">#REF!</definedName>
    <definedName name="TAB_GESTORES" localSheetId="13">#REF!</definedName>
    <definedName name="TAB_GESTORES">#REF!</definedName>
    <definedName name="TAB_POS_FIN" localSheetId="12">#REF!</definedName>
    <definedName name="TAB_POS_FIN" localSheetId="13">#REF!</definedName>
    <definedName name="TAB_POS_FIN">#REF!</definedName>
    <definedName name="_xlnm.Print_Titles" localSheetId="10">'EST.MERCADO.'!$2:$7</definedName>
    <definedName name="_xlnm.Print_Titles" localSheetId="9">PRESUPUESTO!$2:$7</definedName>
    <definedName name="_xlnm.Print_Titles" localSheetId="12">'PRESUPUESTO ELECTROMECANICO'!$A:$C,'PRESUPUESTO ELECTROMECANICO'!$1:$7</definedName>
    <definedName name="_xlnm.Print_Titles" localSheetId="13">'PRESUPUESTO HVAC'!$A:$C,'PRESUPUESTO HVAC'!$1:$7</definedName>
    <definedName name="UBICACIONES" localSheetId="12">#REF!</definedName>
    <definedName name="UBICACIONES" localSheetId="13">#REF!</definedName>
    <definedName name="UBICACIONES">#REF!</definedName>
    <definedName name="UNIDADES" localSheetId="12">#REF!</definedName>
    <definedName name="UNIDADES" localSheetId="13">#REF!</definedName>
    <definedName name="UNIDADES">#REF!</definedName>
    <definedName name="VALIDADION_ENCABEZADO" localSheetId="13">[4]PLANTILLA_COMPROMETIDO!$AF$6:$AH$10</definedName>
    <definedName name="VALIDADION_ENCABEZADO">#REF!</definedName>
    <definedName name="werrtt" localSheetId="12" hidden="1">#REF!</definedName>
    <definedName name="werrtt" localSheetId="13" hidden="1">#REF!</definedName>
    <definedName name="werrtt" hidden="1">#REF!</definedName>
    <definedName name="XXX" localSheetId="12" hidden="1">#REF!</definedName>
    <definedName name="XXX" localSheetId="13" hidden="1">#REF!</definedName>
    <definedName name="XXX" hidden="1">#REF!</definedName>
    <definedName name="Z" localSheetId="12" hidden="1">#REF!</definedName>
    <definedName name="Z" localSheetId="13" hidden="1">#REF!</definedName>
    <definedName name="Z" hidden="1">#REF!</definedName>
    <definedName name="Z_235A93C1_87C6_11D4_BB51_444553540000_.wvu.Cols" localSheetId="12" hidden="1">#REF!,#REF!</definedName>
    <definedName name="Z_235A93C1_87C6_11D4_BB51_444553540000_.wvu.Cols" localSheetId="13" hidden="1">'[1]3'!#REF!,'[1]3'!#REF!</definedName>
    <definedName name="Z_235A93C1_87C6_11D4_BB51_444553540000_.wvu.Cols" hidden="1">#REF!,#REF!</definedName>
    <definedName name="Z_235A93C2_87C6_11D4_BB51_444553540000_.wvu.Cols" localSheetId="12" hidden="1">#REF!,#REF!</definedName>
    <definedName name="Z_235A93C2_87C6_11D4_BB51_444553540000_.wvu.Cols" localSheetId="13" hidden="1">'[1]3'!#REF!,'[1]3'!#REF!</definedName>
    <definedName name="Z_235A93C2_87C6_11D4_BB51_444553540000_.wvu.Cols" hidden="1">#REF!,#REF!</definedName>
    <definedName name="Z_235A93C3_87C6_11D4_BB51_444553540000_.wvu.Cols" localSheetId="12" hidden="1">#REF!,#REF!</definedName>
    <definedName name="Z_235A93C3_87C6_11D4_BB51_444553540000_.wvu.Cols" localSheetId="13" hidden="1">'[1]3'!#REF!,'[1]3'!#REF!</definedName>
    <definedName name="Z_235A93C3_87C6_11D4_BB51_444553540000_.wvu.Cols" hidden="1">#REF!,#REF!</definedName>
    <definedName name="Z_235A93C4_87C6_11D4_BB51_444553540000_.wvu.Cols" localSheetId="12" hidden="1">#REF!,#REF!</definedName>
    <definedName name="Z_235A93C4_87C6_11D4_BB51_444553540000_.wvu.Cols" localSheetId="13" hidden="1">'[1]3'!#REF!,'[1]3'!#REF!</definedName>
    <definedName name="Z_235A93C4_87C6_11D4_BB51_444553540000_.wvu.Cols" hidden="1">#REF!,#REF!</definedName>
    <definedName name="Z_235A93C5_87C6_11D4_BB51_444553540000_.wvu.Cols" localSheetId="12" hidden="1">#REF!,#REF!</definedName>
    <definedName name="Z_235A93C5_87C6_11D4_BB51_444553540000_.wvu.Cols" localSheetId="13" hidden="1">'[1]3'!#REF!,'[1]3'!#REF!</definedName>
    <definedName name="Z_235A93C5_87C6_11D4_BB51_444553540000_.wvu.Cols" hidden="1">#REF!,#REF!</definedName>
    <definedName name="Z_235A93C6_87C6_11D4_BB51_444553540000_.wvu.Cols" localSheetId="12" hidden="1">#REF!,#REF!</definedName>
    <definedName name="Z_235A93C6_87C6_11D4_BB51_444553540000_.wvu.Cols" localSheetId="13" hidden="1">'[1]3'!#REF!,'[1]3'!#REF!</definedName>
    <definedName name="Z_235A93C6_87C6_11D4_BB51_444553540000_.wvu.Cols" hidden="1">#REF!,#REF!</definedName>
    <definedName name="Z_235A93C7_87C6_11D4_BB51_444553540000_.wvu.Cols" localSheetId="12" hidden="1">#REF!,#REF!</definedName>
    <definedName name="Z_235A93C7_87C6_11D4_BB51_444553540000_.wvu.Cols" localSheetId="13" hidden="1">'[1]3'!#REF!,'[1]3'!#REF!</definedName>
    <definedName name="Z_235A93C7_87C6_11D4_BB51_444553540000_.wvu.Cols" hidden="1">#REF!,#REF!</definedName>
    <definedName name="Z_6CDBE1A1_8642_11D4_8E16_005004999978_.wvu.PrintTitles" localSheetId="12" hidden="1">#REF!</definedName>
    <definedName name="Z_6CDBE1A1_8642_11D4_8E16_005004999978_.wvu.PrintTitles" localSheetId="13" hidden="1">#REF!</definedName>
    <definedName name="Z_6CDBE1A1_8642_11D4_8E16_005004999978_.wvu.PrintTitles" hidden="1">#REF!</definedName>
    <definedName name="Z_6CDBE1A1_8642_11D4_8E16_005004999978_.wvu.Rows" localSheetId="12" hidden="1">#REF!,#REF!,#REF!,#REF!,#REF!</definedName>
    <definedName name="Z_6CDBE1A1_8642_11D4_8E16_005004999978_.wvu.Rows" localSheetId="13" hidden="1">#REF!,#REF!,#REF!,#REF!,#REF!</definedName>
    <definedName name="Z_6CDBE1A1_8642_11D4_8E16_005004999978_.wvu.Rows" hidden="1">#REF!,#REF!,#REF!,#REF!,#REF!</definedName>
    <definedName name="Z_6CDBE1A2_8642_11D4_8E16_005004999978_.wvu.PrintTitles" localSheetId="12" hidden="1">#REF!</definedName>
    <definedName name="Z_6CDBE1A2_8642_11D4_8E16_005004999978_.wvu.PrintTitles" localSheetId="13" hidden="1">#REF!</definedName>
    <definedName name="Z_6CDBE1A2_8642_11D4_8E16_005004999978_.wvu.PrintTitles" hidden="1">#REF!</definedName>
    <definedName name="Z_6CDBE1A2_8642_11D4_8E16_005004999978_.wvu.Rows" localSheetId="12" hidden="1">#REF!,#REF!,#REF!,#REF!,#REF!</definedName>
    <definedName name="Z_6CDBE1A2_8642_11D4_8E16_005004999978_.wvu.Rows" localSheetId="13" hidden="1">#REF!,#REF!,#REF!,#REF!,#REF!</definedName>
    <definedName name="Z_6CDBE1A2_8642_11D4_8E16_005004999978_.wvu.Rows" hidden="1">#REF!,#REF!,#REF!,#REF!,#REF!</definedName>
    <definedName name="Z_6CDBE1AE_8642_11D4_8E16_005004999978_.wvu.Cols" localSheetId="12" hidden="1">#REF!,#REF!</definedName>
    <definedName name="Z_6CDBE1AE_8642_11D4_8E16_005004999978_.wvu.Cols" localSheetId="13" hidden="1">'[1]3'!#REF!,'[1]3'!#REF!</definedName>
    <definedName name="Z_6CDBE1AE_8642_11D4_8E16_005004999978_.wvu.Cols" hidden="1">#REF!,#REF!</definedName>
    <definedName name="Z_6CDBE1AE_8642_11D4_8E16_005004999978_.wvu.PrintArea" localSheetId="12" hidden="1">#REF!</definedName>
    <definedName name="Z_6CDBE1AE_8642_11D4_8E16_005004999978_.wvu.PrintArea" localSheetId="13" hidden="1">'[1]3'!#REF!</definedName>
    <definedName name="Z_6CDBE1AE_8642_11D4_8E16_005004999978_.wvu.PrintArea" hidden="1">#REF!</definedName>
    <definedName name="Z_6CDBE1AE_8642_11D4_8E16_005004999978_.wvu.Rows" localSheetId="12" hidden="1">#REF!,#REF!,#REF!,#REF!,#REF!</definedName>
    <definedName name="Z_6CDBE1AE_8642_11D4_8E16_005004999978_.wvu.Rows" localSheetId="13" hidden="1">#REF!,#REF!,#REF!,#REF!,#REF!</definedName>
    <definedName name="Z_6CDBE1AE_8642_11D4_8E16_005004999978_.wvu.Rows" hidden="1">#REF!,#REF!,#REF!,#REF!,#REF!</definedName>
    <definedName name="Z_6CDBE1AF_8642_11D4_8E16_005004999978_.wvu.Cols" localSheetId="12" hidden="1">#REF!,#REF!</definedName>
    <definedName name="Z_6CDBE1AF_8642_11D4_8E16_005004999978_.wvu.Cols" localSheetId="13" hidden="1">'[1]3'!#REF!,'[1]3'!#REF!</definedName>
    <definedName name="Z_6CDBE1AF_8642_11D4_8E16_005004999978_.wvu.Cols" hidden="1">#REF!,#REF!</definedName>
    <definedName name="Z_6CDBE1AF_8642_11D4_8E16_005004999978_.wvu.Rows" localSheetId="12" hidden="1">#REF!,#REF!,#REF!,#REF!,#REF!</definedName>
    <definedName name="Z_6CDBE1AF_8642_11D4_8E16_005004999978_.wvu.Rows" localSheetId="13" hidden="1">#REF!,#REF!,#REF!,#REF!,#REF!</definedName>
    <definedName name="Z_6CDBE1AF_8642_11D4_8E16_005004999978_.wvu.Rows" hidden="1">#REF!,#REF!,#REF!,#REF!,#REF!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212" i="261" l="1"/>
  <c r="J208" i="261" l="1"/>
  <c r="J198" i="261"/>
  <c r="J199" i="261"/>
  <c r="J200" i="261"/>
  <c r="J201" i="261"/>
  <c r="J202" i="261"/>
  <c r="J203" i="261"/>
  <c r="J204" i="261"/>
  <c r="J205" i="261"/>
  <c r="J206" i="261"/>
  <c r="J207" i="261"/>
  <c r="J197" i="261"/>
  <c r="J186" i="261"/>
  <c r="J187" i="261"/>
  <c r="J188" i="261"/>
  <c r="J189" i="261"/>
  <c r="J190" i="261"/>
  <c r="J191" i="261"/>
  <c r="J192" i="261"/>
  <c r="J193" i="261"/>
  <c r="J194" i="261"/>
  <c r="J195" i="261"/>
  <c r="J168" i="261"/>
  <c r="J169" i="261"/>
  <c r="J170" i="261"/>
  <c r="J171" i="261"/>
  <c r="J172" i="261"/>
  <c r="J173" i="261"/>
  <c r="J174" i="261"/>
  <c r="J175" i="261"/>
  <c r="J176" i="261"/>
  <c r="J177" i="261"/>
  <c r="J178" i="261"/>
  <c r="J179" i="261"/>
  <c r="J180" i="261"/>
  <c r="J181" i="261"/>
  <c r="J182" i="261"/>
  <c r="J183" i="261"/>
  <c r="J185" i="261"/>
  <c r="J167" i="261"/>
  <c r="J147" i="261"/>
  <c r="J148" i="261"/>
  <c r="J149" i="261"/>
  <c r="J150" i="261"/>
  <c r="J151" i="261"/>
  <c r="J152" i="261"/>
  <c r="J153" i="261"/>
  <c r="J154" i="261"/>
  <c r="J155" i="261"/>
  <c r="J156" i="261"/>
  <c r="J157" i="261"/>
  <c r="J158" i="261"/>
  <c r="J159" i="261"/>
  <c r="J160" i="261"/>
  <c r="J161" i="261"/>
  <c r="J162" i="261"/>
  <c r="J163" i="261"/>
  <c r="J164" i="261"/>
  <c r="J165" i="261"/>
  <c r="J139" i="261"/>
  <c r="J140" i="261"/>
  <c r="J141" i="261"/>
  <c r="J142" i="261"/>
  <c r="J143" i="261"/>
  <c r="J146" i="261"/>
  <c r="J138" i="261"/>
  <c r="J127" i="261"/>
  <c r="J128" i="261"/>
  <c r="J129" i="261"/>
  <c r="J130" i="261"/>
  <c r="J131" i="261"/>
  <c r="J132" i="261"/>
  <c r="J133" i="261"/>
  <c r="J134" i="261"/>
  <c r="J135" i="261"/>
  <c r="J136" i="261"/>
  <c r="J126" i="261"/>
  <c r="J88" i="261"/>
  <c r="J89" i="261"/>
  <c r="J90" i="261"/>
  <c r="J91" i="261"/>
  <c r="J92" i="261"/>
  <c r="J93" i="261"/>
  <c r="J94" i="261"/>
  <c r="J95" i="261"/>
  <c r="J96" i="261"/>
  <c r="J97" i="261"/>
  <c r="J98" i="261"/>
  <c r="J99" i="261"/>
  <c r="J100" i="261"/>
  <c r="J101" i="261"/>
  <c r="J102" i="261"/>
  <c r="J103" i="261"/>
  <c r="J104" i="261"/>
  <c r="J105" i="261"/>
  <c r="J106" i="261"/>
  <c r="J107" i="261"/>
  <c r="J108" i="261"/>
  <c r="J109" i="261"/>
  <c r="J110" i="261"/>
  <c r="J111" i="261"/>
  <c r="J112" i="261"/>
  <c r="J113" i="261"/>
  <c r="J114" i="261"/>
  <c r="J115" i="261"/>
  <c r="J116" i="261"/>
  <c r="J117" i="261"/>
  <c r="J118" i="261"/>
  <c r="J119" i="261"/>
  <c r="J120" i="261"/>
  <c r="J121" i="261"/>
  <c r="J122" i="261"/>
  <c r="J123" i="261"/>
  <c r="J77" i="261"/>
  <c r="J78" i="261"/>
  <c r="J79" i="261"/>
  <c r="J80" i="261"/>
  <c r="J81" i="261"/>
  <c r="J82" i="261"/>
  <c r="J83" i="261"/>
  <c r="J84" i="261"/>
  <c r="J87" i="261"/>
  <c r="J76" i="261"/>
  <c r="J73" i="261"/>
  <c r="J74" i="261"/>
  <c r="J67" i="261"/>
  <c r="J68" i="261"/>
  <c r="J69" i="261"/>
  <c r="J70" i="261"/>
  <c r="J59" i="261"/>
  <c r="J60" i="261"/>
  <c r="J61" i="261"/>
  <c r="J62" i="261"/>
  <c r="J63" i="261"/>
  <c r="J64" i="261"/>
  <c r="J72" i="261"/>
  <c r="J66" i="261"/>
  <c r="J58" i="261"/>
  <c r="J49" i="261"/>
  <c r="J50" i="261"/>
  <c r="J51" i="261"/>
  <c r="J52" i="261"/>
  <c r="J53" i="261"/>
  <c r="J54" i="261"/>
  <c r="J55" i="261"/>
  <c r="J56" i="261"/>
  <c r="J45" i="261"/>
  <c r="J46" i="261"/>
  <c r="J38" i="261"/>
  <c r="J39" i="261"/>
  <c r="J40" i="261"/>
  <c r="J41" i="261"/>
  <c r="J42" i="261"/>
  <c r="J48" i="261"/>
  <c r="J44" i="261"/>
  <c r="J37" i="261"/>
  <c r="J34" i="261"/>
  <c r="J35" i="261"/>
  <c r="J27" i="261"/>
  <c r="J28" i="261"/>
  <c r="J29" i="261"/>
  <c r="J30" i="261"/>
  <c r="J31" i="261"/>
  <c r="J33" i="261"/>
  <c r="J26" i="261"/>
  <c r="J12" i="261"/>
  <c r="J13" i="261"/>
  <c r="J14" i="261"/>
  <c r="J15" i="261"/>
  <c r="J16" i="261"/>
  <c r="J17" i="261"/>
  <c r="J18" i="261"/>
  <c r="J19" i="261"/>
  <c r="J20" i="261"/>
  <c r="J21" i="261"/>
  <c r="J22" i="261"/>
  <c r="J23" i="261"/>
  <c r="J24" i="261"/>
  <c r="J11" i="261"/>
  <c r="J217" i="261"/>
  <c r="J209" i="261" l="1"/>
  <c r="J210" i="261" s="1"/>
  <c r="F93" i="272"/>
  <c r="F94" i="272"/>
  <c r="F95" i="272"/>
  <c r="E19" i="259" l="1"/>
  <c r="D19" i="259"/>
  <c r="C19" i="259"/>
  <c r="H101" i="249" l="1"/>
  <c r="H102" i="249"/>
  <c r="H103" i="249"/>
  <c r="H104" i="249"/>
  <c r="H105" i="249"/>
  <c r="H106" i="249"/>
  <c r="H107" i="249"/>
  <c r="H108" i="249"/>
  <c r="H109" i="249"/>
  <c r="H112" i="249"/>
  <c r="H113" i="249"/>
  <c r="H114" i="249"/>
  <c r="H119" i="249"/>
  <c r="H120" i="249"/>
  <c r="H121" i="249"/>
  <c r="H123" i="249"/>
  <c r="H125" i="249"/>
  <c r="H128" i="249"/>
  <c r="H129" i="249"/>
  <c r="H130" i="249"/>
  <c r="H131" i="249"/>
  <c r="H132" i="249"/>
  <c r="H133" i="249"/>
  <c r="H134" i="249"/>
  <c r="H135" i="249"/>
  <c r="H136" i="249"/>
  <c r="H140" i="249"/>
  <c r="H141" i="249"/>
  <c r="H142" i="249"/>
  <c r="H143" i="249"/>
  <c r="H144" i="249"/>
  <c r="H145" i="249"/>
  <c r="H146" i="249"/>
  <c r="H147" i="249"/>
  <c r="H148" i="249"/>
  <c r="H149" i="249"/>
  <c r="H150" i="249"/>
  <c r="H153" i="249"/>
  <c r="H154" i="249"/>
  <c r="H155" i="249"/>
  <c r="H156" i="249"/>
  <c r="H157" i="249"/>
  <c r="H158" i="249"/>
  <c r="H100" i="249"/>
  <c r="C17" i="249"/>
  <c r="C18" i="249" s="1"/>
  <c r="C19" i="249" s="1"/>
  <c r="C20" i="249" s="1"/>
  <c r="D81" i="259" l="1"/>
  <c r="B63" i="259"/>
  <c r="D108" i="259" s="1"/>
  <c r="B61" i="259"/>
  <c r="B62" i="259" s="1"/>
  <c r="B52" i="259"/>
  <c r="E13" i="259"/>
  <c r="E23" i="259" s="1"/>
  <c r="D13" i="259"/>
  <c r="C13" i="259"/>
  <c r="C20" i="259" s="1"/>
  <c r="D38" i="254"/>
  <c r="H127" i="249" s="1"/>
  <c r="D37" i="254"/>
  <c r="H126" i="249" s="1"/>
  <c r="D35" i="254"/>
  <c r="H124" i="249" s="1"/>
  <c r="D33" i="254"/>
  <c r="H122" i="249" s="1"/>
  <c r="D29" i="254"/>
  <c r="H118" i="249" s="1"/>
  <c r="D28" i="254"/>
  <c r="H117" i="249" s="1"/>
  <c r="D27" i="254"/>
  <c r="H116" i="249" s="1"/>
  <c r="D26" i="254"/>
  <c r="H115" i="249" s="1"/>
  <c r="D22" i="254"/>
  <c r="H111" i="249" s="1"/>
  <c r="D21" i="254"/>
  <c r="H110" i="249" s="1"/>
  <c r="H45" i="249"/>
  <c r="H43" i="249"/>
  <c r="H39" i="249"/>
  <c r="H26" i="249"/>
  <c r="E14" i="259" l="1"/>
  <c r="E17" i="259" s="1"/>
  <c r="E18" i="259"/>
  <c r="C23" i="259"/>
  <c r="D93" i="259"/>
  <c r="H44" i="249"/>
  <c r="C24" i="259"/>
  <c r="D105" i="259"/>
  <c r="D78" i="259"/>
  <c r="E22" i="259"/>
  <c r="D21" i="259"/>
  <c r="D25" i="259"/>
  <c r="D20" i="259"/>
  <c r="E21" i="259"/>
  <c r="D24" i="259"/>
  <c r="E25" i="259"/>
  <c r="D72" i="259"/>
  <c r="D106" i="259"/>
  <c r="C14" i="259"/>
  <c r="C15" i="259" s="1"/>
  <c r="C16" i="259" s="1"/>
  <c r="C18" i="259"/>
  <c r="E20" i="259"/>
  <c r="C22" i="259"/>
  <c r="D23" i="259"/>
  <c r="E24" i="259"/>
  <c r="B64" i="259"/>
  <c r="D77" i="259"/>
  <c r="E77" i="259" s="1"/>
  <c r="D107" i="259"/>
  <c r="D14" i="259"/>
  <c r="D17" i="259" s="1"/>
  <c r="D18" i="259"/>
  <c r="C21" i="259"/>
  <c r="D22" i="259"/>
  <c r="C25" i="259"/>
  <c r="D104" i="259"/>
  <c r="E15" i="259" l="1"/>
  <c r="E16" i="259" s="1"/>
  <c r="K25" i="249" a="1"/>
  <c r="K25" i="249" s="1"/>
  <c r="K24" i="249" a="1"/>
  <c r="K24" i="249" s="1"/>
  <c r="K23" i="249" a="1"/>
  <c r="K23" i="249" s="1"/>
  <c r="K22" i="249" a="1"/>
  <c r="K22" i="249" s="1"/>
  <c r="H46" i="249"/>
  <c r="C17" i="259"/>
  <c r="C26" i="259" s="1"/>
  <c r="D15" i="259"/>
  <c r="D16" i="259" s="1"/>
  <c r="E26" i="259"/>
  <c r="E27" i="259" s="1"/>
  <c r="E28" i="259" s="1"/>
  <c r="D97" i="259"/>
  <c r="E97" i="259" s="1"/>
  <c r="D92" i="259"/>
  <c r="E92" i="259" s="1"/>
  <c r="D87" i="259"/>
  <c r="E87" i="259" s="1"/>
  <c r="D82" i="259"/>
  <c r="D98" i="259"/>
  <c r="E98" i="259" s="1"/>
  <c r="D88" i="259"/>
  <c r="E88" i="259" s="1"/>
  <c r="D86" i="259"/>
  <c r="E86" i="259" s="1"/>
  <c r="D71" i="259"/>
  <c r="E93" i="259"/>
  <c r="B65" i="259"/>
  <c r="D75" i="259" s="1"/>
  <c r="K21" i="249" a="1"/>
  <c r="K21" i="249" s="1"/>
  <c r="K26" i="249" l="1" a="1"/>
  <c r="K26" i="249" s="1"/>
  <c r="C34" i="259"/>
  <c r="D50" i="259" s="1"/>
  <c r="D41" i="259"/>
  <c r="D26" i="259"/>
  <c r="D27" i="259" s="1"/>
  <c r="D28" i="259" s="1"/>
  <c r="E82" i="259"/>
  <c r="C27" i="259"/>
  <c r="C28" i="259" s="1"/>
  <c r="H28" i="259"/>
  <c r="E75" i="259"/>
  <c r="D76" i="259"/>
  <c r="E76" i="259" s="1"/>
  <c r="D38" i="259" l="1"/>
  <c r="C32" i="259"/>
  <c r="D39" i="259"/>
  <c r="D40" i="259" s="1"/>
  <c r="C33" i="259"/>
  <c r="D49" i="259" s="1"/>
  <c r="E100" i="259"/>
  <c r="C35" i="259" l="1"/>
  <c r="C36" i="259" s="1"/>
  <c r="D42" i="259" s="1"/>
  <c r="D48" i="259" l="1"/>
  <c r="D44" i="259"/>
  <c r="D47" i="259"/>
  <c r="D43" i="259"/>
  <c r="D46" i="259"/>
  <c r="D45" i="259"/>
  <c r="E34" i="254" l="1"/>
  <c r="E66" i="254"/>
  <c r="F66" i="254" s="1"/>
  <c r="E68" i="254"/>
  <c r="F68" i="254" s="1"/>
  <c r="E57" i="254"/>
  <c r="F57" i="254" s="1"/>
  <c r="E65" i="254"/>
  <c r="F65" i="254" s="1"/>
  <c r="E41" i="254"/>
  <c r="F41" i="254" s="1"/>
  <c r="E42" i="254"/>
  <c r="E43" i="254"/>
  <c r="F43" i="254" s="1"/>
  <c r="E44" i="254"/>
  <c r="F44" i="254" s="1"/>
  <c r="E40" i="254"/>
  <c r="F40" i="254" s="1"/>
  <c r="E51" i="254"/>
  <c r="F51" i="254" s="1"/>
  <c r="E55" i="254"/>
  <c r="F55" i="254" s="1"/>
  <c r="E54" i="254"/>
  <c r="F54" i="254" s="1"/>
  <c r="E24" i="254"/>
  <c r="E26" i="254"/>
  <c r="E45" i="254"/>
  <c r="F45" i="254" s="1"/>
  <c r="E58" i="254"/>
  <c r="F58" i="254" s="1"/>
  <c r="E61" i="254"/>
  <c r="F61" i="254" s="1"/>
  <c r="E60" i="254"/>
  <c r="F60" i="254" s="1"/>
  <c r="E64" i="254"/>
  <c r="F64" i="254" s="1"/>
  <c r="E37" i="254"/>
  <c r="E33" i="254"/>
  <c r="F42" i="254"/>
  <c r="E30" i="254"/>
  <c r="F34" i="254"/>
  <c r="E22" i="254" l="1"/>
  <c r="E21" i="254"/>
  <c r="E27" i="254"/>
  <c r="F27" i="254" s="1"/>
  <c r="E52" i="254"/>
  <c r="F52" i="254" s="1"/>
  <c r="E67" i="254"/>
  <c r="F67" i="254" s="1"/>
  <c r="E38" i="254"/>
  <c r="E20" i="254"/>
  <c r="F20" i="254" s="1"/>
  <c r="E31" i="254"/>
  <c r="F31" i="254" s="1"/>
  <c r="E36" i="254"/>
  <c r="F36" i="254" s="1"/>
  <c r="E56" i="254"/>
  <c r="F56" i="254" s="1"/>
  <c r="E32" i="254"/>
  <c r="F32" i="254" s="1"/>
  <c r="E25" i="254"/>
  <c r="F25" i="254" s="1"/>
  <c r="E53" i="254"/>
  <c r="F53" i="254" s="1"/>
  <c r="E35" i="254"/>
  <c r="F35" i="254" s="1"/>
  <c r="E28" i="254"/>
  <c r="F28" i="254" s="1"/>
  <c r="E39" i="254"/>
  <c r="F39" i="254" s="1"/>
  <c r="E47" i="254"/>
  <c r="F47" i="254" s="1"/>
  <c r="E19" i="254"/>
  <c r="F19" i="254" s="1"/>
  <c r="E23" i="254"/>
  <c r="F23" i="254" s="1"/>
  <c r="E29" i="254"/>
  <c r="F29" i="254" s="1"/>
  <c r="E46" i="254"/>
  <c r="F46" i="254" s="1"/>
  <c r="E69" i="254"/>
  <c r="F69" i="254" s="1"/>
  <c r="F38" i="254"/>
  <c r="F24" i="254"/>
  <c r="F22" i="254"/>
  <c r="F21" i="254"/>
  <c r="F30" i="254"/>
  <c r="F33" i="254"/>
  <c r="F37" i="254"/>
  <c r="F26" i="254"/>
  <c r="E59" i="254" l="1"/>
  <c r="F59" i="254" s="1"/>
  <c r="F70" i="254"/>
  <c r="F62" i="254"/>
  <c r="J237" i="249" l="1"/>
  <c r="J236" i="249"/>
  <c r="K20" i="249" l="1" a="1"/>
  <c r="K20" i="249" s="1"/>
  <c r="K18" i="249" l="1" a="1"/>
  <c r="K18" i="249" s="1"/>
  <c r="K19" i="249" a="1"/>
  <c r="K19" i="249" s="1"/>
  <c r="K13" i="249" a="1"/>
  <c r="K13" i="249" s="1"/>
  <c r="K14" i="249" a="1"/>
  <c r="K14" i="249" s="1"/>
  <c r="K16" i="249" a="1"/>
  <c r="K16" i="249" s="1"/>
  <c r="K17" i="249" a="1"/>
  <c r="K17" i="249" s="1"/>
  <c r="K15" i="249" a="1"/>
  <c r="K15" i="249" s="1"/>
  <c r="C42" i="147" l="1"/>
  <c r="B42" i="147"/>
  <c r="C41" i="147"/>
  <c r="B41" i="147"/>
  <c r="G42" i="207"/>
  <c r="G40" i="207"/>
  <c r="W38" i="207" l="1"/>
  <c r="W91" i="207"/>
  <c r="J91" i="207"/>
  <c r="J84" i="207"/>
  <c r="J42" i="207"/>
  <c r="J41" i="207"/>
  <c r="J40" i="207"/>
  <c r="J38" i="207"/>
  <c r="J37" i="207"/>
  <c r="J36" i="207"/>
  <c r="J39" i="207" l="1"/>
  <c r="S118" i="147" l="1"/>
  <c r="S117" i="147"/>
  <c r="S116" i="147"/>
  <c r="S115" i="147"/>
  <c r="S114" i="147"/>
  <c r="S113" i="147"/>
  <c r="S112" i="147"/>
  <c r="S111" i="147"/>
  <c r="S110" i="147"/>
  <c r="S109" i="147"/>
  <c r="S108" i="147"/>
  <c r="S107" i="147"/>
  <c r="S106" i="147"/>
  <c r="S105" i="147"/>
  <c r="S104" i="147"/>
  <c r="S103" i="147"/>
  <c r="S102" i="147"/>
  <c r="S101" i="147"/>
  <c r="S100" i="147"/>
  <c r="S99" i="147"/>
  <c r="S98" i="147"/>
  <c r="S97" i="147"/>
  <c r="S96" i="147"/>
  <c r="S95" i="147"/>
  <c r="S94" i="147"/>
  <c r="S93" i="147"/>
  <c r="S92" i="147"/>
  <c r="S91" i="147"/>
  <c r="S90" i="147"/>
  <c r="S89" i="147"/>
  <c r="S88" i="147"/>
  <c r="S87" i="147"/>
  <c r="S86" i="147"/>
  <c r="S85" i="147"/>
  <c r="S84" i="147"/>
  <c r="S83" i="147"/>
  <c r="S82" i="147"/>
  <c r="S81" i="147"/>
  <c r="S80" i="147"/>
  <c r="S79" i="147"/>
  <c r="S78" i="147"/>
  <c r="S77" i="147"/>
  <c r="S76" i="147"/>
  <c r="S75" i="147"/>
  <c r="S74" i="147"/>
  <c r="S73" i="147"/>
  <c r="S72" i="147"/>
  <c r="S71" i="147"/>
  <c r="S70" i="147"/>
  <c r="S69" i="147"/>
  <c r="S68" i="147"/>
  <c r="S67" i="147"/>
  <c r="S66" i="147"/>
  <c r="S65" i="147"/>
  <c r="S64" i="147"/>
  <c r="S63" i="147"/>
  <c r="S62" i="147"/>
  <c r="S61" i="147"/>
  <c r="S60" i="147"/>
  <c r="S59" i="147"/>
  <c r="S58" i="147"/>
  <c r="S57" i="147"/>
  <c r="S56" i="147"/>
  <c r="S55" i="147"/>
  <c r="S54" i="147"/>
  <c r="S53" i="147"/>
  <c r="S52" i="147"/>
  <c r="S51" i="147"/>
  <c r="S50" i="147"/>
  <c r="S49" i="147"/>
  <c r="S48" i="147"/>
  <c r="S47" i="147"/>
  <c r="S46" i="147"/>
  <c r="S45" i="147"/>
  <c r="S44" i="147"/>
  <c r="S43" i="147"/>
  <c r="S42" i="147"/>
  <c r="S40" i="147"/>
  <c r="S39" i="147"/>
  <c r="S38" i="147"/>
  <c r="S37" i="147"/>
  <c r="S36" i="147"/>
  <c r="S35" i="147"/>
  <c r="S34" i="147"/>
  <c r="S33" i="147"/>
  <c r="S32" i="147"/>
  <c r="S31" i="147"/>
  <c r="S30" i="147"/>
  <c r="S29" i="147"/>
  <c r="S28" i="147"/>
  <c r="S27" i="147"/>
  <c r="S26" i="147"/>
  <c r="S25" i="147"/>
  <c r="S24" i="147"/>
  <c r="S23" i="147"/>
  <c r="S22" i="147"/>
  <c r="S21" i="147"/>
  <c r="S20" i="147"/>
  <c r="S19" i="147"/>
  <c r="S18" i="147"/>
  <c r="S17" i="147"/>
  <c r="S16" i="147"/>
  <c r="S15" i="147"/>
  <c r="S14" i="147"/>
  <c r="S13" i="147"/>
  <c r="S12" i="147"/>
  <c r="S11" i="147"/>
  <c r="S10" i="147"/>
  <c r="S9" i="147"/>
  <c r="Q9" i="147" l="1"/>
  <c r="Q118" i="147"/>
  <c r="Q117" i="147"/>
  <c r="Q116" i="147"/>
  <c r="Q115" i="147"/>
  <c r="Q114" i="147"/>
  <c r="Q113" i="147"/>
  <c r="Q112" i="147"/>
  <c r="Q111" i="147"/>
  <c r="Q110" i="147"/>
  <c r="Q109" i="147"/>
  <c r="Q108" i="147"/>
  <c r="Q107" i="147"/>
  <c r="Q106" i="147"/>
  <c r="Q105" i="147"/>
  <c r="Q104" i="147"/>
  <c r="Q103" i="147"/>
  <c r="Q102" i="147"/>
  <c r="Q101" i="147"/>
  <c r="Q100" i="147"/>
  <c r="Q98" i="147"/>
  <c r="Q97" i="147"/>
  <c r="Q96" i="147"/>
  <c r="Q95" i="147"/>
  <c r="Q94" i="147"/>
  <c r="Q93" i="147"/>
  <c r="Q92" i="147"/>
  <c r="Q91" i="147"/>
  <c r="Q90" i="147"/>
  <c r="Q89" i="147"/>
  <c r="Q88" i="147"/>
  <c r="Q87" i="147"/>
  <c r="Q86" i="147"/>
  <c r="Q85" i="147"/>
  <c r="Q84" i="147"/>
  <c r="Q83" i="147"/>
  <c r="Q82" i="147"/>
  <c r="Q81" i="147"/>
  <c r="Q80" i="147"/>
  <c r="Q79" i="147"/>
  <c r="Q78" i="147"/>
  <c r="Q77" i="147"/>
  <c r="Q76" i="147"/>
  <c r="Q75" i="147"/>
  <c r="Q74" i="147"/>
  <c r="Q73" i="147"/>
  <c r="Q72" i="147"/>
  <c r="Q71" i="147"/>
  <c r="Q70" i="147"/>
  <c r="Q69" i="147"/>
  <c r="Q68" i="147"/>
  <c r="Q67" i="147"/>
  <c r="Q66" i="147"/>
  <c r="Q65" i="147"/>
  <c r="Q64" i="147"/>
  <c r="Q63" i="147"/>
  <c r="Q62" i="147"/>
  <c r="Q61" i="147"/>
  <c r="Q60" i="147"/>
  <c r="Q59" i="147"/>
  <c r="Q58" i="147"/>
  <c r="Q56" i="147"/>
  <c r="Q55" i="147"/>
  <c r="Q54" i="147"/>
  <c r="Q53" i="147"/>
  <c r="Q51" i="147"/>
  <c r="Q50" i="147"/>
  <c r="Q49" i="147"/>
  <c r="Q48" i="147"/>
  <c r="Q47" i="147"/>
  <c r="Q46" i="147"/>
  <c r="Q45" i="147"/>
  <c r="Q44" i="147"/>
  <c r="Q43" i="147"/>
  <c r="Q42" i="147"/>
  <c r="Q40" i="147"/>
  <c r="Q39" i="147"/>
  <c r="Q38" i="147"/>
  <c r="Q37" i="147"/>
  <c r="Q36" i="147"/>
  <c r="Q35" i="147"/>
  <c r="Q34" i="147"/>
  <c r="Q33" i="147"/>
  <c r="Q32" i="147"/>
  <c r="Q31" i="147"/>
  <c r="Q30" i="147"/>
  <c r="Q29" i="147"/>
  <c r="Q28" i="147"/>
  <c r="Q27" i="147"/>
  <c r="Q26" i="147"/>
  <c r="Q25" i="147"/>
  <c r="Q24" i="147"/>
  <c r="Q23" i="147"/>
  <c r="Q22" i="147"/>
  <c r="Q21" i="147"/>
  <c r="Q20" i="147"/>
  <c r="Q19" i="147"/>
  <c r="Q18" i="147"/>
  <c r="Q17" i="147"/>
  <c r="Q16" i="147"/>
  <c r="Q15" i="147"/>
  <c r="Q14" i="147"/>
  <c r="Q13" i="147"/>
  <c r="Q12" i="147"/>
  <c r="Q11" i="147"/>
  <c r="Q10" i="147"/>
  <c r="O118" i="147"/>
  <c r="O117" i="147"/>
  <c r="O116" i="147"/>
  <c r="O115" i="147"/>
  <c r="O114" i="147"/>
  <c r="O113" i="147"/>
  <c r="O112" i="147"/>
  <c r="O111" i="147"/>
  <c r="O110" i="147"/>
  <c r="O109" i="147"/>
  <c r="O108" i="147"/>
  <c r="O107" i="147"/>
  <c r="O106" i="147"/>
  <c r="O105" i="147"/>
  <c r="O104" i="147"/>
  <c r="O103" i="147"/>
  <c r="O102" i="147"/>
  <c r="O101" i="147"/>
  <c r="O100" i="147"/>
  <c r="O98" i="147"/>
  <c r="O97" i="147"/>
  <c r="O96" i="147"/>
  <c r="O95" i="147"/>
  <c r="O94" i="147"/>
  <c r="O93" i="147"/>
  <c r="O92" i="147"/>
  <c r="O91" i="147"/>
  <c r="O90" i="147"/>
  <c r="O89" i="147"/>
  <c r="O88" i="147"/>
  <c r="O87" i="147"/>
  <c r="O86" i="147"/>
  <c r="O85" i="147"/>
  <c r="O84" i="147"/>
  <c r="O83" i="147"/>
  <c r="O82" i="147"/>
  <c r="O81" i="147"/>
  <c r="O80" i="147"/>
  <c r="O79" i="147"/>
  <c r="O78" i="147"/>
  <c r="O77" i="147"/>
  <c r="O76" i="147"/>
  <c r="O75" i="147"/>
  <c r="O74" i="147"/>
  <c r="O73" i="147"/>
  <c r="O72" i="147"/>
  <c r="O71" i="147"/>
  <c r="O70" i="147"/>
  <c r="O69" i="147"/>
  <c r="O68" i="147"/>
  <c r="O67" i="147"/>
  <c r="O66" i="147"/>
  <c r="O65" i="147"/>
  <c r="O64" i="147"/>
  <c r="O63" i="147"/>
  <c r="O62" i="147"/>
  <c r="O61" i="147"/>
  <c r="O60" i="147"/>
  <c r="O59" i="147"/>
  <c r="O58" i="147"/>
  <c r="O57" i="147"/>
  <c r="O56" i="147"/>
  <c r="O55" i="147"/>
  <c r="O54" i="147"/>
  <c r="O53" i="147"/>
  <c r="O52" i="147"/>
  <c r="O51" i="147"/>
  <c r="O50" i="147"/>
  <c r="O49" i="147"/>
  <c r="O48" i="147"/>
  <c r="O47" i="147"/>
  <c r="O46" i="147"/>
  <c r="O45" i="147"/>
  <c r="O44" i="147"/>
  <c r="O43" i="147"/>
  <c r="O42" i="147"/>
  <c r="O40" i="147"/>
  <c r="O39" i="147"/>
  <c r="O38" i="147"/>
  <c r="O37" i="147"/>
  <c r="O36" i="147"/>
  <c r="O35" i="147"/>
  <c r="O34" i="147"/>
  <c r="O33" i="147"/>
  <c r="O32" i="147"/>
  <c r="O31" i="147"/>
  <c r="O30" i="147"/>
  <c r="O29" i="147"/>
  <c r="O28" i="147"/>
  <c r="O27" i="147"/>
  <c r="O26" i="147"/>
  <c r="O25" i="147"/>
  <c r="O24" i="147"/>
  <c r="O23" i="147"/>
  <c r="O22" i="147"/>
  <c r="O21" i="147"/>
  <c r="O20" i="147"/>
  <c r="O19" i="147"/>
  <c r="O18" i="147"/>
  <c r="O17" i="147"/>
  <c r="O16" i="147"/>
  <c r="O15" i="147"/>
  <c r="O14" i="147"/>
  <c r="O13" i="147"/>
  <c r="O12" i="147"/>
  <c r="O11" i="147"/>
  <c r="O10" i="147"/>
  <c r="M118" i="147"/>
  <c r="M117" i="147"/>
  <c r="M116" i="147"/>
  <c r="M115" i="147"/>
  <c r="M114" i="147"/>
  <c r="M113" i="147"/>
  <c r="M112" i="147"/>
  <c r="M111" i="147"/>
  <c r="M110" i="147"/>
  <c r="M109" i="147"/>
  <c r="M108" i="147"/>
  <c r="M107" i="147"/>
  <c r="M106" i="147"/>
  <c r="M105" i="147"/>
  <c r="M104" i="147"/>
  <c r="M103" i="147"/>
  <c r="M102" i="147"/>
  <c r="M101" i="147"/>
  <c r="M100" i="147"/>
  <c r="M99" i="147"/>
  <c r="M98" i="147"/>
  <c r="M97" i="147"/>
  <c r="M96" i="147"/>
  <c r="M95" i="147"/>
  <c r="M94" i="147"/>
  <c r="M93" i="147"/>
  <c r="M92" i="147"/>
  <c r="M91" i="147"/>
  <c r="M90" i="147"/>
  <c r="M89" i="147"/>
  <c r="M88" i="147"/>
  <c r="M87" i="147"/>
  <c r="M86" i="147"/>
  <c r="M85" i="147"/>
  <c r="M84" i="147"/>
  <c r="M83" i="147"/>
  <c r="M82" i="147"/>
  <c r="M81" i="147"/>
  <c r="M80" i="147"/>
  <c r="M79" i="147"/>
  <c r="M78" i="147"/>
  <c r="M77" i="147"/>
  <c r="M76" i="147"/>
  <c r="M75" i="147"/>
  <c r="M74" i="147"/>
  <c r="M73" i="147"/>
  <c r="M72" i="147"/>
  <c r="M71" i="147"/>
  <c r="M70" i="147"/>
  <c r="M69" i="147"/>
  <c r="M68" i="147"/>
  <c r="M67" i="147"/>
  <c r="M66" i="147"/>
  <c r="M65" i="147"/>
  <c r="M64" i="147"/>
  <c r="M63" i="147"/>
  <c r="M62" i="147"/>
  <c r="M61" i="147"/>
  <c r="M60" i="147"/>
  <c r="M59" i="147"/>
  <c r="M58" i="147"/>
  <c r="M57" i="147"/>
  <c r="M56" i="147"/>
  <c r="M55" i="147"/>
  <c r="M54" i="147"/>
  <c r="M53" i="147"/>
  <c r="M52" i="147"/>
  <c r="M51" i="147"/>
  <c r="M50" i="147"/>
  <c r="M49" i="147"/>
  <c r="M48" i="147"/>
  <c r="M47" i="147"/>
  <c r="M46" i="147"/>
  <c r="M45" i="147"/>
  <c r="M44" i="147"/>
  <c r="M43" i="147"/>
  <c r="M42" i="147"/>
  <c r="M40" i="147"/>
  <c r="M39" i="147"/>
  <c r="M38" i="147"/>
  <c r="M37" i="147"/>
  <c r="M36" i="147"/>
  <c r="M35" i="147"/>
  <c r="M34" i="147"/>
  <c r="M33" i="147"/>
  <c r="M32" i="147"/>
  <c r="M31" i="147"/>
  <c r="M30" i="147"/>
  <c r="M29" i="147"/>
  <c r="M28" i="147"/>
  <c r="M27" i="147"/>
  <c r="M26" i="147"/>
  <c r="M25" i="147"/>
  <c r="M24" i="147"/>
  <c r="M23" i="147"/>
  <c r="M22" i="147"/>
  <c r="M21" i="147"/>
  <c r="M20" i="147"/>
  <c r="M19" i="147"/>
  <c r="M18" i="147"/>
  <c r="M17" i="147"/>
  <c r="M16" i="147"/>
  <c r="M15" i="147"/>
  <c r="M14" i="147"/>
  <c r="M13" i="147"/>
  <c r="M12" i="147"/>
  <c r="M11" i="147"/>
  <c r="M10" i="147"/>
  <c r="K118" i="147"/>
  <c r="K117" i="147"/>
  <c r="K116" i="147"/>
  <c r="K115" i="147"/>
  <c r="K114" i="147"/>
  <c r="K113" i="147"/>
  <c r="K112" i="147"/>
  <c r="K111" i="147"/>
  <c r="K110" i="147"/>
  <c r="K109" i="147"/>
  <c r="K108" i="147"/>
  <c r="K107" i="147"/>
  <c r="K106" i="147"/>
  <c r="K105" i="147"/>
  <c r="K104" i="147"/>
  <c r="K103" i="147"/>
  <c r="K102" i="147"/>
  <c r="K101" i="147"/>
  <c r="K100" i="147"/>
  <c r="K99" i="147"/>
  <c r="K98" i="147"/>
  <c r="K97" i="147"/>
  <c r="K96" i="147"/>
  <c r="K95" i="147"/>
  <c r="K94" i="147"/>
  <c r="K93" i="147"/>
  <c r="K92" i="147"/>
  <c r="K91" i="147"/>
  <c r="K90" i="147"/>
  <c r="K89" i="147"/>
  <c r="K88" i="147"/>
  <c r="K87" i="147"/>
  <c r="K86" i="147"/>
  <c r="K85" i="147"/>
  <c r="K84" i="147"/>
  <c r="K83" i="147"/>
  <c r="K82" i="147"/>
  <c r="K81" i="147"/>
  <c r="K80" i="147"/>
  <c r="K79" i="147"/>
  <c r="K78" i="147"/>
  <c r="K77" i="147"/>
  <c r="K76" i="147"/>
  <c r="K75" i="147"/>
  <c r="K74" i="147"/>
  <c r="K73" i="147"/>
  <c r="K72" i="147"/>
  <c r="K71" i="147"/>
  <c r="K70" i="147"/>
  <c r="K69" i="147"/>
  <c r="K68" i="147"/>
  <c r="K67" i="147"/>
  <c r="K66" i="147"/>
  <c r="K65" i="147"/>
  <c r="K64" i="147"/>
  <c r="K63" i="147"/>
  <c r="K62" i="147"/>
  <c r="K61" i="147"/>
  <c r="K60" i="147"/>
  <c r="K59" i="147"/>
  <c r="K58" i="147"/>
  <c r="K57" i="147"/>
  <c r="K56" i="147"/>
  <c r="K55" i="147"/>
  <c r="K54" i="147"/>
  <c r="K53" i="147"/>
  <c r="K52" i="147"/>
  <c r="K51" i="147"/>
  <c r="K50" i="147"/>
  <c r="K49" i="147"/>
  <c r="K48" i="147"/>
  <c r="K47" i="147"/>
  <c r="K46" i="147"/>
  <c r="K45" i="147"/>
  <c r="K44" i="147"/>
  <c r="K43" i="147"/>
  <c r="K42" i="147"/>
  <c r="K40" i="147"/>
  <c r="K39" i="147"/>
  <c r="K38" i="147"/>
  <c r="K37" i="147"/>
  <c r="K36" i="147"/>
  <c r="K35" i="147"/>
  <c r="K34" i="147"/>
  <c r="K33" i="147"/>
  <c r="K32" i="147"/>
  <c r="K31" i="147"/>
  <c r="K30" i="147"/>
  <c r="K29" i="147"/>
  <c r="K28" i="147"/>
  <c r="K27" i="147"/>
  <c r="K26" i="147"/>
  <c r="K25" i="147"/>
  <c r="K24" i="147"/>
  <c r="K23" i="147"/>
  <c r="K22" i="147"/>
  <c r="K21" i="147"/>
  <c r="K20" i="147"/>
  <c r="K19" i="147"/>
  <c r="K18" i="147"/>
  <c r="K17" i="147"/>
  <c r="K16" i="147"/>
  <c r="K15" i="147"/>
  <c r="K14" i="147"/>
  <c r="K13" i="147"/>
  <c r="K12" i="147"/>
  <c r="K11" i="147"/>
  <c r="K10" i="147"/>
  <c r="I118" i="147"/>
  <c r="I117" i="147"/>
  <c r="I116" i="147"/>
  <c r="I115" i="147"/>
  <c r="I114" i="147"/>
  <c r="I113" i="147"/>
  <c r="I112" i="147"/>
  <c r="I111" i="147"/>
  <c r="I110" i="147"/>
  <c r="I109" i="147"/>
  <c r="I108" i="147"/>
  <c r="I107" i="147"/>
  <c r="I106" i="147"/>
  <c r="I105" i="147"/>
  <c r="I104" i="147"/>
  <c r="I103" i="147"/>
  <c r="I102" i="147"/>
  <c r="I101" i="147"/>
  <c r="I100" i="147"/>
  <c r="I99" i="147"/>
  <c r="I98" i="147"/>
  <c r="I97" i="147"/>
  <c r="I96" i="147"/>
  <c r="I95" i="147"/>
  <c r="I94" i="147"/>
  <c r="I93" i="147"/>
  <c r="I92" i="147"/>
  <c r="I91" i="147"/>
  <c r="I90" i="147"/>
  <c r="I89" i="147"/>
  <c r="I88" i="147"/>
  <c r="I87" i="147"/>
  <c r="I86" i="147"/>
  <c r="I85" i="147"/>
  <c r="I84" i="147"/>
  <c r="I83" i="147"/>
  <c r="I82" i="147"/>
  <c r="I81" i="147"/>
  <c r="I80" i="147"/>
  <c r="I79" i="147"/>
  <c r="I78" i="147"/>
  <c r="I77" i="147"/>
  <c r="I76" i="147"/>
  <c r="I75" i="147"/>
  <c r="I74" i="147"/>
  <c r="I73" i="147"/>
  <c r="I72" i="147"/>
  <c r="I71" i="147"/>
  <c r="I70" i="147"/>
  <c r="I69" i="147"/>
  <c r="I68" i="147"/>
  <c r="I67" i="147"/>
  <c r="I66" i="147"/>
  <c r="I65" i="147"/>
  <c r="I64" i="147"/>
  <c r="I63" i="147"/>
  <c r="I62" i="147"/>
  <c r="I61" i="147"/>
  <c r="I60" i="147"/>
  <c r="I59" i="147"/>
  <c r="I58" i="147"/>
  <c r="I57" i="147"/>
  <c r="I56" i="147"/>
  <c r="I55" i="147"/>
  <c r="I54" i="147"/>
  <c r="I53" i="147"/>
  <c r="I52" i="147"/>
  <c r="I51" i="147"/>
  <c r="I50" i="147"/>
  <c r="I49" i="147"/>
  <c r="I48" i="147"/>
  <c r="I47" i="147"/>
  <c r="I46" i="147"/>
  <c r="I45" i="147"/>
  <c r="I44" i="147"/>
  <c r="I43" i="147"/>
  <c r="I42" i="147"/>
  <c r="I40" i="147"/>
  <c r="I39" i="147"/>
  <c r="I38" i="147"/>
  <c r="I37" i="147"/>
  <c r="I36" i="147"/>
  <c r="I35" i="147"/>
  <c r="I34" i="147"/>
  <c r="I33" i="147"/>
  <c r="I32" i="147"/>
  <c r="I31" i="147"/>
  <c r="I30" i="147"/>
  <c r="I29" i="147"/>
  <c r="I28" i="147"/>
  <c r="I27" i="147"/>
  <c r="I26" i="147"/>
  <c r="I25" i="147"/>
  <c r="I24" i="147"/>
  <c r="I23" i="147"/>
  <c r="I22" i="147"/>
  <c r="I21" i="147"/>
  <c r="I20" i="147"/>
  <c r="I19" i="147"/>
  <c r="I18" i="147"/>
  <c r="I17" i="147"/>
  <c r="I16" i="147"/>
  <c r="I15" i="147"/>
  <c r="I14" i="147"/>
  <c r="I13" i="147"/>
  <c r="I12" i="147"/>
  <c r="I11" i="147"/>
  <c r="I10" i="147"/>
  <c r="G118" i="147"/>
  <c r="G117" i="147"/>
  <c r="G116" i="147"/>
  <c r="G115" i="147"/>
  <c r="G114" i="147"/>
  <c r="G113" i="147"/>
  <c r="G112" i="147"/>
  <c r="G111" i="147"/>
  <c r="G110" i="147"/>
  <c r="G109" i="147"/>
  <c r="G108" i="147"/>
  <c r="G107" i="147"/>
  <c r="G106" i="147"/>
  <c r="G105" i="147"/>
  <c r="G104" i="147"/>
  <c r="G103" i="147"/>
  <c r="G102" i="147"/>
  <c r="G101" i="147"/>
  <c r="G100" i="147"/>
  <c r="G99" i="147"/>
  <c r="G98" i="147"/>
  <c r="G97" i="147"/>
  <c r="G96" i="147"/>
  <c r="G95" i="147"/>
  <c r="G94" i="147"/>
  <c r="G93" i="147"/>
  <c r="G92" i="147"/>
  <c r="G91" i="147"/>
  <c r="G90" i="147"/>
  <c r="G89" i="147"/>
  <c r="G88" i="147"/>
  <c r="G87" i="147"/>
  <c r="G86" i="147"/>
  <c r="G85" i="147"/>
  <c r="G84" i="147"/>
  <c r="G83" i="147"/>
  <c r="G82" i="147"/>
  <c r="G81" i="147"/>
  <c r="G80" i="147"/>
  <c r="G79" i="147"/>
  <c r="G78" i="147"/>
  <c r="G77" i="147"/>
  <c r="G76" i="147"/>
  <c r="G75" i="147"/>
  <c r="G74" i="147"/>
  <c r="G73" i="147"/>
  <c r="G72" i="147"/>
  <c r="G71" i="147"/>
  <c r="G70" i="147"/>
  <c r="G69" i="147"/>
  <c r="G68" i="147"/>
  <c r="G67" i="147"/>
  <c r="G66" i="147"/>
  <c r="G65" i="147"/>
  <c r="G64" i="147"/>
  <c r="G63" i="147"/>
  <c r="G62" i="147"/>
  <c r="G61" i="147"/>
  <c r="G60" i="147"/>
  <c r="G59" i="147"/>
  <c r="G58" i="147"/>
  <c r="G57" i="147"/>
  <c r="G56" i="147"/>
  <c r="G55" i="147"/>
  <c r="G54" i="147"/>
  <c r="G53" i="147"/>
  <c r="G52" i="147"/>
  <c r="G51" i="147"/>
  <c r="G50" i="147"/>
  <c r="G49" i="147"/>
  <c r="G48" i="147"/>
  <c r="G47" i="147"/>
  <c r="G46" i="147"/>
  <c r="G45" i="147"/>
  <c r="G44" i="147"/>
  <c r="G43" i="147"/>
  <c r="G42" i="147"/>
  <c r="G40" i="147"/>
  <c r="G39" i="147"/>
  <c r="G38" i="147"/>
  <c r="G37" i="147"/>
  <c r="G36" i="147"/>
  <c r="G35" i="147"/>
  <c r="G34" i="147"/>
  <c r="G33" i="147"/>
  <c r="G32" i="147"/>
  <c r="G31" i="147"/>
  <c r="G30" i="147"/>
  <c r="G29" i="147"/>
  <c r="G28" i="147"/>
  <c r="G27" i="147"/>
  <c r="G26" i="147"/>
  <c r="G25" i="147"/>
  <c r="G24" i="147"/>
  <c r="G23" i="147"/>
  <c r="G22" i="147"/>
  <c r="G21" i="147"/>
  <c r="G20" i="147"/>
  <c r="G19" i="147"/>
  <c r="G18" i="147"/>
  <c r="G17" i="147"/>
  <c r="G16" i="147"/>
  <c r="G15" i="147"/>
  <c r="G14" i="147"/>
  <c r="G13" i="147"/>
  <c r="G12" i="147"/>
  <c r="G11" i="147"/>
  <c r="G10" i="147"/>
  <c r="O9" i="147"/>
  <c r="G9" i="147"/>
  <c r="I9" i="147"/>
  <c r="K9" i="147"/>
  <c r="M9" i="147"/>
  <c r="P52" i="147" l="1"/>
  <c r="Q52" i="147" s="1"/>
  <c r="P57" i="147"/>
  <c r="Q57" i="147" s="1"/>
  <c r="P99" i="147"/>
  <c r="Q99" i="147" s="1"/>
  <c r="N99" i="147" l="1"/>
  <c r="O99" i="147" s="1"/>
  <c r="D110" i="147"/>
  <c r="C110" i="147"/>
  <c r="B110" i="147"/>
  <c r="D109" i="147"/>
  <c r="C109" i="147"/>
  <c r="B109" i="147"/>
  <c r="D108" i="147"/>
  <c r="C108" i="147"/>
  <c r="B108" i="147"/>
  <c r="W110" i="207"/>
  <c r="E110" i="207" s="1"/>
  <c r="J110" i="207" s="1"/>
  <c r="W109" i="207"/>
  <c r="E109" i="207" s="1"/>
  <c r="J109" i="207" s="1"/>
  <c r="W108" i="207"/>
  <c r="E108" i="207" s="1"/>
  <c r="J108" i="207" s="1"/>
  <c r="T46" i="207" l="1"/>
  <c r="W46" i="207" s="1"/>
  <c r="D91" i="147"/>
  <c r="C91" i="147"/>
  <c r="B91" i="147"/>
  <c r="E91" i="147" l="1"/>
  <c r="U91" i="147" s="1"/>
  <c r="X91" i="147" l="1"/>
  <c r="W91" i="147"/>
  <c r="V91" i="147"/>
  <c r="Z91" i="147" s="1"/>
  <c r="F91" i="207" s="1"/>
  <c r="G91" i="207" l="1"/>
  <c r="L91" i="207"/>
  <c r="M91" i="207" s="1"/>
  <c r="Y91" i="147"/>
  <c r="N91" i="207" l="1"/>
  <c r="Q44" i="207"/>
  <c r="D38" i="147" l="1"/>
  <c r="C38" i="147"/>
  <c r="B38" i="147"/>
  <c r="D37" i="147"/>
  <c r="C37" i="147"/>
  <c r="B37" i="147"/>
  <c r="D36" i="147"/>
  <c r="C36" i="147"/>
  <c r="B36" i="147"/>
  <c r="D35" i="147"/>
  <c r="C35" i="147"/>
  <c r="B35" i="147"/>
  <c r="D34" i="147"/>
  <c r="C34" i="147"/>
  <c r="B34" i="147"/>
  <c r="D33" i="147"/>
  <c r="C33" i="147"/>
  <c r="B33" i="147"/>
  <c r="D32" i="147"/>
  <c r="C32" i="147"/>
  <c r="B32" i="147"/>
  <c r="D31" i="147"/>
  <c r="C31" i="147"/>
  <c r="B31" i="147"/>
  <c r="D30" i="147"/>
  <c r="C30" i="147"/>
  <c r="B30" i="147"/>
  <c r="Q12" i="207"/>
  <c r="W12" i="207" s="1"/>
  <c r="E12" i="207" s="1"/>
  <c r="J12" i="207" s="1"/>
  <c r="D10" i="147"/>
  <c r="C10" i="147"/>
  <c r="B10" i="147"/>
  <c r="D24" i="147"/>
  <c r="C24" i="147"/>
  <c r="B24" i="147"/>
  <c r="D23" i="147"/>
  <c r="C23" i="147"/>
  <c r="B23" i="147"/>
  <c r="D22" i="147"/>
  <c r="C22" i="147"/>
  <c r="B22" i="147"/>
  <c r="D21" i="147"/>
  <c r="C21" i="147"/>
  <c r="B21" i="147"/>
  <c r="D20" i="147"/>
  <c r="C20" i="147"/>
  <c r="B20" i="147"/>
  <c r="D19" i="147"/>
  <c r="C19" i="147"/>
  <c r="B19" i="147"/>
  <c r="D18" i="147"/>
  <c r="C18" i="147"/>
  <c r="B18" i="147"/>
  <c r="D17" i="147"/>
  <c r="C17" i="147"/>
  <c r="B17" i="147"/>
  <c r="D16" i="147"/>
  <c r="C16" i="147"/>
  <c r="B16" i="147"/>
  <c r="D15" i="147"/>
  <c r="C15" i="147"/>
  <c r="B15" i="147"/>
  <c r="D118" i="147"/>
  <c r="C118" i="147"/>
  <c r="B118" i="147"/>
  <c r="D117" i="147"/>
  <c r="C117" i="147"/>
  <c r="B117" i="147"/>
  <c r="D116" i="147"/>
  <c r="C116" i="147"/>
  <c r="B116" i="147"/>
  <c r="D115" i="147"/>
  <c r="C115" i="147"/>
  <c r="B115" i="147"/>
  <c r="D114" i="147"/>
  <c r="C114" i="147"/>
  <c r="B114" i="147"/>
  <c r="D113" i="147"/>
  <c r="C113" i="147"/>
  <c r="B113" i="147"/>
  <c r="D112" i="147"/>
  <c r="C112" i="147"/>
  <c r="B112" i="147"/>
  <c r="D111" i="147"/>
  <c r="C111" i="147"/>
  <c r="B111" i="147"/>
  <c r="D107" i="147"/>
  <c r="C107" i="147"/>
  <c r="B107" i="147"/>
  <c r="D106" i="147"/>
  <c r="C106" i="147"/>
  <c r="B106" i="147"/>
  <c r="D105" i="147"/>
  <c r="C105" i="147"/>
  <c r="B105" i="147"/>
  <c r="D104" i="147"/>
  <c r="C104" i="147"/>
  <c r="B104" i="147"/>
  <c r="D103" i="147"/>
  <c r="C103" i="147"/>
  <c r="B103" i="147"/>
  <c r="D102" i="147"/>
  <c r="C102" i="147"/>
  <c r="B102" i="147"/>
  <c r="D101" i="147"/>
  <c r="C101" i="147"/>
  <c r="B101" i="147"/>
  <c r="D100" i="147"/>
  <c r="C100" i="147"/>
  <c r="B100" i="147"/>
  <c r="D99" i="147"/>
  <c r="C99" i="147"/>
  <c r="B99" i="147"/>
  <c r="D98" i="147"/>
  <c r="C98" i="147"/>
  <c r="B98" i="147"/>
  <c r="D97" i="147"/>
  <c r="C97" i="147"/>
  <c r="B97" i="147"/>
  <c r="D96" i="147"/>
  <c r="C96" i="147"/>
  <c r="B96" i="147"/>
  <c r="D95" i="147"/>
  <c r="C95" i="147"/>
  <c r="B95" i="147"/>
  <c r="D94" i="147"/>
  <c r="C94" i="147"/>
  <c r="B94" i="147"/>
  <c r="D93" i="147"/>
  <c r="C93" i="147"/>
  <c r="B93" i="147"/>
  <c r="D92" i="147"/>
  <c r="C92" i="147"/>
  <c r="B92" i="147"/>
  <c r="D90" i="147"/>
  <c r="C90" i="147"/>
  <c r="B90" i="147"/>
  <c r="D89" i="147"/>
  <c r="C89" i="147"/>
  <c r="B89" i="147"/>
  <c r="D88" i="147"/>
  <c r="C88" i="147"/>
  <c r="B88" i="147"/>
  <c r="D87" i="147"/>
  <c r="C87" i="147"/>
  <c r="B87" i="147"/>
  <c r="D86" i="147"/>
  <c r="C86" i="147"/>
  <c r="B86" i="147"/>
  <c r="D85" i="147"/>
  <c r="C85" i="147"/>
  <c r="B85" i="147"/>
  <c r="D84" i="147"/>
  <c r="C84" i="147"/>
  <c r="B84" i="147"/>
  <c r="D83" i="147"/>
  <c r="C83" i="147"/>
  <c r="B83" i="147"/>
  <c r="D82" i="147"/>
  <c r="C82" i="147"/>
  <c r="B82" i="147"/>
  <c r="D81" i="147"/>
  <c r="C81" i="147"/>
  <c r="B81" i="147"/>
  <c r="D80" i="147"/>
  <c r="C80" i="147"/>
  <c r="B80" i="147"/>
  <c r="D79" i="147"/>
  <c r="C79" i="147"/>
  <c r="B79" i="147"/>
  <c r="D78" i="147"/>
  <c r="C78" i="147"/>
  <c r="B78" i="147"/>
  <c r="D77" i="147"/>
  <c r="C77" i="147"/>
  <c r="B77" i="147"/>
  <c r="D76" i="147"/>
  <c r="C76" i="147"/>
  <c r="B76" i="147"/>
  <c r="D75" i="147"/>
  <c r="C75" i="147"/>
  <c r="B75" i="147"/>
  <c r="D74" i="147"/>
  <c r="C74" i="147"/>
  <c r="B74" i="147"/>
  <c r="D73" i="147"/>
  <c r="C73" i="147"/>
  <c r="B73" i="147"/>
  <c r="D72" i="147"/>
  <c r="C72" i="147"/>
  <c r="B72" i="147"/>
  <c r="D71" i="147"/>
  <c r="C71" i="147"/>
  <c r="B71" i="147"/>
  <c r="D70" i="147"/>
  <c r="C70" i="147"/>
  <c r="B70" i="147"/>
  <c r="D69" i="147"/>
  <c r="C69" i="147"/>
  <c r="B69" i="147"/>
  <c r="D68" i="147"/>
  <c r="C68" i="147"/>
  <c r="B68" i="147"/>
  <c r="D67" i="147"/>
  <c r="C67" i="147"/>
  <c r="B67" i="147"/>
  <c r="D66" i="147"/>
  <c r="C66" i="147"/>
  <c r="B66" i="147"/>
  <c r="D65" i="147"/>
  <c r="C65" i="147"/>
  <c r="B65" i="147"/>
  <c r="D64" i="147"/>
  <c r="C64" i="147"/>
  <c r="B64" i="147"/>
  <c r="D63" i="147"/>
  <c r="C63" i="147"/>
  <c r="B63" i="147"/>
  <c r="D62" i="147"/>
  <c r="C62" i="147"/>
  <c r="B62" i="147"/>
  <c r="D61" i="147"/>
  <c r="C61" i="147"/>
  <c r="B61" i="147"/>
  <c r="D60" i="147"/>
  <c r="C60" i="147"/>
  <c r="B60" i="147"/>
  <c r="D59" i="147"/>
  <c r="C59" i="147"/>
  <c r="B59" i="147"/>
  <c r="D58" i="147"/>
  <c r="C58" i="147"/>
  <c r="B58" i="147"/>
  <c r="D57" i="147"/>
  <c r="C57" i="147"/>
  <c r="B57" i="147"/>
  <c r="D56" i="147"/>
  <c r="C56" i="147"/>
  <c r="B56" i="147"/>
  <c r="D55" i="147"/>
  <c r="C55" i="147"/>
  <c r="B55" i="147"/>
  <c r="D54" i="147"/>
  <c r="C54" i="147"/>
  <c r="B54" i="147"/>
  <c r="D53" i="147"/>
  <c r="C53" i="147"/>
  <c r="B53" i="147"/>
  <c r="D52" i="147"/>
  <c r="C52" i="147"/>
  <c r="B52" i="147"/>
  <c r="D51" i="147"/>
  <c r="C51" i="147"/>
  <c r="B51" i="147"/>
  <c r="D50" i="147"/>
  <c r="C50" i="147"/>
  <c r="B50" i="147"/>
  <c r="D49" i="147"/>
  <c r="C49" i="147"/>
  <c r="B49" i="147"/>
  <c r="D48" i="147"/>
  <c r="C48" i="147"/>
  <c r="B48" i="147"/>
  <c r="D47" i="147"/>
  <c r="C47" i="147"/>
  <c r="B47" i="147"/>
  <c r="D46" i="147"/>
  <c r="C46" i="147"/>
  <c r="B46" i="147"/>
  <c r="D45" i="147"/>
  <c r="C45" i="147"/>
  <c r="B45" i="147"/>
  <c r="D44" i="147"/>
  <c r="C44" i="147"/>
  <c r="B44" i="147"/>
  <c r="D9" i="147"/>
  <c r="C9" i="147"/>
  <c r="B9" i="147"/>
  <c r="D8" i="147"/>
  <c r="C8" i="147"/>
  <c r="B8" i="147"/>
  <c r="AB18" i="176" l="1"/>
  <c r="X18" i="176"/>
  <c r="T18" i="176"/>
  <c r="P18" i="176"/>
  <c r="L18" i="176"/>
  <c r="H18" i="176"/>
  <c r="D18" i="176"/>
  <c r="C18" i="176"/>
  <c r="B18" i="176"/>
  <c r="A18" i="176"/>
  <c r="W73" i="207"/>
  <c r="E73" i="207" s="1"/>
  <c r="J73" i="207" s="1"/>
  <c r="CB18" i="176" l="1"/>
  <c r="CD18" i="176" s="1"/>
  <c r="E100" i="207" s="1"/>
  <c r="J100" i="207" s="1"/>
  <c r="W60" i="207"/>
  <c r="E60" i="207" s="1"/>
  <c r="J60" i="207" s="1"/>
  <c r="W77" i="207"/>
  <c r="E77" i="207" s="1"/>
  <c r="J77" i="207" s="1"/>
  <c r="W107" i="207"/>
  <c r="E107" i="207" s="1"/>
  <c r="J107" i="207" s="1"/>
  <c r="W106" i="207"/>
  <c r="E106" i="207" s="1"/>
  <c r="J106" i="207" s="1"/>
  <c r="W105" i="207"/>
  <c r="E105" i="207" s="1"/>
  <c r="J105" i="207" s="1"/>
  <c r="W118" i="207"/>
  <c r="E118" i="207" s="1"/>
  <c r="J118" i="207" s="1"/>
  <c r="W117" i="207"/>
  <c r="E117" i="207" s="1"/>
  <c r="J117" i="207" s="1"/>
  <c r="W69" i="207"/>
  <c r="E69" i="207" s="1"/>
  <c r="J69" i="207" s="1"/>
  <c r="W72" i="207"/>
  <c r="E72" i="207" s="1"/>
  <c r="J72" i="207" s="1"/>
  <c r="W71" i="207"/>
  <c r="E71" i="207" s="1"/>
  <c r="J71" i="207" s="1"/>
  <c r="U68" i="207"/>
  <c r="W70" i="207"/>
  <c r="E70" i="207" s="1"/>
  <c r="J70" i="207" s="1"/>
  <c r="J116" i="207" l="1"/>
  <c r="E117" i="147"/>
  <c r="E118" i="147"/>
  <c r="X118" i="147" l="1"/>
  <c r="W118" i="147"/>
  <c r="U118" i="147"/>
  <c r="V118" i="147" s="1"/>
  <c r="U117" i="147"/>
  <c r="X117" i="147"/>
  <c r="W117" i="147"/>
  <c r="L111" i="207"/>
  <c r="M111" i="207" s="1"/>
  <c r="L101" i="207"/>
  <c r="M101" i="207" s="1"/>
  <c r="L92" i="207"/>
  <c r="M92" i="207" s="1"/>
  <c r="L78" i="207"/>
  <c r="M78" i="207" s="1"/>
  <c r="L74" i="207"/>
  <c r="M74" i="207" s="1"/>
  <c r="L66" i="207"/>
  <c r="M66" i="207" s="1"/>
  <c r="L64" i="207"/>
  <c r="M64" i="207" s="1"/>
  <c r="L61" i="207"/>
  <c r="M61" i="207" s="1"/>
  <c r="L50" i="207"/>
  <c r="M50" i="207" s="1"/>
  <c r="L47" i="207"/>
  <c r="M47" i="207" s="1"/>
  <c r="L45" i="207"/>
  <c r="M45" i="207" s="1"/>
  <c r="L43" i="207"/>
  <c r="M43" i="207" s="1"/>
  <c r="L42" i="207"/>
  <c r="M42" i="207" s="1"/>
  <c r="L41" i="207"/>
  <c r="M41" i="207" s="1"/>
  <c r="L40" i="207"/>
  <c r="M40" i="207" s="1"/>
  <c r="N40" i="207" s="1"/>
  <c r="L39" i="207"/>
  <c r="M39" i="207" s="1"/>
  <c r="L28" i="207"/>
  <c r="M28" i="207" s="1"/>
  <c r="L25" i="207"/>
  <c r="M25" i="207" s="1"/>
  <c r="Z118" i="147" l="1"/>
  <c r="F118" i="207" s="1"/>
  <c r="Y118" i="147"/>
  <c r="V117" i="147"/>
  <c r="Z117" i="147" s="1"/>
  <c r="F117" i="207" s="1"/>
  <c r="G118" i="207" l="1"/>
  <c r="L118" i="207"/>
  <c r="M118" i="207" s="1"/>
  <c r="G117" i="207"/>
  <c r="L117" i="207"/>
  <c r="M117" i="207" s="1"/>
  <c r="Y117" i="147"/>
  <c r="G116" i="207" l="1"/>
  <c r="N118" i="207"/>
  <c r="N117" i="207"/>
  <c r="W90" i="207" l="1"/>
  <c r="W89" i="207"/>
  <c r="W88" i="207"/>
  <c r="W86" i="207"/>
  <c r="W79" i="207"/>
  <c r="W24" i="207"/>
  <c r="W18" i="207"/>
  <c r="W17" i="207"/>
  <c r="W11" i="207"/>
  <c r="W10" i="207"/>
  <c r="W9" i="207"/>
  <c r="W59" i="207"/>
  <c r="U56" i="207"/>
  <c r="W56" i="207" s="1"/>
  <c r="E56" i="207" s="1"/>
  <c r="J56" i="207" s="1"/>
  <c r="S103" i="207" l="1"/>
  <c r="W103" i="207" s="1"/>
  <c r="E103" i="207" s="1"/>
  <c r="J103" i="207" s="1"/>
  <c r="Q102" i="207"/>
  <c r="CD20" i="176"/>
  <c r="AF17" i="176" l="1"/>
  <c r="D17" i="176"/>
  <c r="O12" i="176"/>
  <c r="K12" i="176"/>
  <c r="AI9" i="176"/>
  <c r="O9" i="176"/>
  <c r="K9" i="176"/>
  <c r="C9" i="176"/>
  <c r="B9" i="176"/>
  <c r="A9" i="176"/>
  <c r="CB9" i="176" l="1"/>
  <c r="CD9" i="176" s="1"/>
  <c r="AI13" i="176"/>
  <c r="AH19" i="176"/>
  <c r="AH17" i="176"/>
  <c r="AI16" i="176"/>
  <c r="AH16" i="176"/>
  <c r="AI15" i="176"/>
  <c r="AH15" i="176"/>
  <c r="AH14" i="176"/>
  <c r="AH13" i="176"/>
  <c r="AI12" i="176"/>
  <c r="AH12" i="176"/>
  <c r="AI11" i="176"/>
  <c r="AH11" i="176"/>
  <c r="AH10" i="176"/>
  <c r="AH8" i="176"/>
  <c r="AI7" i="176"/>
  <c r="AH7" i="176"/>
  <c r="T87" i="207"/>
  <c r="W87" i="207" s="1"/>
  <c r="E68" i="207" l="1"/>
  <c r="J68" i="207" s="1"/>
  <c r="E23" i="207"/>
  <c r="J23" i="207" s="1"/>
  <c r="E89" i="147"/>
  <c r="E88" i="147"/>
  <c r="E87" i="147"/>
  <c r="X88" i="147" l="1"/>
  <c r="W88" i="147"/>
  <c r="U88" i="147"/>
  <c r="V88" i="147" s="1"/>
  <c r="X89" i="147"/>
  <c r="W89" i="147"/>
  <c r="U89" i="147"/>
  <c r="V89" i="147" s="1"/>
  <c r="U87" i="147"/>
  <c r="V87" i="147" s="1"/>
  <c r="W87" i="147"/>
  <c r="X87" i="147"/>
  <c r="E90" i="147"/>
  <c r="Z87" i="147" l="1"/>
  <c r="F87" i="207" s="1"/>
  <c r="Y87" i="147"/>
  <c r="Y88" i="147"/>
  <c r="Z88" i="147"/>
  <c r="F88" i="207" s="1"/>
  <c r="Z89" i="147"/>
  <c r="F89" i="207" s="1"/>
  <c r="Y89" i="147"/>
  <c r="W90" i="147"/>
  <c r="U90" i="147"/>
  <c r="X90" i="147"/>
  <c r="L88" i="207" l="1"/>
  <c r="L89" i="207"/>
  <c r="L87" i="207"/>
  <c r="V90" i="147"/>
  <c r="Z90" i="147" l="1"/>
  <c r="F90" i="207" s="1"/>
  <c r="Y90" i="147"/>
  <c r="L90" i="207" l="1"/>
  <c r="W68" i="207"/>
  <c r="U22" i="207" l="1"/>
  <c r="W22" i="207" s="1"/>
  <c r="W37" i="207" l="1"/>
  <c r="W36" i="207"/>
  <c r="E87" i="207" l="1"/>
  <c r="C15" i="224"/>
  <c r="AM8" i="176"/>
  <c r="D33" i="224"/>
  <c r="B33" i="224" s="1"/>
  <c r="B32" i="224"/>
  <c r="J87" i="207" l="1"/>
  <c r="G87" i="207"/>
  <c r="M87" i="207"/>
  <c r="Q14" i="207"/>
  <c r="W14" i="207" s="1"/>
  <c r="N87" i="207" l="1"/>
  <c r="BL17" i="176"/>
  <c r="BN17" i="176" s="1"/>
  <c r="BT16" i="176"/>
  <c r="C17" i="176"/>
  <c r="B17" i="176"/>
  <c r="A17" i="176"/>
  <c r="C16" i="176"/>
  <c r="B16" i="176"/>
  <c r="A16" i="176"/>
  <c r="BP15" i="176"/>
  <c r="BR15" i="176" s="1"/>
  <c r="BZ17" i="176"/>
  <c r="BZ16" i="176"/>
  <c r="BZ15" i="176"/>
  <c r="BZ14" i="176"/>
  <c r="BZ13" i="176"/>
  <c r="BZ12" i="176"/>
  <c r="BZ11" i="176"/>
  <c r="BZ10" i="176"/>
  <c r="BZ8" i="176"/>
  <c r="BZ7" i="176"/>
  <c r="BV19" i="176"/>
  <c r="BV17" i="176"/>
  <c r="BV16" i="176"/>
  <c r="BV15" i="176"/>
  <c r="BV14" i="176"/>
  <c r="BV13" i="176"/>
  <c r="BV12" i="176"/>
  <c r="BV11" i="176"/>
  <c r="BV10" i="176"/>
  <c r="BV8" i="176"/>
  <c r="BV7" i="176"/>
  <c r="BR19" i="176"/>
  <c r="BR17" i="176"/>
  <c r="BR16" i="176"/>
  <c r="BR14" i="176"/>
  <c r="BR13" i="176"/>
  <c r="BR12" i="176"/>
  <c r="BR11" i="176"/>
  <c r="BR10" i="176"/>
  <c r="BR8" i="176"/>
  <c r="BR7" i="176"/>
  <c r="BN19" i="176"/>
  <c r="BN16" i="176"/>
  <c r="BN15" i="176"/>
  <c r="BN14" i="176"/>
  <c r="BN13" i="176"/>
  <c r="BN12" i="176"/>
  <c r="BN11" i="176"/>
  <c r="BN10" i="176"/>
  <c r="BN8" i="176"/>
  <c r="BN7" i="176"/>
  <c r="BJ19" i="176"/>
  <c r="BJ17" i="176"/>
  <c r="BJ16" i="176"/>
  <c r="BJ15" i="176"/>
  <c r="BJ14" i="176"/>
  <c r="BJ13" i="176"/>
  <c r="BJ12" i="176"/>
  <c r="BJ11" i="176"/>
  <c r="BJ10" i="176"/>
  <c r="BJ8" i="176"/>
  <c r="BJ7" i="176"/>
  <c r="BF19" i="176"/>
  <c r="BF17" i="176"/>
  <c r="BF16" i="176"/>
  <c r="BF15" i="176"/>
  <c r="BF14" i="176"/>
  <c r="BF13" i="176"/>
  <c r="BF12" i="176"/>
  <c r="BF11" i="176"/>
  <c r="BF10" i="176"/>
  <c r="BF8" i="176"/>
  <c r="BF7" i="176"/>
  <c r="BB19" i="176"/>
  <c r="BB17" i="176"/>
  <c r="BB16" i="176"/>
  <c r="BB15" i="176"/>
  <c r="BB14" i="176"/>
  <c r="BB13" i="176"/>
  <c r="BB12" i="176"/>
  <c r="BB11" i="176"/>
  <c r="BB10" i="176"/>
  <c r="BB8" i="176"/>
  <c r="BB7" i="176"/>
  <c r="AX19" i="176"/>
  <c r="AX17" i="176"/>
  <c r="AX16" i="176"/>
  <c r="AX15" i="176"/>
  <c r="AX14" i="176"/>
  <c r="AX13" i="176"/>
  <c r="AX12" i="176"/>
  <c r="AX11" i="176"/>
  <c r="AX10" i="176"/>
  <c r="AX8" i="176"/>
  <c r="AX7" i="176"/>
  <c r="AT19" i="176"/>
  <c r="AT17" i="176"/>
  <c r="AT16" i="176"/>
  <c r="AT15" i="176"/>
  <c r="AT14" i="176"/>
  <c r="AT13" i="176"/>
  <c r="AT12" i="176"/>
  <c r="AT11" i="176"/>
  <c r="AT10" i="176"/>
  <c r="AT8" i="176"/>
  <c r="AT7" i="176"/>
  <c r="AP19" i="176"/>
  <c r="AP17" i="176"/>
  <c r="AP16" i="176"/>
  <c r="AP15" i="176"/>
  <c r="AP14" i="176"/>
  <c r="AP13" i="176"/>
  <c r="AP12" i="176"/>
  <c r="AP11" i="176"/>
  <c r="AP10" i="176"/>
  <c r="AP8" i="176"/>
  <c r="AP7" i="176"/>
  <c r="AL19" i="176"/>
  <c r="AL17" i="176"/>
  <c r="AL16" i="176"/>
  <c r="AL15" i="176"/>
  <c r="AL14" i="176"/>
  <c r="AL13" i="176"/>
  <c r="AL12" i="176"/>
  <c r="AL11" i="176"/>
  <c r="AL10" i="176"/>
  <c r="AL8" i="176"/>
  <c r="AL7" i="176"/>
  <c r="AD19" i="176"/>
  <c r="AD17" i="176"/>
  <c r="AD16" i="176"/>
  <c r="AD15" i="176"/>
  <c r="AD14" i="176"/>
  <c r="AD13" i="176"/>
  <c r="AD11" i="176"/>
  <c r="AD10" i="176"/>
  <c r="AD8" i="176"/>
  <c r="AD7" i="176"/>
  <c r="Z19" i="176"/>
  <c r="Z17" i="176"/>
  <c r="Z16" i="176"/>
  <c r="Z15" i="176"/>
  <c r="Z14" i="176"/>
  <c r="Z13" i="176"/>
  <c r="Z11" i="176"/>
  <c r="Z10" i="176"/>
  <c r="Z8" i="176"/>
  <c r="Z7" i="176"/>
  <c r="V19" i="176"/>
  <c r="V17" i="176"/>
  <c r="V16" i="176"/>
  <c r="V15" i="176"/>
  <c r="V14" i="176"/>
  <c r="V13" i="176"/>
  <c r="V10" i="176"/>
  <c r="V8" i="176"/>
  <c r="V7" i="176"/>
  <c r="R19" i="176"/>
  <c r="R17" i="176"/>
  <c r="R16" i="176"/>
  <c r="R15" i="176"/>
  <c r="R14" i="176"/>
  <c r="R13" i="176"/>
  <c r="R11" i="176"/>
  <c r="R10" i="176"/>
  <c r="R8" i="176"/>
  <c r="R7" i="176"/>
  <c r="N19" i="176"/>
  <c r="N17" i="176"/>
  <c r="N16" i="176"/>
  <c r="N15" i="176"/>
  <c r="N14" i="176"/>
  <c r="N13" i="176"/>
  <c r="N10" i="176"/>
  <c r="N8" i="176"/>
  <c r="J19" i="176"/>
  <c r="J17" i="176"/>
  <c r="J16" i="176"/>
  <c r="J15" i="176"/>
  <c r="J14" i="176"/>
  <c r="J13" i="176"/>
  <c r="J11" i="176"/>
  <c r="J10" i="176"/>
  <c r="J8" i="176"/>
  <c r="J7" i="176"/>
  <c r="F19" i="176"/>
  <c r="F17" i="176"/>
  <c r="F16" i="176"/>
  <c r="F15" i="176"/>
  <c r="F14" i="176"/>
  <c r="F13" i="176"/>
  <c r="F11" i="176"/>
  <c r="F10" i="176"/>
  <c r="F8" i="176"/>
  <c r="F7" i="176"/>
  <c r="C28" i="224"/>
  <c r="B35" i="224"/>
  <c r="CA14" i="176"/>
  <c r="CA12" i="176"/>
  <c r="CA11" i="176"/>
  <c r="CA8" i="176"/>
  <c r="CA7" i="176"/>
  <c r="BW14" i="176"/>
  <c r="BW12" i="176"/>
  <c r="BW11" i="176"/>
  <c r="BW8" i="176"/>
  <c r="BW7" i="176"/>
  <c r="C15" i="176"/>
  <c r="B15" i="176"/>
  <c r="A15" i="176"/>
  <c r="BO13" i="176"/>
  <c r="BS12" i="176"/>
  <c r="BO8" i="176"/>
  <c r="BO14" i="176"/>
  <c r="BO12" i="176"/>
  <c r="BO11" i="176"/>
  <c r="BO7" i="176"/>
  <c r="AQ14" i="176"/>
  <c r="AU14" i="176"/>
  <c r="C14" i="176"/>
  <c r="B14" i="176"/>
  <c r="A14" i="176"/>
  <c r="BK13" i="176"/>
  <c r="BG13" i="176"/>
  <c r="BC13" i="176"/>
  <c r="AY13" i="176"/>
  <c r="AM13" i="176"/>
  <c r="AQ8" i="176"/>
  <c r="AQ12" i="176"/>
  <c r="AQ11" i="176"/>
  <c r="AQ7" i="176"/>
  <c r="C13" i="176"/>
  <c r="B13" i="176"/>
  <c r="A13" i="176"/>
  <c r="C12" i="176"/>
  <c r="B12" i="176"/>
  <c r="A12" i="176"/>
  <c r="C11" i="176"/>
  <c r="C8" i="176"/>
  <c r="C7" i="176"/>
  <c r="AB12" i="176"/>
  <c r="AD12" i="176" s="1"/>
  <c r="X12" i="176"/>
  <c r="Z12" i="176" s="1"/>
  <c r="T12" i="176"/>
  <c r="V12" i="176" s="1"/>
  <c r="P12" i="176"/>
  <c r="R12" i="176" s="1"/>
  <c r="L12" i="176"/>
  <c r="N12" i="176" s="1"/>
  <c r="H12" i="176"/>
  <c r="J12" i="176" s="1"/>
  <c r="D12" i="176"/>
  <c r="F12" i="176" s="1"/>
  <c r="BK8" i="176"/>
  <c r="BG8" i="176"/>
  <c r="BC8" i="176"/>
  <c r="AY8" i="176"/>
  <c r="AU8" i="176"/>
  <c r="BC14" i="176"/>
  <c r="BC12" i="176"/>
  <c r="BC11" i="176"/>
  <c r="BC7" i="176"/>
  <c r="AE8" i="176"/>
  <c r="AE12" i="176" s="1"/>
  <c r="AA8" i="176"/>
  <c r="AA12" i="176" s="1"/>
  <c r="W8" i="176"/>
  <c r="W12" i="176" s="1"/>
  <c r="S8" i="176"/>
  <c r="S12" i="176" s="1"/>
  <c r="G8" i="176"/>
  <c r="B8" i="176"/>
  <c r="A8" i="176"/>
  <c r="BS14" i="176"/>
  <c r="BS11" i="176"/>
  <c r="BS7" i="176"/>
  <c r="BK14" i="176"/>
  <c r="BK12" i="176"/>
  <c r="BK11" i="176"/>
  <c r="BK7" i="176"/>
  <c r="BG14" i="176"/>
  <c r="BG12" i="176"/>
  <c r="BG11" i="176"/>
  <c r="BG7" i="176"/>
  <c r="E59" i="207"/>
  <c r="J59" i="207" s="1"/>
  <c r="E90" i="207"/>
  <c r="E89" i="207"/>
  <c r="CB17" i="176" l="1"/>
  <c r="CD17" i="176" s="1"/>
  <c r="E99" i="207" s="1"/>
  <c r="J99" i="207" s="1"/>
  <c r="J90" i="207"/>
  <c r="G90" i="207"/>
  <c r="CB10" i="176"/>
  <c r="CD10" i="176" s="1"/>
  <c r="J89" i="207"/>
  <c r="G89" i="207"/>
  <c r="CB8" i="176"/>
  <c r="CD8" i="176" s="1"/>
  <c r="M90" i="207"/>
  <c r="M89" i="207"/>
  <c r="CB19" i="176"/>
  <c r="CD19" i="176" s="1"/>
  <c r="G12" i="176"/>
  <c r="E21" i="207" l="1"/>
  <c r="J21" i="207" s="1"/>
  <c r="N89" i="207"/>
  <c r="N90" i="207"/>
  <c r="E24" i="207"/>
  <c r="J24" i="207" s="1"/>
  <c r="M9" i="226"/>
  <c r="O9" i="226" s="1"/>
  <c r="J9" i="226"/>
  <c r="L9" i="226" s="1"/>
  <c r="G9" i="226"/>
  <c r="I9" i="226" s="1"/>
  <c r="O8" i="226"/>
  <c r="L8" i="226"/>
  <c r="L7" i="226"/>
  <c r="I8" i="226"/>
  <c r="I7" i="226"/>
  <c r="F9" i="226"/>
  <c r="M7" i="226"/>
  <c r="O7" i="226" s="1"/>
  <c r="D8" i="226"/>
  <c r="F8" i="226" s="1"/>
  <c r="D7" i="226"/>
  <c r="F7" i="226" s="1"/>
  <c r="C9" i="226"/>
  <c r="B9" i="226"/>
  <c r="A9" i="226"/>
  <c r="C8" i="226"/>
  <c r="B8" i="226"/>
  <c r="A8" i="226"/>
  <c r="C7" i="226"/>
  <c r="B7" i="226"/>
  <c r="A7" i="226"/>
  <c r="A1" i="226"/>
  <c r="A7" i="225"/>
  <c r="D29" i="224"/>
  <c r="U85" i="207"/>
  <c r="Q85" i="207"/>
  <c r="W85" i="207" s="1"/>
  <c r="P8" i="226" l="1"/>
  <c r="R8" i="226" s="1"/>
  <c r="E81" i="207" s="1"/>
  <c r="J81" i="207" s="1"/>
  <c r="P7" i="226"/>
  <c r="R7" i="226" s="1"/>
  <c r="E80" i="207" s="1"/>
  <c r="J80" i="207" s="1"/>
  <c r="E85" i="207"/>
  <c r="J85" i="207" s="1"/>
  <c r="P9" i="226"/>
  <c r="R9" i="226" s="1"/>
  <c r="E82" i="207" s="1"/>
  <c r="J82" i="207" s="1"/>
  <c r="W84" i="207" l="1"/>
  <c r="E10" i="207"/>
  <c r="J10" i="207" s="1"/>
  <c r="U67" i="207" l="1"/>
  <c r="W67" i="207" s="1"/>
  <c r="G8" i="225"/>
  <c r="I8" i="225" s="1"/>
  <c r="O8" i="225"/>
  <c r="L8" i="225"/>
  <c r="A8" i="225"/>
  <c r="B8" i="225"/>
  <c r="C8" i="225"/>
  <c r="C7" i="225"/>
  <c r="B7" i="225"/>
  <c r="O7" i="225"/>
  <c r="L7" i="225"/>
  <c r="I7" i="225"/>
  <c r="A1" i="225"/>
  <c r="A7" i="176"/>
  <c r="B7" i="176"/>
  <c r="B36" i="224"/>
  <c r="P7" i="225" l="1"/>
  <c r="R7" i="225" s="1"/>
  <c r="E62" i="207" s="1"/>
  <c r="J62" i="207" s="1"/>
  <c r="P8" i="225"/>
  <c r="R8" i="225" s="1"/>
  <c r="E63" i="207" s="1"/>
  <c r="J63" i="207" s="1"/>
  <c r="Q53" i="207"/>
  <c r="W53" i="207" s="1"/>
  <c r="W33" i="207"/>
  <c r="E33" i="207" s="1"/>
  <c r="J33" i="207" s="1"/>
  <c r="W30" i="207"/>
  <c r="E30" i="207" s="1"/>
  <c r="J30" i="207" s="1"/>
  <c r="U52" i="207"/>
  <c r="W52" i="207" s="1"/>
  <c r="J61" i="207" l="1"/>
  <c r="L7" i="176"/>
  <c r="N7" i="176" s="1"/>
  <c r="U65" i="207" l="1"/>
  <c r="W65" i="207" s="1"/>
  <c r="U15" i="207"/>
  <c r="W15" i="207" s="1"/>
  <c r="E22" i="207"/>
  <c r="J22" i="207" s="1"/>
  <c r="E46" i="207"/>
  <c r="J46" i="207" s="1"/>
  <c r="J45" i="207" s="1"/>
  <c r="W44" i="207"/>
  <c r="E44" i="207" l="1"/>
  <c r="J44" i="207" s="1"/>
  <c r="J43" i="207" s="1"/>
  <c r="W35" i="207" l="1"/>
  <c r="E35" i="207" s="1"/>
  <c r="J35" i="207" s="1"/>
  <c r="W34" i="207"/>
  <c r="E34" i="207" s="1"/>
  <c r="J34" i="207" s="1"/>
  <c r="W32" i="207"/>
  <c r="E32" i="207" s="1"/>
  <c r="J32" i="207" s="1"/>
  <c r="W31" i="207"/>
  <c r="E31" i="207" s="1"/>
  <c r="J31" i="207" s="1"/>
  <c r="U19" i="207" l="1"/>
  <c r="W19" i="207" s="1"/>
  <c r="V27" i="207" l="1"/>
  <c r="B38" i="224"/>
  <c r="B37" i="224"/>
  <c r="U16" i="207"/>
  <c r="W16" i="207" s="1"/>
  <c r="U23" i="207"/>
  <c r="W23" i="207" s="1"/>
  <c r="U26" i="207" l="1"/>
  <c r="W26" i="207" s="1"/>
  <c r="U54" i="207"/>
  <c r="W54" i="207" s="1"/>
  <c r="U27" i="207"/>
  <c r="W27" i="207" s="1"/>
  <c r="Q20" i="207"/>
  <c r="W20" i="207" s="1"/>
  <c r="E18" i="207"/>
  <c r="J18" i="207" s="1"/>
  <c r="E88" i="207" l="1"/>
  <c r="J88" i="207" l="1"/>
  <c r="G88" i="207"/>
  <c r="M88" i="207"/>
  <c r="E86" i="207"/>
  <c r="J86" i="207" s="1"/>
  <c r="N88" i="207" l="1"/>
  <c r="F162" i="207" l="1"/>
  <c r="E162" i="207"/>
  <c r="W76" i="207"/>
  <c r="E76" i="207" s="1"/>
  <c r="J76" i="207" s="1"/>
  <c r="W75" i="207"/>
  <c r="E75" i="207" s="1"/>
  <c r="J75" i="207" s="1"/>
  <c r="J74" i="207" s="1"/>
  <c r="W114" i="207" l="1"/>
  <c r="E114" i="207"/>
  <c r="J114" i="207" s="1"/>
  <c r="W112" i="207"/>
  <c r="E112" i="207" s="1"/>
  <c r="J112" i="207" s="1"/>
  <c r="E115" i="207"/>
  <c r="J115" i="207" s="1"/>
  <c r="W115" i="207"/>
  <c r="W113" i="207"/>
  <c r="E113" i="207" s="1"/>
  <c r="J113" i="207" s="1"/>
  <c r="R49" i="207"/>
  <c r="Q49" i="207"/>
  <c r="J111" i="207" l="1"/>
  <c r="W49" i="207"/>
  <c r="B29" i="224"/>
  <c r="B31" i="224" l="1"/>
  <c r="D30" i="224"/>
  <c r="B30" i="224" s="1"/>
  <c r="W104" i="207" l="1"/>
  <c r="E104" i="207" s="1"/>
  <c r="J104" i="207" s="1"/>
  <c r="AM16" i="176" l="1"/>
  <c r="CB16" i="176" s="1"/>
  <c r="CD16" i="176" s="1"/>
  <c r="E98" i="207" s="1"/>
  <c r="J98" i="207" s="1"/>
  <c r="AM15" i="176"/>
  <c r="CB15" i="176" s="1"/>
  <c r="CD15" i="176" s="1"/>
  <c r="E97" i="207" s="1"/>
  <c r="J97" i="207" s="1"/>
  <c r="B11" i="176" l="1"/>
  <c r="A11" i="176"/>
  <c r="U84" i="207"/>
  <c r="B28" i="224"/>
  <c r="W83" i="207"/>
  <c r="E83" i="207" s="1"/>
  <c r="J83" i="207" s="1"/>
  <c r="E79" i="207"/>
  <c r="J79" i="207" s="1"/>
  <c r="J78" i="207" l="1"/>
  <c r="E19" i="207"/>
  <c r="J19" i="207" s="1"/>
  <c r="B22" i="224" l="1"/>
  <c r="E20" i="207" l="1"/>
  <c r="J20" i="207" s="1"/>
  <c r="E65" i="207" l="1"/>
  <c r="J65" i="207" s="1"/>
  <c r="J64" i="207" s="1"/>
  <c r="U55" i="207"/>
  <c r="W55" i="207" l="1"/>
  <c r="E55" i="207" s="1"/>
  <c r="J55" i="207" s="1"/>
  <c r="B34" i="224" l="1"/>
  <c r="U48" i="207" l="1"/>
  <c r="U13" i="207"/>
  <c r="W102" i="207" l="1"/>
  <c r="E102" i="207" s="1"/>
  <c r="J102" i="207" s="1"/>
  <c r="J101" i="207" s="1"/>
  <c r="AY7" i="176"/>
  <c r="AU7" i="176"/>
  <c r="AM7" i="176"/>
  <c r="AE7" i="176"/>
  <c r="AA7" i="176"/>
  <c r="W7" i="176"/>
  <c r="S7" i="176"/>
  <c r="T58" i="207"/>
  <c r="W58" i="207" s="1"/>
  <c r="U57" i="207"/>
  <c r="W57" i="207" s="1"/>
  <c r="E16" i="207"/>
  <c r="J16" i="207" s="1"/>
  <c r="E54" i="207"/>
  <c r="J54" i="207" s="1"/>
  <c r="E53" i="207"/>
  <c r="J53" i="207" s="1"/>
  <c r="E52" i="207"/>
  <c r="J52" i="207" s="1"/>
  <c r="U51" i="207"/>
  <c r="W51" i="207" s="1"/>
  <c r="E49" i="207"/>
  <c r="J49" i="207" s="1"/>
  <c r="E27" i="207"/>
  <c r="J27" i="207" s="1"/>
  <c r="E26" i="207"/>
  <c r="J26" i="207" s="1"/>
  <c r="W29" i="207"/>
  <c r="E29" i="207" s="1"/>
  <c r="J29" i="207" s="1"/>
  <c r="J28" i="207" s="1"/>
  <c r="E9" i="207"/>
  <c r="J9" i="207" s="1"/>
  <c r="E11" i="207"/>
  <c r="J11" i="207" s="1"/>
  <c r="E17" i="207"/>
  <c r="J17" i="207" s="1"/>
  <c r="W13" i="207"/>
  <c r="E13" i="207" s="1"/>
  <c r="J13" i="207" s="1"/>
  <c r="CB7" i="176" l="1"/>
  <c r="CD7" i="176" s="1"/>
  <c r="J25" i="207"/>
  <c r="L11" i="176"/>
  <c r="N11" i="176" s="1"/>
  <c r="T11" i="176"/>
  <c r="V11" i="176" s="1"/>
  <c r="W48" i="207"/>
  <c r="E48" i="207" s="1"/>
  <c r="J48" i="207" s="1"/>
  <c r="J47" i="207" s="1"/>
  <c r="W14" i="176" l="1"/>
  <c r="S14" i="176"/>
  <c r="O14" i="176"/>
  <c r="W13" i="176"/>
  <c r="S13" i="176"/>
  <c r="O13" i="176"/>
  <c r="S11" i="176"/>
  <c r="AE14" i="176"/>
  <c r="AE13" i="176"/>
  <c r="W11" i="176" l="1"/>
  <c r="AE11" i="176"/>
  <c r="AF43" i="207" l="1"/>
  <c r="AG43" i="207" s="1"/>
  <c r="AE43" i="207"/>
  <c r="AF42" i="207"/>
  <c r="AF41" i="207"/>
  <c r="I83" i="221" l="1"/>
  <c r="I82" i="221"/>
  <c r="I81" i="221"/>
  <c r="H80" i="221"/>
  <c r="I80" i="221" s="1"/>
  <c r="H79" i="221"/>
  <c r="I79" i="221" s="1"/>
  <c r="H78" i="221"/>
  <c r="I78" i="221" s="1"/>
  <c r="H77" i="221"/>
  <c r="I77" i="221" s="1"/>
  <c r="H76" i="221"/>
  <c r="I76" i="221" s="1"/>
  <c r="H75" i="221"/>
  <c r="I75" i="221" s="1"/>
  <c r="H74" i="221"/>
  <c r="I74" i="221" s="1"/>
  <c r="H73" i="221"/>
  <c r="I73" i="221" s="1"/>
  <c r="H72" i="221"/>
  <c r="I72" i="221" s="1"/>
  <c r="H71" i="221"/>
  <c r="I71" i="221" s="1"/>
  <c r="H70" i="221"/>
  <c r="I70" i="221" s="1"/>
  <c r="H69" i="221"/>
  <c r="I69" i="221" s="1"/>
  <c r="H68" i="221"/>
  <c r="I68" i="221" s="1"/>
  <c r="H67" i="221"/>
  <c r="I67" i="221" s="1"/>
  <c r="H66" i="221"/>
  <c r="I66" i="221" s="1"/>
  <c r="H65" i="221"/>
  <c r="I65" i="221" s="1"/>
  <c r="H64" i="221"/>
  <c r="I64" i="221" s="1"/>
  <c r="H63" i="221"/>
  <c r="I63" i="221" s="1"/>
  <c r="H62" i="221"/>
  <c r="I62" i="221" s="1"/>
  <c r="H61" i="221"/>
  <c r="I61" i="221" s="1"/>
  <c r="H60" i="221"/>
  <c r="I60" i="221" s="1"/>
  <c r="H59" i="221"/>
  <c r="I59" i="221" s="1"/>
  <c r="H58" i="221"/>
  <c r="I58" i="221" s="1"/>
  <c r="H57" i="221"/>
  <c r="I57" i="221" s="1"/>
  <c r="H56" i="221"/>
  <c r="I56" i="221" s="1"/>
  <c r="H55" i="221"/>
  <c r="I55" i="221" s="1"/>
  <c r="H54" i="221"/>
  <c r="I54" i="221" s="1"/>
  <c r="H53" i="221"/>
  <c r="I53" i="221" s="1"/>
  <c r="H52" i="221"/>
  <c r="I52" i="221" s="1"/>
  <c r="H51" i="221"/>
  <c r="I51" i="221" s="1"/>
  <c r="H50" i="221"/>
  <c r="I50" i="221" s="1"/>
  <c r="H49" i="221"/>
  <c r="I49" i="221" s="1"/>
  <c r="H48" i="221"/>
  <c r="I48" i="221" s="1"/>
  <c r="H47" i="221"/>
  <c r="I47" i="221" s="1"/>
  <c r="H46" i="221"/>
  <c r="I46" i="221" s="1"/>
  <c r="H45" i="221"/>
  <c r="I45" i="221" s="1"/>
  <c r="H44" i="221"/>
  <c r="I44" i="221" s="1"/>
  <c r="H43" i="221"/>
  <c r="I43" i="221" s="1"/>
  <c r="H42" i="221"/>
  <c r="I42" i="221" s="1"/>
  <c r="H41" i="221"/>
  <c r="I41" i="221" s="1"/>
  <c r="H40" i="221"/>
  <c r="I40" i="221" s="1"/>
  <c r="H39" i="221"/>
  <c r="I39" i="221" s="1"/>
  <c r="H38" i="221"/>
  <c r="I38" i="221" s="1"/>
  <c r="H37" i="221"/>
  <c r="I37" i="221" s="1"/>
  <c r="H36" i="221"/>
  <c r="I36" i="221" s="1"/>
  <c r="H33" i="221"/>
  <c r="I33" i="221" s="1"/>
  <c r="H32" i="221"/>
  <c r="I32" i="221" s="1"/>
  <c r="H31" i="221"/>
  <c r="I31" i="221" s="1"/>
  <c r="H30" i="221"/>
  <c r="I30" i="221" s="1"/>
  <c r="H29" i="221"/>
  <c r="I29" i="221" s="1"/>
  <c r="H28" i="221"/>
  <c r="I28" i="221" s="1"/>
  <c r="H27" i="221"/>
  <c r="I27" i="221" s="1"/>
  <c r="H26" i="221"/>
  <c r="I26" i="221" s="1"/>
  <c r="H25" i="221"/>
  <c r="I25" i="221" s="1"/>
  <c r="H24" i="221"/>
  <c r="I24" i="221" s="1"/>
  <c r="H23" i="221"/>
  <c r="I23" i="221" s="1"/>
  <c r="H22" i="221"/>
  <c r="I22" i="221" s="1"/>
  <c r="H21" i="221"/>
  <c r="I21" i="221" s="1"/>
  <c r="H20" i="221"/>
  <c r="I20" i="221" s="1"/>
  <c r="H19" i="221"/>
  <c r="I19" i="221" s="1"/>
  <c r="H18" i="221"/>
  <c r="I18" i="221" s="1"/>
  <c r="H17" i="221"/>
  <c r="I17" i="221" s="1"/>
  <c r="H16" i="221"/>
  <c r="I16" i="221" s="1"/>
  <c r="H15" i="221"/>
  <c r="I15" i="221" s="1"/>
  <c r="H14" i="221"/>
  <c r="I14" i="221" s="1"/>
  <c r="H13" i="221"/>
  <c r="I13" i="221" s="1"/>
  <c r="H12" i="221"/>
  <c r="I12" i="221" s="1"/>
  <c r="H11" i="221"/>
  <c r="I11" i="221" s="1"/>
  <c r="H10" i="221"/>
  <c r="I10" i="221" s="1"/>
  <c r="H9" i="221"/>
  <c r="I9" i="221" s="1"/>
  <c r="H8" i="221"/>
  <c r="I8" i="221" s="1"/>
  <c r="H7" i="221"/>
  <c r="I7" i="221" s="1"/>
  <c r="I6" i="221" l="1"/>
  <c r="I35" i="221"/>
  <c r="B3" i="207" l="1"/>
  <c r="F7" i="221"/>
  <c r="F8" i="221"/>
  <c r="F9" i="221"/>
  <c r="F10" i="221"/>
  <c r="F11" i="221"/>
  <c r="F12" i="221"/>
  <c r="F13" i="221"/>
  <c r="F14" i="221"/>
  <c r="F15" i="221"/>
  <c r="F16" i="221"/>
  <c r="F17" i="221"/>
  <c r="F18" i="221"/>
  <c r="F19" i="221"/>
  <c r="F20" i="221"/>
  <c r="F21" i="221"/>
  <c r="F22" i="221"/>
  <c r="F23" i="221"/>
  <c r="F24" i="221"/>
  <c r="F25" i="221"/>
  <c r="F26" i="221"/>
  <c r="F27" i="221"/>
  <c r="F28" i="221"/>
  <c r="F29" i="221"/>
  <c r="F30" i="221"/>
  <c r="F31" i="221"/>
  <c r="F32" i="221"/>
  <c r="F33" i="221"/>
  <c r="F36" i="221"/>
  <c r="F37" i="221"/>
  <c r="F38" i="221"/>
  <c r="F39" i="221"/>
  <c r="F40" i="221"/>
  <c r="F41" i="221"/>
  <c r="F42" i="221"/>
  <c r="F43" i="221"/>
  <c r="F44" i="221"/>
  <c r="F45" i="221"/>
  <c r="F46" i="221"/>
  <c r="F47" i="221"/>
  <c r="F48" i="221"/>
  <c r="F49" i="221"/>
  <c r="F50" i="221"/>
  <c r="F51" i="221"/>
  <c r="F52" i="221"/>
  <c r="F53" i="221"/>
  <c r="F54" i="221"/>
  <c r="F55" i="221"/>
  <c r="F56" i="221"/>
  <c r="F57" i="221"/>
  <c r="F58" i="221"/>
  <c r="F59" i="221"/>
  <c r="F60" i="221"/>
  <c r="F61" i="221"/>
  <c r="F62" i="221"/>
  <c r="F63" i="221"/>
  <c r="F64" i="221"/>
  <c r="F65" i="221"/>
  <c r="F66" i="221"/>
  <c r="F67" i="221"/>
  <c r="F68" i="221"/>
  <c r="F69" i="221"/>
  <c r="F70" i="221"/>
  <c r="F71" i="221"/>
  <c r="F72" i="221"/>
  <c r="F73" i="221"/>
  <c r="F74" i="221"/>
  <c r="F75" i="221"/>
  <c r="F76" i="221"/>
  <c r="F77" i="221"/>
  <c r="F78" i="221"/>
  <c r="F79" i="221"/>
  <c r="F80" i="221"/>
  <c r="F81" i="221" l="1"/>
  <c r="F34" i="221"/>
  <c r="F82" i="221" l="1"/>
  <c r="F83" i="221" s="1"/>
  <c r="F84" i="221" s="1"/>
  <c r="AE41" i="207" l="1"/>
  <c r="AE42" i="207"/>
  <c r="AG42" i="207" s="1"/>
  <c r="AG41" i="207" l="1"/>
  <c r="AG39" i="207" s="1"/>
  <c r="AE39" i="207"/>
  <c r="C25" i="220" l="1"/>
  <c r="B25" i="220"/>
  <c r="A25" i="220"/>
  <c r="D7" i="220"/>
  <c r="D6" i="220"/>
  <c r="D5" i="220"/>
  <c r="B3" i="147" l="1"/>
  <c r="A1" i="176"/>
  <c r="A1" i="220"/>
  <c r="J23" i="220" l="1"/>
  <c r="F23" i="220"/>
  <c r="G23" i="220" s="1"/>
  <c r="C23" i="220"/>
  <c r="B23" i="220"/>
  <c r="A23" i="220"/>
  <c r="D43" i="147"/>
  <c r="C43" i="147"/>
  <c r="B43" i="147"/>
  <c r="D40" i="147"/>
  <c r="C40" i="147"/>
  <c r="B40" i="147"/>
  <c r="D39" i="147"/>
  <c r="C39" i="147"/>
  <c r="B39" i="147"/>
  <c r="D29" i="147"/>
  <c r="C29" i="147"/>
  <c r="B29" i="147"/>
  <c r="D28" i="147"/>
  <c r="C28" i="147"/>
  <c r="B28" i="147"/>
  <c r="D27" i="147"/>
  <c r="C27" i="147"/>
  <c r="B27" i="147"/>
  <c r="D26" i="147"/>
  <c r="C26" i="147"/>
  <c r="B26" i="147"/>
  <c r="D25" i="147"/>
  <c r="C25" i="147"/>
  <c r="B25" i="147"/>
  <c r="D14" i="147"/>
  <c r="C14" i="147"/>
  <c r="B14" i="147"/>
  <c r="D13" i="147"/>
  <c r="C13" i="147"/>
  <c r="B13" i="147"/>
  <c r="D12" i="147"/>
  <c r="C12" i="147"/>
  <c r="B12" i="147"/>
  <c r="D11" i="147"/>
  <c r="C11" i="147"/>
  <c r="B11" i="147"/>
  <c r="L23" i="220" l="1"/>
  <c r="J11" i="220" l="1"/>
  <c r="K11" i="220" s="1"/>
  <c r="L11" i="220" s="1"/>
  <c r="J5" i="220"/>
  <c r="I12" i="220"/>
  <c r="J12" i="220" s="1"/>
  <c r="K12" i="220" s="1"/>
  <c r="L12" i="220" s="1"/>
  <c r="I10" i="220"/>
  <c r="J10" i="220" s="1"/>
  <c r="K10" i="220" s="1"/>
  <c r="L10" i="220" s="1"/>
  <c r="K9" i="220"/>
  <c r="K8" i="220"/>
  <c r="K7" i="220"/>
  <c r="K6" i="220"/>
  <c r="B9" i="220"/>
  <c r="A9" i="220"/>
  <c r="F7" i="220"/>
  <c r="F6" i="220"/>
  <c r="F12" i="220"/>
  <c r="F11" i="220"/>
  <c r="F10" i="220"/>
  <c r="C7" i="220"/>
  <c r="C6" i="220"/>
  <c r="C5" i="220"/>
  <c r="B5" i="220"/>
  <c r="A5" i="220"/>
  <c r="B7" i="220"/>
  <c r="A7" i="220"/>
  <c r="B6" i="220"/>
  <c r="A6" i="220"/>
  <c r="N42" i="207"/>
  <c r="G39" i="207" l="1"/>
  <c r="N39" i="207" s="1"/>
  <c r="N41" i="207"/>
  <c r="J18" i="220"/>
  <c r="F14" i="220"/>
  <c r="F16" i="220" s="1"/>
  <c r="F17" i="220" s="1"/>
  <c r="F18" i="220" s="1"/>
  <c r="F19" i="220" s="1"/>
  <c r="G7" i="220" s="1"/>
  <c r="K5" i="220"/>
  <c r="L7" i="220" l="1"/>
  <c r="H7" i="220"/>
  <c r="G5" i="220"/>
  <c r="G6" i="220"/>
  <c r="G12" i="220"/>
  <c r="H12" i="220" s="1"/>
  <c r="G11" i="220"/>
  <c r="H11" i="220" s="1"/>
  <c r="G10" i="220"/>
  <c r="H10" i="220" s="1"/>
  <c r="L6" i="220" l="1"/>
  <c r="H6" i="220"/>
  <c r="L5" i="220"/>
  <c r="H5" i="220"/>
  <c r="G18" i="220"/>
  <c r="E58" i="207" l="1"/>
  <c r="J58" i="207" s="1"/>
  <c r="E85" i="147" l="1"/>
  <c r="X85" i="147" l="1"/>
  <c r="W85" i="147"/>
  <c r="U85" i="147"/>
  <c r="V85" i="147" s="1"/>
  <c r="E75" i="147"/>
  <c r="E77" i="147"/>
  <c r="U75" i="147" l="1"/>
  <c r="V75" i="147" s="1"/>
  <c r="X75" i="147"/>
  <c r="W75" i="147"/>
  <c r="T77" i="147"/>
  <c r="U77" i="147"/>
  <c r="W77" i="147"/>
  <c r="X77" i="147"/>
  <c r="Z85" i="147"/>
  <c r="F85" i="207" s="1"/>
  <c r="Y85" i="147"/>
  <c r="G85" i="207" l="1"/>
  <c r="L85" i="207"/>
  <c r="M85" i="207" s="1"/>
  <c r="V77" i="147"/>
  <c r="Z75" i="147"/>
  <c r="F75" i="207" s="1"/>
  <c r="Y75" i="147"/>
  <c r="N85" i="207" l="1"/>
  <c r="G75" i="207"/>
  <c r="L75" i="207"/>
  <c r="M75" i="207" s="1"/>
  <c r="Y77" i="147"/>
  <c r="Z77" i="147"/>
  <c r="F77" i="207" s="1"/>
  <c r="N75" i="207" l="1"/>
  <c r="G77" i="207"/>
  <c r="L77" i="207"/>
  <c r="M77" i="207" s="1"/>
  <c r="N77" i="207" l="1"/>
  <c r="E15" i="207"/>
  <c r="J15" i="207" s="1"/>
  <c r="E57" i="207"/>
  <c r="J57" i="207" s="1"/>
  <c r="AA14" i="176"/>
  <c r="CB14" i="176" s="1"/>
  <c r="CD14" i="176" s="1"/>
  <c r="E96" i="207" s="1"/>
  <c r="J96" i="207" s="1"/>
  <c r="AA13" i="176"/>
  <c r="CB13" i="176" s="1"/>
  <c r="CD13" i="176" s="1"/>
  <c r="E95" i="207" s="1"/>
  <c r="J95" i="207" s="1"/>
  <c r="AA11" i="176"/>
  <c r="AY12" i="176"/>
  <c r="AY11" i="176"/>
  <c r="AU12" i="176"/>
  <c r="AU11" i="176"/>
  <c r="AM11" i="176"/>
  <c r="CB12" i="176" l="1"/>
  <c r="CD12" i="176" s="1"/>
  <c r="E94" i="207" s="1"/>
  <c r="J94" i="207" s="1"/>
  <c r="CB11" i="176"/>
  <c r="CD11" i="176" s="1"/>
  <c r="E93" i="207" s="1"/>
  <c r="J93" i="207" s="1"/>
  <c r="J92" i="207" s="1"/>
  <c r="E67" i="207"/>
  <c r="J67" i="207" s="1"/>
  <c r="J66" i="207" s="1"/>
  <c r="E51" i="207" l="1"/>
  <c r="J51" i="207" s="1"/>
  <c r="J50" i="207" s="1"/>
  <c r="E14" i="207"/>
  <c r="J14" i="207" s="1"/>
  <c r="J8" i="207" s="1"/>
  <c r="J119" i="207" l="1"/>
  <c r="D25" i="220"/>
  <c r="F25" i="220" s="1"/>
  <c r="G25" i="220" s="1"/>
  <c r="L25" i="220" l="1"/>
  <c r="E86" i="147" s="1"/>
  <c r="W86" i="147" l="1"/>
  <c r="X86" i="147"/>
  <c r="U86" i="147"/>
  <c r="T86" i="147"/>
  <c r="V86" i="147" l="1"/>
  <c r="Y86" i="147" s="1"/>
  <c r="S9" i="207"/>
  <c r="Z86" i="147" l="1"/>
  <c r="F86" i="207" s="1"/>
  <c r="G86" i="207" s="1"/>
  <c r="E122" i="207"/>
  <c r="J122" i="207" s="1"/>
  <c r="J123" i="207" s="1"/>
  <c r="E121" i="207"/>
  <c r="J121" i="207" s="1"/>
  <c r="L86" i="207" l="1"/>
  <c r="M86" i="207" s="1"/>
  <c r="N86" i="207" s="1"/>
  <c r="E84" i="147" l="1"/>
  <c r="W84" i="147" l="1"/>
  <c r="X84" i="147"/>
  <c r="U84" i="147"/>
  <c r="V84" i="147" s="1"/>
  <c r="Y84" i="147" l="1"/>
  <c r="Z84" i="147"/>
  <c r="F84" i="207" s="1"/>
  <c r="G84" i="207" l="1"/>
  <c r="L84" i="207"/>
  <c r="M84" i="207" s="1"/>
  <c r="N84" i="207" l="1"/>
  <c r="E106" i="147" l="1"/>
  <c r="E107" i="147"/>
  <c r="E104" i="147"/>
  <c r="U107" i="147" l="1"/>
  <c r="V107" i="147" s="1"/>
  <c r="W107" i="147"/>
  <c r="X107" i="147"/>
  <c r="E105" i="147"/>
  <c r="X106" i="147"/>
  <c r="W106" i="147"/>
  <c r="U106" i="147"/>
  <c r="U104" i="147"/>
  <c r="W104" i="147"/>
  <c r="X104" i="147"/>
  <c r="X105" i="147" l="1"/>
  <c r="W105" i="147"/>
  <c r="U105" i="147"/>
  <c r="V105" i="147" s="1"/>
  <c r="Z107" i="147"/>
  <c r="F107" i="207" s="1"/>
  <c r="Y107" i="147"/>
  <c r="V106" i="147"/>
  <c r="Y106" i="147" s="1"/>
  <c r="V104" i="147"/>
  <c r="E115" i="147"/>
  <c r="E114" i="147"/>
  <c r="E112" i="147"/>
  <c r="E113" i="147"/>
  <c r="E9" i="147"/>
  <c r="E12" i="147"/>
  <c r="E24" i="272" l="1"/>
  <c r="F24" i="272" s="1"/>
  <c r="E60" i="272"/>
  <c r="F60" i="272" s="1"/>
  <c r="E46" i="147"/>
  <c r="E22" i="147"/>
  <c r="W22" i="147" s="1"/>
  <c r="E21" i="147"/>
  <c r="U21" i="147" s="1"/>
  <c r="V21" i="147" s="1"/>
  <c r="E72" i="147"/>
  <c r="E24" i="147"/>
  <c r="X24" i="147" s="1"/>
  <c r="E100" i="147"/>
  <c r="U115" i="147"/>
  <c r="V115" i="147" s="1"/>
  <c r="W115" i="147"/>
  <c r="X115" i="147"/>
  <c r="E82" i="147"/>
  <c r="E63" i="147"/>
  <c r="Y105" i="147"/>
  <c r="Z105" i="147"/>
  <c r="F105" i="207" s="1"/>
  <c r="G107" i="207"/>
  <c r="L107" i="207"/>
  <c r="M107" i="207" s="1"/>
  <c r="W113" i="147"/>
  <c r="U113" i="147"/>
  <c r="T113" i="147"/>
  <c r="X113" i="147"/>
  <c r="Z106" i="147"/>
  <c r="F106" i="207" s="1"/>
  <c r="W12" i="147"/>
  <c r="U12" i="147"/>
  <c r="T12" i="147"/>
  <c r="X12" i="147"/>
  <c r="X9" i="147"/>
  <c r="W9" i="147"/>
  <c r="U9" i="147"/>
  <c r="V9" i="147" s="1"/>
  <c r="W112" i="147"/>
  <c r="U112" i="147"/>
  <c r="T112" i="147"/>
  <c r="X112" i="147"/>
  <c r="U114" i="147"/>
  <c r="V114" i="147" s="1"/>
  <c r="X114" i="147"/>
  <c r="W114" i="147"/>
  <c r="Y104" i="147"/>
  <c r="Z104" i="147"/>
  <c r="F104" i="207" s="1"/>
  <c r="E103" i="147"/>
  <c r="E102" i="147"/>
  <c r="E18" i="147"/>
  <c r="E38" i="147"/>
  <c r="E10" i="147"/>
  <c r="E14" i="147"/>
  <c r="E96" i="147"/>
  <c r="E15" i="147"/>
  <c r="E65" i="147"/>
  <c r="E11" i="147"/>
  <c r="E81" i="147"/>
  <c r="E18" i="254" l="1"/>
  <c r="F18" i="254" s="1"/>
  <c r="E20" i="272"/>
  <c r="F20" i="272" s="1"/>
  <c r="E30" i="272"/>
  <c r="F30" i="272" s="1"/>
  <c r="E74" i="272"/>
  <c r="F74" i="272" s="1"/>
  <c r="E45" i="272"/>
  <c r="F45" i="272" s="1"/>
  <c r="E25" i="272"/>
  <c r="F25" i="272" s="1"/>
  <c r="E46" i="272"/>
  <c r="F46" i="272" s="1"/>
  <c r="E72" i="272"/>
  <c r="F72" i="272" s="1"/>
  <c r="E21" i="272"/>
  <c r="F21" i="272" s="1"/>
  <c r="E13" i="272"/>
  <c r="F13" i="272" s="1"/>
  <c r="E73" i="272"/>
  <c r="F73" i="272" s="1"/>
  <c r="E29" i="272"/>
  <c r="F29" i="272" s="1"/>
  <c r="E17" i="254"/>
  <c r="F17" i="254" s="1"/>
  <c r="E11" i="254"/>
  <c r="F11" i="254" s="1"/>
  <c r="E47" i="272"/>
  <c r="F47" i="272" s="1"/>
  <c r="E12" i="254"/>
  <c r="F12" i="254" s="1"/>
  <c r="E19" i="147"/>
  <c r="X19" i="147" s="1"/>
  <c r="E52" i="147"/>
  <c r="E20" i="147"/>
  <c r="E53" i="147"/>
  <c r="U53" i="147" s="1"/>
  <c r="X22" i="147"/>
  <c r="E57" i="147"/>
  <c r="U57" i="147" s="1"/>
  <c r="T22" i="147"/>
  <c r="U22" i="147"/>
  <c r="V113" i="147"/>
  <c r="Y113" i="147" s="1"/>
  <c r="X21" i="147"/>
  <c r="W21" i="147"/>
  <c r="Z21" i="147" s="1"/>
  <c r="F21" i="207" s="1"/>
  <c r="E44" i="147"/>
  <c r="W44" i="147" s="1"/>
  <c r="T72" i="147"/>
  <c r="W72" i="147"/>
  <c r="X72" i="147"/>
  <c r="U72" i="147"/>
  <c r="U24" i="147"/>
  <c r="V24" i="147" s="1"/>
  <c r="Y24" i="147" s="1"/>
  <c r="W24" i="147"/>
  <c r="E23" i="147"/>
  <c r="U23" i="147" s="1"/>
  <c r="V23" i="147" s="1"/>
  <c r="E110" i="147"/>
  <c r="U110" i="147" s="1"/>
  <c r="V110" i="147" s="1"/>
  <c r="N107" i="207"/>
  <c r="E108" i="147"/>
  <c r="U108" i="147" s="1"/>
  <c r="V108" i="147" s="1"/>
  <c r="E99" i="147"/>
  <c r="G105" i="207"/>
  <c r="L105" i="207"/>
  <c r="M105" i="207" s="1"/>
  <c r="X11" i="147"/>
  <c r="U11" i="147"/>
  <c r="V11" i="147" s="1"/>
  <c r="W11" i="147"/>
  <c r="E109" i="147"/>
  <c r="Y115" i="147"/>
  <c r="Z115" i="147"/>
  <c r="F115" i="207" s="1"/>
  <c r="E31" i="147"/>
  <c r="E48" i="147"/>
  <c r="G104" i="207"/>
  <c r="L104" i="207"/>
  <c r="M104" i="207" s="1"/>
  <c r="G106" i="207"/>
  <c r="L106" i="207"/>
  <c r="M106" i="207" s="1"/>
  <c r="V12" i="147"/>
  <c r="Y12" i="147" s="1"/>
  <c r="X96" i="147"/>
  <c r="W96" i="147"/>
  <c r="U96" i="147"/>
  <c r="T96" i="147"/>
  <c r="X81" i="147"/>
  <c r="W81" i="147"/>
  <c r="U81" i="147"/>
  <c r="X82" i="147"/>
  <c r="W82" i="147"/>
  <c r="U82" i="147"/>
  <c r="V82" i="147" s="1"/>
  <c r="T15" i="147"/>
  <c r="X15" i="147"/>
  <c r="W15" i="147"/>
  <c r="U15" i="147"/>
  <c r="Z114" i="147"/>
  <c r="F114" i="207" s="1"/>
  <c r="Y114" i="147"/>
  <c r="V112" i="147"/>
  <c r="X10" i="147"/>
  <c r="W10" i="147"/>
  <c r="U10" i="147"/>
  <c r="V10" i="147" s="1"/>
  <c r="X38" i="147"/>
  <c r="W38" i="147"/>
  <c r="U38" i="147"/>
  <c r="T38" i="147"/>
  <c r="U102" i="147"/>
  <c r="X102" i="147"/>
  <c r="W102" i="147"/>
  <c r="Y21" i="147"/>
  <c r="Z9" i="147"/>
  <c r="F9" i="207" s="1"/>
  <c r="L9" i="207" s="1"/>
  <c r="M9" i="207" s="1"/>
  <c r="Y9" i="147"/>
  <c r="X63" i="147"/>
  <c r="U63" i="147"/>
  <c r="W63" i="147"/>
  <c r="T63" i="147"/>
  <c r="X18" i="147"/>
  <c r="W18" i="147"/>
  <c r="T18" i="147"/>
  <c r="U18" i="147"/>
  <c r="X65" i="147"/>
  <c r="W65" i="147"/>
  <c r="U65" i="147"/>
  <c r="T65" i="147"/>
  <c r="W100" i="147"/>
  <c r="U100" i="147"/>
  <c r="X100" i="147"/>
  <c r="W46" i="147"/>
  <c r="X46" i="147"/>
  <c r="T46" i="147"/>
  <c r="U46" i="147"/>
  <c r="X14" i="147"/>
  <c r="W14" i="147"/>
  <c r="U14" i="147"/>
  <c r="V14" i="147" s="1"/>
  <c r="X103" i="147"/>
  <c r="W103" i="147"/>
  <c r="U103" i="147"/>
  <c r="V103" i="147" s="1"/>
  <c r="E32" i="147"/>
  <c r="E83" i="147"/>
  <c r="E76" i="147"/>
  <c r="E60" i="147"/>
  <c r="E58" i="147"/>
  <c r="E93" i="147"/>
  <c r="E94" i="147"/>
  <c r="E62" i="147"/>
  <c r="E56" i="147"/>
  <c r="E80" i="147"/>
  <c r="E79" i="147"/>
  <c r="E55" i="147"/>
  <c r="E95" i="147"/>
  <c r="E51" i="147"/>
  <c r="E49" i="147"/>
  <c r="E26" i="147"/>
  <c r="E27" i="147"/>
  <c r="E16" i="147" l="1"/>
  <c r="U16" i="147" s="1"/>
  <c r="Z113" i="147"/>
  <c r="F113" i="207" s="1"/>
  <c r="G113" i="207" s="1"/>
  <c r="E16" i="254"/>
  <c r="F16" i="254" s="1"/>
  <c r="E15" i="254"/>
  <c r="F15" i="254" s="1"/>
  <c r="E14" i="254"/>
  <c r="F14" i="254" s="1"/>
  <c r="E13" i="254"/>
  <c r="F13" i="254" s="1"/>
  <c r="X44" i="147"/>
  <c r="E54" i="147"/>
  <c r="T54" i="147" s="1"/>
  <c r="U19" i="147"/>
  <c r="W19" i="147"/>
  <c r="T19" i="147"/>
  <c r="E59" i="147"/>
  <c r="U59" i="147" s="1"/>
  <c r="V59" i="147" s="1"/>
  <c r="U52" i="147"/>
  <c r="X52" i="147"/>
  <c r="T52" i="147"/>
  <c r="W52" i="147"/>
  <c r="X20" i="147"/>
  <c r="U20" i="147"/>
  <c r="T20" i="147"/>
  <c r="W20" i="147"/>
  <c r="E67" i="147"/>
  <c r="T67" i="147" s="1"/>
  <c r="T53" i="147"/>
  <c r="V53" i="147" s="1"/>
  <c r="Y53" i="147" s="1"/>
  <c r="X53" i="147"/>
  <c r="W53" i="147"/>
  <c r="W57" i="147"/>
  <c r="V22" i="147"/>
  <c r="Y22" i="147" s="1"/>
  <c r="X57" i="147"/>
  <c r="T57" i="147"/>
  <c r="V57" i="147" s="1"/>
  <c r="Y57" i="147" s="1"/>
  <c r="W23" i="147"/>
  <c r="Z23" i="147" s="1"/>
  <c r="F23" i="207" s="1"/>
  <c r="T16" i="147"/>
  <c r="V16" i="147" s="1"/>
  <c r="W16" i="147"/>
  <c r="X23" i="147"/>
  <c r="X16" i="147"/>
  <c r="X110" i="147"/>
  <c r="W110" i="147"/>
  <c r="Z110" i="147" s="1"/>
  <c r="F110" i="207" s="1"/>
  <c r="X108" i="147"/>
  <c r="W108" i="147"/>
  <c r="Z108" i="147" s="1"/>
  <c r="F108" i="207" s="1"/>
  <c r="T44" i="147"/>
  <c r="Z24" i="147"/>
  <c r="F24" i="207" s="1"/>
  <c r="G24" i="207" s="1"/>
  <c r="U44" i="147"/>
  <c r="E73" i="147"/>
  <c r="X73" i="147" s="1"/>
  <c r="V72" i="147"/>
  <c r="Z72" i="147" s="1"/>
  <c r="F72" i="207" s="1"/>
  <c r="N105" i="207"/>
  <c r="Y108" i="147"/>
  <c r="X109" i="147"/>
  <c r="W109" i="147"/>
  <c r="U109" i="147"/>
  <c r="V109" i="147" s="1"/>
  <c r="L113" i="207"/>
  <c r="M113" i="207" s="1"/>
  <c r="G9" i="207"/>
  <c r="N9" i="207" s="1"/>
  <c r="Y11" i="147"/>
  <c r="Z11" i="147"/>
  <c r="F11" i="207" s="1"/>
  <c r="Y110" i="147"/>
  <c r="G115" i="207"/>
  <c r="L115" i="207"/>
  <c r="M115" i="207" s="1"/>
  <c r="V38" i="147"/>
  <c r="Z38" i="147" s="1"/>
  <c r="F38" i="207" s="1"/>
  <c r="G38" i="207" s="1"/>
  <c r="N104" i="207"/>
  <c r="N106" i="207"/>
  <c r="V65" i="147"/>
  <c r="Z65" i="147" s="1"/>
  <c r="F65" i="207" s="1"/>
  <c r="G65" i="207" s="1"/>
  <c r="G64" i="207" s="1"/>
  <c r="Z12" i="147"/>
  <c r="F12" i="207" s="1"/>
  <c r="G21" i="207"/>
  <c r="L21" i="207"/>
  <c r="M21" i="207" s="1"/>
  <c r="G114" i="207"/>
  <c r="L114" i="207"/>
  <c r="M114" i="207" s="1"/>
  <c r="V96" i="147"/>
  <c r="Y96" i="147" s="1"/>
  <c r="V102" i="147"/>
  <c r="Y102" i="147" s="1"/>
  <c r="V46" i="147"/>
  <c r="X55" i="147"/>
  <c r="W55" i="147"/>
  <c r="U55" i="147"/>
  <c r="T55" i="147"/>
  <c r="U93" i="147"/>
  <c r="T93" i="147"/>
  <c r="X93" i="147"/>
  <c r="W93" i="147"/>
  <c r="X26" i="147"/>
  <c r="W26" i="147"/>
  <c r="T26" i="147"/>
  <c r="U26" i="147"/>
  <c r="X94" i="147"/>
  <c r="W94" i="147"/>
  <c r="U94" i="147"/>
  <c r="T94" i="147"/>
  <c r="Y23" i="147"/>
  <c r="U56" i="147"/>
  <c r="X56" i="147"/>
  <c r="W56" i="147"/>
  <c r="T58" i="147"/>
  <c r="X58" i="147"/>
  <c r="W58" i="147"/>
  <c r="U58" i="147"/>
  <c r="W76" i="147"/>
  <c r="U76" i="147"/>
  <c r="T76" i="147"/>
  <c r="X76" i="147"/>
  <c r="Y14" i="147"/>
  <c r="Z14" i="147"/>
  <c r="F14" i="207" s="1"/>
  <c r="G14" i="207" s="1"/>
  <c r="V15" i="147"/>
  <c r="V81" i="147"/>
  <c r="U95" i="147"/>
  <c r="T95" i="147"/>
  <c r="X95" i="147"/>
  <c r="W95" i="147"/>
  <c r="T80" i="147"/>
  <c r="W80" i="147"/>
  <c r="U80" i="147"/>
  <c r="X80" i="147"/>
  <c r="Z82" i="147"/>
  <c r="F82" i="207" s="1"/>
  <c r="Y82" i="147"/>
  <c r="U27" i="147"/>
  <c r="T27" i="147"/>
  <c r="X27" i="147"/>
  <c r="W27" i="147"/>
  <c r="W83" i="147"/>
  <c r="U83" i="147"/>
  <c r="X83" i="147"/>
  <c r="X31" i="147"/>
  <c r="T31" i="147"/>
  <c r="W31" i="147"/>
  <c r="U31" i="147"/>
  <c r="V63" i="147"/>
  <c r="W48" i="147"/>
  <c r="X48" i="147"/>
  <c r="U48" i="147"/>
  <c r="T48" i="147"/>
  <c r="Y10" i="147"/>
  <c r="Z10" i="147"/>
  <c r="F10" i="207" s="1"/>
  <c r="G10" i="207" s="1"/>
  <c r="Z103" i="147"/>
  <c r="F103" i="207" s="1"/>
  <c r="Y103" i="147"/>
  <c r="X51" i="147"/>
  <c r="W51" i="147"/>
  <c r="U51" i="147"/>
  <c r="T51" i="147"/>
  <c r="X32" i="147"/>
  <c r="W32" i="147"/>
  <c r="U32" i="147"/>
  <c r="T32" i="147"/>
  <c r="Y112" i="147"/>
  <c r="Z112" i="147"/>
  <c r="F112" i="207" s="1"/>
  <c r="U49" i="147"/>
  <c r="V49" i="147" s="1"/>
  <c r="X49" i="147"/>
  <c r="W49" i="147"/>
  <c r="X99" i="147"/>
  <c r="W99" i="147"/>
  <c r="U99" i="147"/>
  <c r="T99" i="147"/>
  <c r="U79" i="147"/>
  <c r="X79" i="147"/>
  <c r="W79" i="147"/>
  <c r="T79" i="147"/>
  <c r="X62" i="147"/>
  <c r="W62" i="147"/>
  <c r="U62" i="147"/>
  <c r="X60" i="147"/>
  <c r="W60" i="147"/>
  <c r="U60" i="147"/>
  <c r="V60" i="147" s="1"/>
  <c r="V100" i="147"/>
  <c r="V18" i="147"/>
  <c r="E34" i="147"/>
  <c r="E97" i="147"/>
  <c r="E35" i="147"/>
  <c r="E70" i="147"/>
  <c r="E71" i="147"/>
  <c r="E13" i="147"/>
  <c r="E17" i="147"/>
  <c r="E98" i="147"/>
  <c r="E69" i="147"/>
  <c r="E37" i="147"/>
  <c r="E33" i="147"/>
  <c r="E30" i="147"/>
  <c r="E36" i="147"/>
  <c r="E68" i="147"/>
  <c r="F48" i="254" l="1"/>
  <c r="F71" i="254" s="1"/>
  <c r="W54" i="147"/>
  <c r="X54" i="147"/>
  <c r="U54" i="147"/>
  <c r="V54" i="147" s="1"/>
  <c r="Y54" i="147" s="1"/>
  <c r="U67" i="147"/>
  <c r="V67" i="147" s="1"/>
  <c r="V19" i="147"/>
  <c r="Z19" i="147" s="1"/>
  <c r="F19" i="207" s="1"/>
  <c r="L19" i="207" s="1"/>
  <c r="M19" i="207" s="1"/>
  <c r="X67" i="147"/>
  <c r="Z22" i="147"/>
  <c r="F22" i="207" s="1"/>
  <c r="L22" i="207" s="1"/>
  <c r="M22" i="207" s="1"/>
  <c r="W67" i="147"/>
  <c r="W59" i="147"/>
  <c r="Z59" i="147" s="1"/>
  <c r="F59" i="207" s="1"/>
  <c r="G59" i="207" s="1"/>
  <c r="X59" i="147"/>
  <c r="V20" i="147"/>
  <c r="Y20" i="147" s="1"/>
  <c r="V52" i="147"/>
  <c r="Z53" i="147"/>
  <c r="F53" i="207" s="1"/>
  <c r="L53" i="207" s="1"/>
  <c r="M53" i="207" s="1"/>
  <c r="N113" i="207"/>
  <c r="V44" i="147"/>
  <c r="Y44" i="147" s="1"/>
  <c r="N115" i="207"/>
  <c r="Z16" i="147"/>
  <c r="F16" i="207" s="1"/>
  <c r="G16" i="207" s="1"/>
  <c r="Y38" i="147"/>
  <c r="U73" i="147"/>
  <c r="V73" i="147" s="1"/>
  <c r="L24" i="207"/>
  <c r="M24" i="207" s="1"/>
  <c r="N24" i="207" s="1"/>
  <c r="W73" i="147"/>
  <c r="Y72" i="147"/>
  <c r="L72" i="207"/>
  <c r="M72" i="207" s="1"/>
  <c r="G72" i="207"/>
  <c r="G110" i="207"/>
  <c r="L110" i="207"/>
  <c r="M110" i="207" s="1"/>
  <c r="G11" i="207"/>
  <c r="L11" i="207"/>
  <c r="M11" i="207" s="1"/>
  <c r="G108" i="207"/>
  <c r="L108" i="207"/>
  <c r="M108" i="207" s="1"/>
  <c r="Z109" i="147"/>
  <c r="F109" i="207" s="1"/>
  <c r="Y109" i="147"/>
  <c r="Y65" i="147"/>
  <c r="Z96" i="147"/>
  <c r="F96" i="207" s="1"/>
  <c r="G96" i="207" s="1"/>
  <c r="V80" i="147"/>
  <c r="Z80" i="147" s="1"/>
  <c r="F80" i="207" s="1"/>
  <c r="Z57" i="147"/>
  <c r="F57" i="207" s="1"/>
  <c r="G57" i="207" s="1"/>
  <c r="L65" i="207"/>
  <c r="M65" i="207" s="1"/>
  <c r="N65" i="207" s="1"/>
  <c r="N21" i="207"/>
  <c r="L14" i="207"/>
  <c r="M14" i="207" s="1"/>
  <c r="N14" i="207" s="1"/>
  <c r="N114" i="207"/>
  <c r="Z102" i="147"/>
  <c r="F102" i="207" s="1"/>
  <c r="L102" i="207" s="1"/>
  <c r="M102" i="207" s="1"/>
  <c r="L10" i="207"/>
  <c r="M10" i="207" s="1"/>
  <c r="N10" i="207" s="1"/>
  <c r="G82" i="207"/>
  <c r="L82" i="207"/>
  <c r="M82" i="207" s="1"/>
  <c r="G103" i="207"/>
  <c r="L103" i="207"/>
  <c r="M103" i="207" s="1"/>
  <c r="G23" i="207"/>
  <c r="L23" i="207"/>
  <c r="M23" i="207" s="1"/>
  <c r="G112" i="207"/>
  <c r="G111" i="207" s="1"/>
  <c r="L112" i="207"/>
  <c r="M112" i="207" s="1"/>
  <c r="Y16" i="147"/>
  <c r="G12" i="207"/>
  <c r="L12" i="207"/>
  <c r="M12" i="207" s="1"/>
  <c r="L38" i="207"/>
  <c r="M38" i="207" s="1"/>
  <c r="N38" i="207" s="1"/>
  <c r="V79" i="147"/>
  <c r="Z79" i="147" s="1"/>
  <c r="F79" i="207" s="1"/>
  <c r="V26" i="147"/>
  <c r="Z26" i="147" s="1"/>
  <c r="F26" i="207" s="1"/>
  <c r="V31" i="147"/>
  <c r="Z31" i="147" s="1"/>
  <c r="F31" i="207" s="1"/>
  <c r="V32" i="147"/>
  <c r="Y32" i="147" s="1"/>
  <c r="V76" i="147"/>
  <c r="Z76" i="147" s="1"/>
  <c r="F76" i="207" s="1"/>
  <c r="V94" i="147"/>
  <c r="Y94" i="147" s="1"/>
  <c r="V55" i="147"/>
  <c r="Y55" i="147" s="1"/>
  <c r="X98" i="147"/>
  <c r="W98" i="147"/>
  <c r="U98" i="147"/>
  <c r="V98" i="147" s="1"/>
  <c r="U97" i="147"/>
  <c r="X97" i="147"/>
  <c r="W97" i="147"/>
  <c r="X71" i="147"/>
  <c r="W71" i="147"/>
  <c r="U71" i="147"/>
  <c r="V71" i="147" s="1"/>
  <c r="Y49" i="147"/>
  <c r="Z49" i="147"/>
  <c r="F49" i="207" s="1"/>
  <c r="Z15" i="147"/>
  <c r="F15" i="207" s="1"/>
  <c r="Y15" i="147"/>
  <c r="U69" i="147"/>
  <c r="X69" i="147"/>
  <c r="W69" i="147"/>
  <c r="Y18" i="147"/>
  <c r="Z18" i="147"/>
  <c r="F18" i="207" s="1"/>
  <c r="X36" i="147"/>
  <c r="W36" i="147"/>
  <c r="U36" i="147"/>
  <c r="V36" i="147" s="1"/>
  <c r="Y81" i="147"/>
  <c r="Z81" i="147"/>
  <c r="F81" i="207" s="1"/>
  <c r="W17" i="147"/>
  <c r="T17" i="147"/>
  <c r="X17" i="147"/>
  <c r="U17" i="147"/>
  <c r="W30" i="147"/>
  <c r="U30" i="147"/>
  <c r="X30" i="147"/>
  <c r="T30" i="147"/>
  <c r="V51" i="147"/>
  <c r="V27" i="147"/>
  <c r="V56" i="147"/>
  <c r="V93" i="147"/>
  <c r="U35" i="147"/>
  <c r="T35" i="147"/>
  <c r="X35" i="147"/>
  <c r="W35" i="147"/>
  <c r="U68" i="147"/>
  <c r="V68" i="147" s="1"/>
  <c r="X68" i="147"/>
  <c r="W68" i="147"/>
  <c r="V83" i="147"/>
  <c r="U37" i="147"/>
  <c r="V37" i="147" s="1"/>
  <c r="W37" i="147"/>
  <c r="X37" i="147"/>
  <c r="Z60" i="147"/>
  <c r="F60" i="207" s="1"/>
  <c r="Y60" i="147"/>
  <c r="Y59" i="147"/>
  <c r="Z63" i="147"/>
  <c r="F63" i="207" s="1"/>
  <c r="Y63" i="147"/>
  <c r="V58" i="147"/>
  <c r="T13" i="147"/>
  <c r="W13" i="147"/>
  <c r="X13" i="147"/>
  <c r="U13" i="147"/>
  <c r="Z100" i="147"/>
  <c r="F100" i="207" s="1"/>
  <c r="Y100" i="147"/>
  <c r="W34" i="147"/>
  <c r="X34" i="147"/>
  <c r="U34" i="147"/>
  <c r="T34" i="147"/>
  <c r="W70" i="147"/>
  <c r="U70" i="147"/>
  <c r="X70" i="147"/>
  <c r="W33" i="147"/>
  <c r="U33" i="147"/>
  <c r="T33" i="147"/>
  <c r="X33" i="147"/>
  <c r="V62" i="147"/>
  <c r="V99" i="147"/>
  <c r="V48" i="147"/>
  <c r="V95" i="147"/>
  <c r="Y46" i="147"/>
  <c r="Z46" i="147"/>
  <c r="F46" i="207" s="1"/>
  <c r="E29" i="147"/>
  <c r="G19" i="207" l="1"/>
  <c r="Y19" i="147"/>
  <c r="Z54" i="147"/>
  <c r="F54" i="207" s="1"/>
  <c r="L54" i="207" s="1"/>
  <c r="M54" i="207" s="1"/>
  <c r="Z20" i="147"/>
  <c r="F20" i="207" s="1"/>
  <c r="L20" i="207" s="1"/>
  <c r="M20" i="207" s="1"/>
  <c r="G22" i="207"/>
  <c r="N22" i="207" s="1"/>
  <c r="Y52" i="147"/>
  <c r="Z52" i="147"/>
  <c r="F52" i="207" s="1"/>
  <c r="G53" i="207"/>
  <c r="N53" i="207" s="1"/>
  <c r="Z44" i="147"/>
  <c r="F44" i="207" s="1"/>
  <c r="G44" i="207" s="1"/>
  <c r="G43" i="207" s="1"/>
  <c r="L16" i="207"/>
  <c r="M16" i="207" s="1"/>
  <c r="N16" i="207" s="1"/>
  <c r="N11" i="207"/>
  <c r="Z73" i="147"/>
  <c r="F73" i="207" s="1"/>
  <c r="L73" i="207" s="1"/>
  <c r="M73" i="207" s="1"/>
  <c r="N112" i="207"/>
  <c r="N103" i="207"/>
  <c r="N72" i="207"/>
  <c r="N19" i="207"/>
  <c r="L96" i="207"/>
  <c r="M96" i="207" s="1"/>
  <c r="N96" i="207" s="1"/>
  <c r="G102" i="207"/>
  <c r="N102" i="207" s="1"/>
  <c r="N108" i="207"/>
  <c r="N110" i="207"/>
  <c r="G109" i="207"/>
  <c r="L109" i="207"/>
  <c r="M109" i="207" s="1"/>
  <c r="Y80" i="147"/>
  <c r="Y79" i="147"/>
  <c r="L57" i="207"/>
  <c r="M57" i="207" s="1"/>
  <c r="N57" i="207" s="1"/>
  <c r="Y31" i="147"/>
  <c r="Y26" i="147"/>
  <c r="N12" i="207"/>
  <c r="G26" i="207"/>
  <c r="L26" i="207"/>
  <c r="M26" i="207" s="1"/>
  <c r="G15" i="207"/>
  <c r="L15" i="207"/>
  <c r="M15" i="207" s="1"/>
  <c r="G49" i="207"/>
  <c r="L49" i="207"/>
  <c r="M49" i="207" s="1"/>
  <c r="G60" i="207"/>
  <c r="L60" i="207"/>
  <c r="M60" i="207" s="1"/>
  <c r="G81" i="207"/>
  <c r="L81" i="207"/>
  <c r="M81" i="207" s="1"/>
  <c r="G76" i="207"/>
  <c r="G74" i="207" s="1"/>
  <c r="L76" i="207"/>
  <c r="M76" i="207" s="1"/>
  <c r="G79" i="207"/>
  <c r="L79" i="207"/>
  <c r="M79" i="207" s="1"/>
  <c r="G31" i="207"/>
  <c r="L31" i="207"/>
  <c r="M31" i="207" s="1"/>
  <c r="N82" i="207"/>
  <c r="G46" i="207"/>
  <c r="G45" i="207" s="1"/>
  <c r="L46" i="207"/>
  <c r="M46" i="207" s="1"/>
  <c r="G18" i="207"/>
  <c r="L18" i="207"/>
  <c r="M18" i="207" s="1"/>
  <c r="G63" i="207"/>
  <c r="L63" i="207"/>
  <c r="M63" i="207" s="1"/>
  <c r="G100" i="207"/>
  <c r="L100" i="207"/>
  <c r="M100" i="207" s="1"/>
  <c r="G80" i="207"/>
  <c r="L80" i="207"/>
  <c r="M80" i="207" s="1"/>
  <c r="N23" i="207"/>
  <c r="L59" i="207"/>
  <c r="M59" i="207" s="1"/>
  <c r="Z32" i="147"/>
  <c r="F32" i="207" s="1"/>
  <c r="V34" i="147"/>
  <c r="Y34" i="147" s="1"/>
  <c r="Y76" i="147"/>
  <c r="Z94" i="147"/>
  <c r="F94" i="207" s="1"/>
  <c r="Z55" i="147"/>
  <c r="F55" i="207" s="1"/>
  <c r="Y73" i="147"/>
  <c r="V13" i="147"/>
  <c r="Z13" i="147" s="1"/>
  <c r="F13" i="207" s="1"/>
  <c r="V35" i="147"/>
  <c r="Z35" i="147" s="1"/>
  <c r="F35" i="207" s="1"/>
  <c r="V97" i="147"/>
  <c r="Z97" i="147" s="1"/>
  <c r="F97" i="207" s="1"/>
  <c r="Z83" i="147"/>
  <c r="F83" i="207" s="1"/>
  <c r="Y83" i="147"/>
  <c r="Z62" i="147"/>
  <c r="F62" i="207" s="1"/>
  <c r="Y62" i="147"/>
  <c r="Y27" i="147"/>
  <c r="Z27" i="147"/>
  <c r="F27" i="207" s="1"/>
  <c r="Z58" i="147"/>
  <c r="F58" i="207" s="1"/>
  <c r="Y58" i="147"/>
  <c r="Z51" i="147"/>
  <c r="F51" i="207" s="1"/>
  <c r="Y51" i="147"/>
  <c r="Z67" i="147"/>
  <c r="F67" i="207" s="1"/>
  <c r="Y67" i="147"/>
  <c r="V33" i="147"/>
  <c r="Z37" i="147"/>
  <c r="F37" i="207" s="1"/>
  <c r="Y37" i="147"/>
  <c r="V30" i="147"/>
  <c r="Y30" i="147" s="1"/>
  <c r="V69" i="147"/>
  <c r="Z36" i="147"/>
  <c r="F36" i="207" s="1"/>
  <c r="G36" i="207" s="1"/>
  <c r="Y36" i="147"/>
  <c r="X29" i="147"/>
  <c r="W29" i="147"/>
  <c r="U29" i="147"/>
  <c r="T29" i="147"/>
  <c r="Y95" i="147"/>
  <c r="Z95" i="147"/>
  <c r="F95" i="207" s="1"/>
  <c r="Y48" i="147"/>
  <c r="Z48" i="147"/>
  <c r="F48" i="207" s="1"/>
  <c r="Z68" i="147"/>
  <c r="F68" i="207" s="1"/>
  <c r="Y68" i="147"/>
  <c r="Y93" i="147"/>
  <c r="Z93" i="147"/>
  <c r="F93" i="207" s="1"/>
  <c r="V17" i="147"/>
  <c r="Z71" i="147"/>
  <c r="F71" i="207" s="1"/>
  <c r="Y71" i="147"/>
  <c r="Z98" i="147"/>
  <c r="F98" i="207" s="1"/>
  <c r="Y98" i="147"/>
  <c r="Z99" i="147"/>
  <c r="F99" i="207" s="1"/>
  <c r="Y99" i="147"/>
  <c r="V70" i="147"/>
  <c r="Y56" i="147"/>
  <c r="Z56" i="147"/>
  <c r="F56" i="207" s="1"/>
  <c r="G54" i="207" l="1"/>
  <c r="N54" i="207" s="1"/>
  <c r="G20" i="207"/>
  <c r="L52" i="207"/>
  <c r="M52" i="207" s="1"/>
  <c r="G52" i="207"/>
  <c r="N20" i="207"/>
  <c r="L44" i="207"/>
  <c r="M44" i="207" s="1"/>
  <c r="N44" i="207" s="1"/>
  <c r="G101" i="207"/>
  <c r="G73" i="207"/>
  <c r="N76" i="207"/>
  <c r="N109" i="207"/>
  <c r="N63" i="207"/>
  <c r="N79" i="207"/>
  <c r="N49" i="207"/>
  <c r="N31" i="207"/>
  <c r="N60" i="207"/>
  <c r="N26" i="207"/>
  <c r="N81" i="207"/>
  <c r="N15" i="207"/>
  <c r="N80" i="207"/>
  <c r="N46" i="207"/>
  <c r="G99" i="207"/>
  <c r="L99" i="207"/>
  <c r="M99" i="207" s="1"/>
  <c r="G27" i="207"/>
  <c r="G25" i="207" s="1"/>
  <c r="L27" i="207"/>
  <c r="M27" i="207" s="1"/>
  <c r="G13" i="207"/>
  <c r="L13" i="207"/>
  <c r="M13" i="207" s="1"/>
  <c r="G68" i="207"/>
  <c r="L68" i="207"/>
  <c r="M68" i="207" s="1"/>
  <c r="N18" i="207"/>
  <c r="G67" i="207"/>
  <c r="L67" i="207"/>
  <c r="M67" i="207" s="1"/>
  <c r="G62" i="207"/>
  <c r="G61" i="207" s="1"/>
  <c r="L62" i="207"/>
  <c r="M62" i="207" s="1"/>
  <c r="G71" i="207"/>
  <c r="L71" i="207"/>
  <c r="M71" i="207" s="1"/>
  <c r="G83" i="207"/>
  <c r="G78" i="207" s="1"/>
  <c r="L83" i="207"/>
  <c r="M83" i="207" s="1"/>
  <c r="G48" i="207"/>
  <c r="G47" i="207" s="1"/>
  <c r="L48" i="207"/>
  <c r="M48" i="207" s="1"/>
  <c r="G98" i="207"/>
  <c r="L98" i="207"/>
  <c r="M98" i="207" s="1"/>
  <c r="G55" i="207"/>
  <c r="L55" i="207"/>
  <c r="M55" i="207" s="1"/>
  <c r="G94" i="207"/>
  <c r="L94" i="207"/>
  <c r="M94" i="207" s="1"/>
  <c r="G56" i="207"/>
  <c r="L56" i="207"/>
  <c r="M56" i="207" s="1"/>
  <c r="G95" i="207"/>
  <c r="L95" i="207"/>
  <c r="M95" i="207" s="1"/>
  <c r="G51" i="207"/>
  <c r="L51" i="207"/>
  <c r="M51" i="207" s="1"/>
  <c r="G93" i="207"/>
  <c r="L93" i="207"/>
  <c r="M93" i="207" s="1"/>
  <c r="G58" i="207"/>
  <c r="L58" i="207"/>
  <c r="M58" i="207" s="1"/>
  <c r="G97" i="207"/>
  <c r="L97" i="207"/>
  <c r="M97" i="207" s="1"/>
  <c r="G32" i="207"/>
  <c r="L32" i="207"/>
  <c r="M32" i="207" s="1"/>
  <c r="G37" i="207"/>
  <c r="L37" i="207"/>
  <c r="M37" i="207" s="1"/>
  <c r="Z34" i="147"/>
  <c r="F34" i="207" s="1"/>
  <c r="G35" i="207"/>
  <c r="L35" i="207"/>
  <c r="M35" i="207" s="1"/>
  <c r="L36" i="207"/>
  <c r="M36" i="207" s="1"/>
  <c r="N36" i="207" s="1"/>
  <c r="N59" i="207"/>
  <c r="Y13" i="147"/>
  <c r="Y97" i="147"/>
  <c r="Z30" i="147"/>
  <c r="F30" i="207" s="1"/>
  <c r="Y35" i="147"/>
  <c r="V29" i="147"/>
  <c r="Y29" i="147" s="1"/>
  <c r="Z70" i="147"/>
  <c r="F70" i="207" s="1"/>
  <c r="Y70" i="147"/>
  <c r="Z17" i="147"/>
  <c r="F17" i="207" s="1"/>
  <c r="Y17" i="147"/>
  <c r="Y69" i="147"/>
  <c r="Z69" i="147"/>
  <c r="F69" i="207" s="1"/>
  <c r="Y33" i="147"/>
  <c r="Z33" i="147"/>
  <c r="F33" i="207" s="1"/>
  <c r="N52" i="207" l="1"/>
  <c r="N13" i="207"/>
  <c r="N68" i="207"/>
  <c r="N97" i="207"/>
  <c r="N95" i="207"/>
  <c r="N98" i="207"/>
  <c r="N62" i="207"/>
  <c r="N32" i="207"/>
  <c r="N51" i="207"/>
  <c r="N55" i="207"/>
  <c r="N71" i="207"/>
  <c r="N37" i="207"/>
  <c r="N93" i="207"/>
  <c r="N94" i="207"/>
  <c r="N83" i="207"/>
  <c r="N99" i="207"/>
  <c r="N35" i="207"/>
  <c r="G50" i="207"/>
  <c r="G70" i="207"/>
  <c r="L70" i="207"/>
  <c r="M70" i="207" s="1"/>
  <c r="G69" i="207"/>
  <c r="L69" i="207"/>
  <c r="M69" i="207" s="1"/>
  <c r="G30" i="207"/>
  <c r="L30" i="207"/>
  <c r="M30" i="207" s="1"/>
  <c r="N58" i="207"/>
  <c r="N56" i="207"/>
  <c r="N48" i="207"/>
  <c r="N67" i="207"/>
  <c r="N27" i="207"/>
  <c r="G33" i="207"/>
  <c r="L33" i="207"/>
  <c r="M33" i="207" s="1"/>
  <c r="G34" i="207"/>
  <c r="L34" i="207"/>
  <c r="M34" i="207" s="1"/>
  <c r="G17" i="207"/>
  <c r="G8" i="207" s="1"/>
  <c r="L17" i="207"/>
  <c r="M17" i="207" s="1"/>
  <c r="Z29" i="147"/>
  <c r="F29" i="207" s="1"/>
  <c r="G92" i="207"/>
  <c r="N17" i="207" l="1"/>
  <c r="N33" i="207"/>
  <c r="N30" i="207"/>
  <c r="G66" i="207"/>
  <c r="N34" i="207"/>
  <c r="G29" i="207"/>
  <c r="G28" i="207" s="1"/>
  <c r="G119" i="207" s="1"/>
  <c r="L29" i="207"/>
  <c r="M29" i="207" s="1"/>
  <c r="N69" i="207"/>
  <c r="N70" i="207"/>
  <c r="G122" i="207" l="1"/>
  <c r="G123" i="207" s="1"/>
  <c r="G121" i="207"/>
  <c r="M119" i="207"/>
  <c r="N29" i="207"/>
  <c r="M121" i="207" l="1"/>
  <c r="M122" i="207"/>
  <c r="M123" i="207" s="1"/>
  <c r="E23" i="272" l="1"/>
  <c r="F23" i="272" s="1"/>
  <c r="E28" i="272"/>
  <c r="F28" i="272" s="1"/>
  <c r="E70" i="272" l="1"/>
  <c r="F70" i="272" s="1"/>
  <c r="E26" i="272"/>
  <c r="F26" i="272" s="1"/>
  <c r="E57" i="272"/>
  <c r="F57" i="272" s="1"/>
  <c r="E58" i="272"/>
  <c r="F58" i="272" s="1"/>
  <c r="E37" i="272"/>
  <c r="F37" i="272" s="1"/>
  <c r="E40" i="272"/>
  <c r="F40" i="272" s="1"/>
  <c r="E39" i="272"/>
  <c r="F39" i="272" s="1"/>
  <c r="E15" i="272"/>
  <c r="F15" i="272" s="1"/>
  <c r="E16" i="272"/>
  <c r="F16" i="272" s="1"/>
  <c r="E14" i="272"/>
  <c r="F14" i="272" s="1"/>
  <c r="E18" i="272"/>
  <c r="F18" i="272" s="1"/>
  <c r="E56" i="272"/>
  <c r="F56" i="272" s="1"/>
  <c r="E75" i="272"/>
  <c r="F75" i="272" s="1"/>
  <c r="E66" i="272"/>
  <c r="F66" i="272" s="1"/>
  <c r="E19" i="272"/>
  <c r="F19" i="272" s="1"/>
  <c r="E59" i="272"/>
  <c r="F59" i="272" s="1"/>
  <c r="E42" i="272"/>
  <c r="F42" i="272" s="1"/>
  <c r="E12" i="272"/>
  <c r="F12" i="272" s="1"/>
  <c r="E48" i="272"/>
  <c r="F48" i="272" s="1"/>
  <c r="E17" i="272"/>
  <c r="F17" i="272" s="1"/>
  <c r="E44" i="272"/>
  <c r="F44" i="272" s="1"/>
  <c r="E27" i="272"/>
  <c r="F27" i="272" s="1"/>
  <c r="E65" i="272"/>
  <c r="F65" i="272" s="1"/>
  <c r="E62" i="272"/>
  <c r="F62" i="272" s="1"/>
  <c r="E22" i="272"/>
  <c r="F22" i="272" s="1"/>
  <c r="E33" i="272"/>
  <c r="F33" i="272" s="1"/>
  <c r="E38" i="272"/>
  <c r="F38" i="272" s="1"/>
  <c r="E11" i="272"/>
  <c r="F11" i="272" s="1"/>
  <c r="E36" i="272"/>
  <c r="F36" i="272" s="1"/>
  <c r="E69" i="272"/>
  <c r="F69" i="272" s="1"/>
  <c r="E76" i="272"/>
  <c r="F76" i="272" s="1"/>
  <c r="E71" i="272"/>
  <c r="F71" i="272" s="1"/>
  <c r="E49" i="272"/>
  <c r="F49" i="272" s="1"/>
  <c r="E55" i="272"/>
  <c r="F55" i="272" s="1"/>
  <c r="E52" i="272"/>
  <c r="F52" i="272" s="1"/>
  <c r="E68" i="272"/>
  <c r="F68" i="272" s="1"/>
  <c r="E35" i="272"/>
  <c r="F35" i="272" s="1"/>
  <c r="E43" i="272"/>
  <c r="F43" i="272" s="1"/>
  <c r="E34" i="272"/>
  <c r="F34" i="272" s="1"/>
  <c r="E53" i="272"/>
  <c r="F53" i="272" s="1"/>
  <c r="E41" i="272"/>
  <c r="F41" i="272" s="1"/>
  <c r="E54" i="272"/>
  <c r="F54" i="272" s="1"/>
  <c r="E61" i="272"/>
  <c r="F61" i="272" s="1"/>
  <c r="E67" i="272"/>
  <c r="F67" i="272" s="1"/>
  <c r="F77" i="272" l="1"/>
  <c r="F31" i="272"/>
  <c r="F63" i="272"/>
  <c r="F50" i="272"/>
  <c r="F79" i="272" s="1"/>
  <c r="E120" i="207" l="1"/>
  <c r="J235" i="249"/>
  <c r="J238" i="249" s="1"/>
  <c r="I82" i="249" l="1"/>
  <c r="J82" i="249" s="1"/>
  <c r="I187" i="249"/>
  <c r="J187" i="249" s="1"/>
  <c r="I130" i="249"/>
  <c r="J130" i="249" s="1"/>
  <c r="I127" i="249"/>
  <c r="J127" i="249" s="1"/>
  <c r="I149" i="249"/>
  <c r="J149" i="249" s="1"/>
  <c r="I178" i="249"/>
  <c r="J178" i="249" s="1"/>
  <c r="I172" i="249"/>
  <c r="J172" i="249" s="1"/>
  <c r="I142" i="249"/>
  <c r="J142" i="249" s="1"/>
  <c r="I174" i="249"/>
  <c r="J174" i="249" s="1"/>
  <c r="I195" i="249"/>
  <c r="J195" i="249" s="1"/>
  <c r="I224" i="249"/>
  <c r="J224" i="249" s="1"/>
  <c r="I204" i="249"/>
  <c r="J204" i="249" s="1"/>
  <c r="I62" i="249"/>
  <c r="J62" i="249" s="1"/>
  <c r="I84" i="249"/>
  <c r="J84" i="249" s="1"/>
  <c r="I24" i="249"/>
  <c r="J24" i="249" s="1"/>
  <c r="I60" i="249"/>
  <c r="J60" i="249" s="1"/>
  <c r="I38" i="249"/>
  <c r="J38" i="249" s="1"/>
  <c r="I218" i="249"/>
  <c r="J218" i="249" s="1"/>
  <c r="I124" i="249"/>
  <c r="J124" i="249" s="1"/>
  <c r="I70" i="249"/>
  <c r="J70" i="249" s="1"/>
  <c r="I26" i="249"/>
  <c r="J26" i="249" s="1"/>
  <c r="I209" i="249"/>
  <c r="J209" i="249" s="1"/>
  <c r="I110" i="249"/>
  <c r="J110" i="249" s="1"/>
  <c r="I194" i="249"/>
  <c r="J194" i="249" s="1"/>
  <c r="I205" i="249"/>
  <c r="J205" i="249" s="1"/>
  <c r="I154" i="249"/>
  <c r="J154" i="249" s="1"/>
  <c r="I214" i="249"/>
  <c r="J214" i="249" s="1"/>
  <c r="I19" i="249"/>
  <c r="J19" i="249" s="1"/>
  <c r="I143" i="249"/>
  <c r="J143" i="249" s="1"/>
  <c r="I122" i="249"/>
  <c r="J122" i="249" s="1"/>
  <c r="I126" i="249"/>
  <c r="J126" i="249" s="1"/>
  <c r="I57" i="249"/>
  <c r="J57" i="249" s="1"/>
  <c r="I100" i="249"/>
  <c r="J100" i="249" s="1"/>
  <c r="I93" i="249"/>
  <c r="J93" i="249" s="1"/>
  <c r="I134" i="249"/>
  <c r="J134" i="249" s="1"/>
  <c r="I185" i="249"/>
  <c r="J185" i="249" s="1"/>
  <c r="I75" i="249"/>
  <c r="J75" i="249" s="1"/>
  <c r="I105" i="249"/>
  <c r="J105" i="249" s="1"/>
  <c r="I197" i="249"/>
  <c r="J197" i="249" s="1"/>
  <c r="I193" i="249"/>
  <c r="J193" i="249" s="1"/>
  <c r="I52" i="249"/>
  <c r="J52" i="249" s="1"/>
  <c r="I16" i="249"/>
  <c r="J16" i="249" s="1"/>
  <c r="I175" i="249"/>
  <c r="J175" i="249" s="1"/>
  <c r="I20" i="249"/>
  <c r="J20" i="249" s="1"/>
  <c r="I72" i="249"/>
  <c r="J72" i="249" s="1"/>
  <c r="I135" i="249"/>
  <c r="J135" i="249" s="1"/>
  <c r="I213" i="249"/>
  <c r="J213" i="249" s="1"/>
  <c r="I106" i="249"/>
  <c r="J106" i="249" s="1"/>
  <c r="I102" i="249"/>
  <c r="J102" i="249" s="1"/>
  <c r="I157" i="249"/>
  <c r="J157" i="249" s="1"/>
  <c r="I217" i="249"/>
  <c r="J217" i="249" s="1"/>
  <c r="I30" i="249"/>
  <c r="J30" i="249" s="1"/>
  <c r="I42" i="249"/>
  <c r="J42" i="249" s="1"/>
  <c r="I50" i="249"/>
  <c r="J50" i="249" s="1"/>
  <c r="I22" i="249"/>
  <c r="J22" i="249" s="1"/>
  <c r="I156" i="249"/>
  <c r="J156" i="249" s="1"/>
  <c r="I37" i="249"/>
  <c r="J37" i="249" s="1"/>
  <c r="I227" i="249"/>
  <c r="J227" i="249" s="1"/>
  <c r="I207" i="249"/>
  <c r="J207" i="249" s="1"/>
  <c r="I119" i="249"/>
  <c r="J119" i="249" s="1"/>
  <c r="I90" i="249"/>
  <c r="J90" i="249" s="1"/>
  <c r="I68" i="249"/>
  <c r="J68" i="249" s="1"/>
  <c r="I191" i="249"/>
  <c r="J191" i="249" s="1"/>
  <c r="I226" i="249"/>
  <c r="J226" i="249" s="1"/>
  <c r="I199" i="249"/>
  <c r="J199" i="249" s="1"/>
  <c r="I76" i="249"/>
  <c r="J76" i="249" s="1"/>
  <c r="I170" i="249"/>
  <c r="J170" i="249" s="1"/>
  <c r="I46" i="249"/>
  <c r="J46" i="249" s="1"/>
  <c r="I180" i="249"/>
  <c r="J180" i="249" s="1"/>
  <c r="I200" i="249"/>
  <c r="J200" i="249" s="1"/>
  <c r="I186" i="249"/>
  <c r="J186" i="249" s="1"/>
  <c r="I210" i="249"/>
  <c r="J210" i="249" s="1"/>
  <c r="I188" i="249"/>
  <c r="J188" i="249" s="1"/>
  <c r="I58" i="249"/>
  <c r="J58" i="249" s="1"/>
  <c r="I163" i="249"/>
  <c r="J163" i="249" s="1"/>
  <c r="I189" i="249"/>
  <c r="J189" i="249" s="1"/>
  <c r="J120" i="207"/>
  <c r="J124" i="207" s="1"/>
  <c r="J125" i="207" s="1"/>
  <c r="J127" i="207" s="1"/>
  <c r="G120" i="207"/>
  <c r="G124" i="207" s="1"/>
  <c r="G125" i="207" s="1"/>
  <c r="G127" i="207" s="1"/>
  <c r="M120" i="207"/>
  <c r="M124" i="207" s="1"/>
  <c r="M125" i="207" s="1"/>
  <c r="I219" i="249"/>
  <c r="J219" i="249" s="1"/>
  <c r="I120" i="249"/>
  <c r="J120" i="249" s="1"/>
  <c r="I167" i="249"/>
  <c r="J167" i="249" s="1"/>
  <c r="I108" i="249"/>
  <c r="J108" i="249" s="1"/>
  <c r="I147" i="249"/>
  <c r="J147" i="249" s="1"/>
  <c r="I21" i="249"/>
  <c r="J21" i="249" s="1"/>
  <c r="I113" i="249"/>
  <c r="J113" i="249" s="1"/>
  <c r="I190" i="249"/>
  <c r="J190" i="249" s="1"/>
  <c r="I59" i="249"/>
  <c r="J59" i="249" s="1"/>
  <c r="I88" i="249"/>
  <c r="J88" i="249" s="1"/>
  <c r="I123" i="249"/>
  <c r="J123" i="249" s="1"/>
  <c r="I168" i="249"/>
  <c r="J168" i="249" s="1"/>
  <c r="I32" i="249"/>
  <c r="J32" i="249" s="1"/>
  <c r="I87" i="249"/>
  <c r="J87" i="249" s="1"/>
  <c r="I182" i="249"/>
  <c r="J182" i="249" s="1"/>
  <c r="I176" i="249"/>
  <c r="J176" i="249" s="1"/>
  <c r="I78" i="249"/>
  <c r="J78" i="249" s="1"/>
  <c r="I221" i="249"/>
  <c r="J221" i="249" s="1"/>
  <c r="I128" i="249"/>
  <c r="J128" i="249" s="1"/>
  <c r="I103" i="249"/>
  <c r="J103" i="249" s="1"/>
  <c r="I91" i="249"/>
  <c r="J91" i="249" s="1"/>
  <c r="I61" i="249"/>
  <c r="J61" i="249" s="1"/>
  <c r="I129" i="249"/>
  <c r="J129" i="249" s="1"/>
  <c r="I17" i="249"/>
  <c r="J17" i="249" s="1"/>
  <c r="I141" i="249"/>
  <c r="J141" i="249" s="1"/>
  <c r="I145" i="249"/>
  <c r="J145" i="249" s="1"/>
  <c r="I171" i="249"/>
  <c r="J171" i="249" s="1"/>
  <c r="I23" i="249"/>
  <c r="J23" i="249" s="1"/>
  <c r="I146" i="249"/>
  <c r="J146" i="249" s="1"/>
  <c r="I155" i="249"/>
  <c r="J155" i="249" s="1"/>
  <c r="I136" i="249"/>
  <c r="J136" i="249" s="1"/>
  <c r="I55" i="249"/>
  <c r="J55" i="249" s="1"/>
  <c r="I166" i="249"/>
  <c r="J166" i="249" s="1"/>
  <c r="I63" i="249"/>
  <c r="J63" i="249" s="1"/>
  <c r="I56" i="249"/>
  <c r="J56" i="249" s="1"/>
  <c r="I104" i="249"/>
  <c r="J104" i="249" s="1"/>
  <c r="I79" i="249"/>
  <c r="J79" i="249" s="1"/>
  <c r="I67" i="249"/>
  <c r="J67" i="249" s="1"/>
  <c r="I25" i="249"/>
  <c r="J25" i="249" s="1"/>
  <c r="I196" i="249"/>
  <c r="J196" i="249" s="1"/>
  <c r="I208" i="249"/>
  <c r="J208" i="249" s="1"/>
  <c r="I133" i="249"/>
  <c r="J133" i="249" s="1"/>
  <c r="I125" i="249"/>
  <c r="J125" i="249" s="1"/>
  <c r="I107" i="249"/>
  <c r="J107" i="249" s="1"/>
  <c r="I66" i="249"/>
  <c r="J66" i="249" s="1"/>
  <c r="I165" i="249"/>
  <c r="J165" i="249" s="1"/>
  <c r="I222" i="249"/>
  <c r="J222" i="249" s="1"/>
  <c r="I206" i="249"/>
  <c r="J206" i="249" s="1"/>
  <c r="I177" i="249"/>
  <c r="J177" i="249" s="1"/>
  <c r="I89" i="249"/>
  <c r="J89" i="249" s="1"/>
  <c r="I92" i="249"/>
  <c r="J92" i="249" s="1"/>
  <c r="I211" i="249"/>
  <c r="J211" i="249" s="1"/>
  <c r="I14" i="249"/>
  <c r="J14" i="249" s="1"/>
  <c r="I173" i="249"/>
  <c r="J173" i="249" s="1"/>
  <c r="I181" i="249"/>
  <c r="J181" i="249" s="1"/>
  <c r="I115" i="249"/>
  <c r="J115" i="249" s="1"/>
  <c r="I131" i="249"/>
  <c r="J131" i="249" s="1"/>
  <c r="I43" i="249"/>
  <c r="J43" i="249" s="1"/>
  <c r="I101" i="249"/>
  <c r="J101" i="249" s="1"/>
  <c r="I116" i="249"/>
  <c r="J116" i="249" s="1"/>
  <c r="I192" i="249"/>
  <c r="J192" i="249" s="1"/>
  <c r="I109" i="249"/>
  <c r="J109" i="249" s="1"/>
  <c r="I45" i="249"/>
  <c r="J45" i="249" s="1"/>
  <c r="I140" i="249"/>
  <c r="J140" i="249" s="1"/>
  <c r="I132" i="249"/>
  <c r="J132" i="249" s="1"/>
  <c r="I18" i="249"/>
  <c r="J18" i="249" s="1"/>
  <c r="I153" i="249"/>
  <c r="J153" i="249" s="1"/>
  <c r="I111" i="249"/>
  <c r="J111" i="249" s="1"/>
  <c r="I212" i="249"/>
  <c r="J212" i="249" s="1"/>
  <c r="I33" i="249"/>
  <c r="J33" i="249" s="1"/>
  <c r="I95" i="249"/>
  <c r="J95" i="249" s="1"/>
  <c r="I34" i="249"/>
  <c r="J34" i="249" s="1"/>
  <c r="I47" i="249"/>
  <c r="J47" i="249" s="1"/>
  <c r="I94" i="249"/>
  <c r="J94" i="249" s="1"/>
  <c r="I69" i="249"/>
  <c r="J69" i="249" s="1"/>
  <c r="I39" i="249"/>
  <c r="J39" i="249" s="1"/>
  <c r="I118" i="249"/>
  <c r="J118" i="249" s="1"/>
  <c r="I13" i="249"/>
  <c r="J13" i="249" s="1"/>
  <c r="I29" i="249"/>
  <c r="J29" i="249" s="1"/>
  <c r="I117" i="249"/>
  <c r="J117" i="249" s="1"/>
  <c r="I31" i="249"/>
  <c r="J31" i="249" s="1"/>
  <c r="I179" i="249"/>
  <c r="J179" i="249" s="1"/>
  <c r="I158" i="249"/>
  <c r="J158" i="249" s="1"/>
  <c r="I148" i="249"/>
  <c r="J148" i="249" s="1"/>
  <c r="I225" i="249"/>
  <c r="J225" i="249" s="1"/>
  <c r="I77" i="249"/>
  <c r="J77" i="249" s="1"/>
  <c r="I223" i="249"/>
  <c r="J223" i="249" s="1"/>
  <c r="I150" i="249"/>
  <c r="J150" i="249" s="1"/>
  <c r="I51" i="249"/>
  <c r="J51" i="249" s="1"/>
  <c r="I164" i="249"/>
  <c r="J164" i="249" s="1"/>
  <c r="I114" i="249"/>
  <c r="J114" i="249" s="1"/>
  <c r="I44" i="249"/>
  <c r="J44" i="249" s="1"/>
  <c r="I71" i="249"/>
  <c r="J71" i="249" s="1"/>
  <c r="I169" i="249"/>
  <c r="J169" i="249" s="1"/>
  <c r="I83" i="249"/>
  <c r="J83" i="249" s="1"/>
  <c r="I121" i="249"/>
  <c r="J121" i="249" s="1"/>
  <c r="I112" i="249"/>
  <c r="J112" i="249" s="1"/>
  <c r="I201" i="249"/>
  <c r="J201" i="249" s="1"/>
  <c r="I198" i="249"/>
  <c r="J198" i="249" s="1"/>
  <c r="I220" i="249"/>
  <c r="J220" i="249" s="1"/>
  <c r="I15" i="249"/>
  <c r="J15" i="249" s="1"/>
  <c r="I144" i="249"/>
  <c r="J144" i="249" s="1"/>
  <c r="J159" i="249" l="1"/>
  <c r="I228" i="249"/>
  <c r="J228" i="249" s="1"/>
  <c r="J229" i="249" s="1"/>
  <c r="J96" i="249"/>
  <c r="J183" i="249"/>
  <c r="J202" i="249"/>
  <c r="J215" i="249"/>
  <c r="J73" i="249"/>
  <c r="J35" i="249"/>
  <c r="J64" i="249"/>
  <c r="J40" i="249"/>
  <c r="J137" i="249"/>
  <c r="J151" i="249"/>
  <c r="J53" i="249"/>
  <c r="J48" i="249"/>
  <c r="J80" i="249"/>
  <c r="J85" i="249"/>
  <c r="J27" i="249"/>
  <c r="J97" i="249" l="1"/>
  <c r="J160" i="249"/>
  <c r="J230" i="249"/>
  <c r="J231" i="24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Marco Alejandro Chavistad Penagos</author>
    <author>Oscar Londono Munoz</author>
  </authors>
  <commentList>
    <comment ref="AN6" authorId="0" shapeId="0" xr:uid="{00000000-0006-0000-1C00-000001000000}">
      <text>
        <r>
          <rPr>
            <b/>
            <sz val="9"/>
            <color indexed="81"/>
            <rFont val="Tahoma"/>
            <family val="2"/>
          </rPr>
          <t>Marco Alejandro Chavistad Penagos:</t>
        </r>
        <r>
          <rPr>
            <sz val="9"/>
            <color indexed="81"/>
            <rFont val="Tahoma"/>
            <family val="2"/>
          </rPr>
          <t xml:space="preserve">
PROMEDIO DEBIDO AL ENCHAPE INSTALADO
</t>
        </r>
      </text>
    </comment>
    <comment ref="AR6" authorId="0" shapeId="0" xr:uid="{00000000-0006-0000-1C00-000002000000}">
      <text>
        <r>
          <rPr>
            <b/>
            <sz val="9"/>
            <color indexed="81"/>
            <rFont val="Tahoma"/>
            <family val="2"/>
          </rPr>
          <t>Marco Alejandro Chavistad Penagos:</t>
        </r>
        <r>
          <rPr>
            <sz val="9"/>
            <color indexed="81"/>
            <rFont val="Tahoma"/>
            <family val="2"/>
          </rPr>
          <t xml:space="preserve">
PROMEDIO DEBIDO AL ENCHAPE INSTALADO
</t>
        </r>
      </text>
    </comment>
    <comment ref="AG11" authorId="1" shapeId="0" xr:uid="{00000000-0006-0000-1C00-000003000000}">
      <text>
        <r>
          <rPr>
            <b/>
            <sz val="9"/>
            <color indexed="81"/>
            <rFont val="Tahoma"/>
            <family val="2"/>
          </rPr>
          <t xml:space="preserve">SE ASUME 1 M YA QUE NO SE DESCUENTAS POUERTAS Y VENTANAS
</t>
        </r>
      </text>
    </comment>
    <comment ref="AK11" authorId="1" shapeId="0" xr:uid="{00000000-0006-0000-1C00-000004000000}">
      <text>
        <r>
          <rPr>
            <b/>
            <sz val="9"/>
            <color indexed="81"/>
            <rFont val="Tahoma"/>
            <family val="2"/>
          </rPr>
          <t xml:space="preserve">SE ASUME 1 M YA QUE NO SE DESCUENTAS POUERTAS Y VENTANAS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Oscar Londono Munoz</author>
  </authors>
  <commentList>
    <comment ref="AC41" authorId="0" shapeId="0" xr:uid="{00000000-0006-0000-1E00-000001000000}">
      <text>
        <r>
          <rPr>
            <b/>
            <sz val="9"/>
            <color indexed="81"/>
            <rFont val="Tahoma"/>
            <family val="2"/>
          </rPr>
          <t>CORREGIDO POR HUGO EL 25 JUL-22</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Oscar Londono Munoz</author>
  </authors>
  <commentList>
    <comment ref="N99" authorId="0" shapeId="0" xr:uid="{00000000-0006-0000-1F00-000001000000}">
      <text>
        <r>
          <rPr>
            <b/>
            <sz val="9"/>
            <color indexed="81"/>
            <rFont val="Tahoma"/>
            <family val="2"/>
          </rPr>
          <t xml:space="preserve">SE MULTIPLICA POR 2 AL SER 2 CARAS
</t>
        </r>
      </text>
    </comment>
    <comment ref="P99" authorId="0" shapeId="0" xr:uid="{00000000-0006-0000-1F00-000002000000}">
      <text>
        <r>
          <rPr>
            <b/>
            <sz val="9"/>
            <color indexed="81"/>
            <rFont val="Tahoma"/>
            <family val="2"/>
          </rPr>
          <t xml:space="preserve">SE MULTIPLICA POR 2 AL SER 2 CARAS
</t>
        </r>
      </text>
    </comment>
    <comment ref="R99" authorId="0" shapeId="0" xr:uid="{00000000-0006-0000-1F00-000003000000}">
      <text>
        <r>
          <rPr>
            <b/>
            <sz val="9"/>
            <color indexed="81"/>
            <rFont val="Tahoma"/>
            <family val="2"/>
          </rPr>
          <t xml:space="preserve">SE MULTIPLICA POR 2 AL SER 2 CARAS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<sst xmlns="http://schemas.openxmlformats.org/spreadsheetml/2006/main" count="2843" uniqueCount="1204">
  <si>
    <t>INSTITUTO NACIONAL DE MEDICINA LEGAL Y CIENCIAS FORENSE</t>
  </si>
  <si>
    <t>PRESUPUESTO DEL SISTEMA DE VENTILACION SALA AUXILIAR</t>
  </si>
  <si>
    <t>ITEM</t>
  </si>
  <si>
    <t>DESCRIPCIÓN</t>
  </si>
  <si>
    <t>UNIDAD</t>
  </si>
  <si>
    <t>CANT.</t>
  </si>
  <si>
    <t>VALOR UNITARIO</t>
  </si>
  <si>
    <t>VALOR TOTAL</t>
  </si>
  <si>
    <t>VR UNITARIO CON IVA</t>
  </si>
  <si>
    <t>VR TOTAL CON IVA</t>
  </si>
  <si>
    <t>CAPITULO SISTEMA DE INYECCION Y EXTRACCION EXTRACCIÒN</t>
  </si>
  <si>
    <t xml:space="preserve">Sistema de ventilacion mecanica (extraccion) con ventilador centrífugo de mínimo 1.500 CFM de un nivel sonoro dentro de la sala de necropsias máximo de 70 dB,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El banco de filtros debe estar dotado de manómetros que nos indiquen la diferencia de presión entre areas de filtración en pulgadas de agua.  La unidad debe pintarse del mismo color de las unidades existentes. Dentro del presupuesto se debe considerar una base soporte en angulo o pertfil cuadrado con la suficiente resistencia para soportar el equipo en operanción sin que se presente vibración. tambien se debe considerar dentro del presupuesto la construcciòn de una base soporte en concreto. </t>
  </si>
  <si>
    <t>unidad</t>
  </si>
  <si>
    <t>Ducto en lámina galvanizada 16X16 pulgadas, debidamente reforzados e instalados con sus respectiva  soportería y  acoplado a la  unidad manejadora del item 1,  Incluir templetes y soporteria necesaria para su instalaciòn. Debe incluirse al final del ducto y dentro del presupuesto un cuello de sisne con malla para eviar el ingreso de agua, materiales y aminales al interior del ducto</t>
  </si>
  <si>
    <t>Metros</t>
  </si>
  <si>
    <t xml:space="preserve">Ducto en lámina galvanizada 20X12 pulgadas, debidamente reforzados e instalados con sus respectiva  soportería y  acoplado a la unidad manejadora del item 1,  Incluir las obras civiles con pasa muro, con sus respectivos resanes </t>
  </si>
  <si>
    <t xml:space="preserve">Ducto en lámina galvanizada 14X12 pulgadas, debidamente reforzados e instalados con sus respectiva  soportería y  acoplado a la ducteria del item 2,  Incluir las obras civiles con pasa muro, con sus respectivos resanes </t>
  </si>
  <si>
    <t xml:space="preserve">Ducto en lámina galvanizada 12X10 pulgadas, debidamente reforzados e instalados con sus respectiva  soportería y  acoplado a la unidad manejadora del item 1,  Incluir las obras civiles con pasa muro, con sus respectivos resanes </t>
  </si>
  <si>
    <t xml:space="preserve">suministro e instalaciòn de codos 90° en lámina glavanizada para ducto 20X12 pulgadas vertical, debidamente acoplado a la ductería de la misma dimensión  </t>
  </si>
  <si>
    <t xml:space="preserve">suministro e instalaciòn de codos 90° en lámina glavanizada para ducto 20X12 pulgadas horizontal, debidamente acoplado a la ductería de la misma dimensión  </t>
  </si>
  <si>
    <t xml:space="preserve">Suministro e instalaciòn de tramos de ducto de 1 metro en lámina galvanizada 12X12 pulgadas, acoplados a la ductería central debidamente reforzados e instalados con sus respectiva soportería a rejillas de la misma dimensión </t>
  </si>
  <si>
    <t xml:space="preserve">Tapas finales de ducto en lámina galvanizada 12X10" </t>
  </si>
  <si>
    <t>Reducción en lámina glavanizada para ducto 20X12 pulgadas a 14X12 pulgadas, debidamente acoplado a la ductería de las mismas dimensiones</t>
  </si>
  <si>
    <t>Reducción en lámina glavanizada para ducto 14X12 pulgadas a 12X10 pulgadas, debidamente acoplado a la ductería de las mismas dimensiones</t>
  </si>
  <si>
    <t>Dampers regulación de caudal en el tramo de ductería de 12X12 pulgadas</t>
  </si>
  <si>
    <t>Regilla para toma de aire 12X12 pulgadas, dotada de damper para ajuste de caudal (ver regillas comerciales)</t>
  </si>
  <si>
    <t xml:space="preserve">Sistema de ventilacion mecanica (inyeccion) con ventilador centrífugo de mínimo 1.000 CFM de un nivel sonoro dentro de la sala de necropsias máximo de 70 dB,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filtro bolsa con una capacidad de retencion del 60%.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El banco de filtros debe estar dotado de manómetros que nos indiquen la diferencia de presión entre areas de filtración en pulgadas de agua; la unidad se le debe instalar unavicera para evitar el ingreso de agua al sistema.  La unidad debe pintarse del mismo color de las unidades existentes. Dentro del presupuesto se debe considerar una base soporte en angulo o pertfil cuadrado con la suficiente resistencia para soportar el equipo en operanción sin que se presente vibración. tambien se debe considerar dentro del presupuesto la construcciòn de una base soporte en concreto. </t>
  </si>
  <si>
    <t xml:space="preserve">Ducto en lámina galvanizada 14X12 pulgadas, debidamente reforzados e instalados con sus respectiva  soportería y  acoplado a la unidad del item 14,  Incluir las obras civiles con pasa muro, con sus respectivos resanes </t>
  </si>
  <si>
    <t xml:space="preserve">suministro e instalaciòn de codos 90° en lámina glavanizada para ducto 14X12 pulgadas vertical, debidamente acoplado a la ductería de la misma dimensión  </t>
  </si>
  <si>
    <t xml:space="preserve">suministro e instalaciòn de codos 90° en lámina glavanizada para ducto 14X12 pulgadas horizontal, debidamente acoplado a la ductería de la misma dimensión  </t>
  </si>
  <si>
    <t>Regilla difusora 4 vias de aire 12X12 pulgadas, dotada de damper para ajuste de caudal (ver regillas comerciales)</t>
  </si>
  <si>
    <t xml:space="preserve">Tablero fuerza y control tipo intemperie para el sistema de extracciòn e inyeccion, breaker industrial totalizador general, breaker industriales de cada equipo de etraccion y de inyeccion de aire, dotado de protecciones de contral, contactores, protección térmica, control de ensendido local (tablero) y control remoto (sala de necropsias), indicadores de parada y de marcha ( norma RETIE). </t>
  </si>
  <si>
    <t>Acometida en cable 4X#10 AWG, incluye cableado, coraza metálica, ductería IMC y EMT y canaleta necesaria, desde el tablero de distribuiòn principal hasta tablero de fuerza y control del item 23, el cual se ubicara cerca de las unidades manejadoras</t>
  </si>
  <si>
    <t>Acometida en cable 4X#12 AWG, incluye cableado, coraza metálica, ductería IMC y EMT, accesorios, terminales, amarres, desde el tablero de fuerza y control del item 23 a las unidades manejadoras de inyección y extraccion de aire</t>
  </si>
  <si>
    <t>Acometida en cable 4X#12 AWG, incluye cableado, coraza metálica, ductería IMC y EMT, accesorios, terminales, amarres, desde el tablero de fuerza y control del item 23 al control remoto de la sala de necropsias, incluye botoneras para los dos sistemas.</t>
  </si>
  <si>
    <t>Botonera de arranque y parada para control de las unidades manejadoras</t>
  </si>
  <si>
    <t>SUBTOTAL</t>
  </si>
  <si>
    <t xml:space="preserve">CAPITULO MANTENIMIENTO SISTEMA DE EXTRACCIÒN E INYECCION SALA DE NECROPSIAS </t>
  </si>
  <si>
    <t>Suministro e instalacion de banda de lona de salida de unidad manejadora del sistema de inyeccion  de aire de la sala de necropsias que se acopla a ducto de 19X 12 pulgadas(lona de 65 pulgada X 10 pulgadas) incluye el cambio del pisa lona y tornilleria donde se requiera</t>
  </si>
  <si>
    <t>Suministro e instalacion de banda de lona de salida de unidad manejadora del sistema de extracción de aire de la sala de necropsias que se acopla a ducto de 24X 17 pulgadas(lona de 85 pulgada X 12 pulgadas) incluye el cambio del pisa lona y tornilleria donde se requiera</t>
  </si>
  <si>
    <t>Suministro e instalacion de banda de lona de entrada de unidad manejadora del sistema de extracción de aire de la sala de necropsias que se acopla a ducto de 20X 24 pulgadas(lona de 92 pulgada X 12 pulgadas) incluye el cambio del pisa lona y tornilleria  donde se requiera</t>
  </si>
  <si>
    <t xml:space="preserve">Suministro e instalacion de banda de lona de acople ventilador a ducto de descarga 18X24 pulgadas de unidad manejadora  del sistema de extracción de aire de la sala de necropsias  (lona de 92 pulgada X 12 pulgadas) incluye el suministro de pisa lona y tornilleria en el contorno de la boca del ventilador y del ducto de salida de la manejadora </t>
  </si>
  <si>
    <t xml:space="preserve">Sellado de ducteria en general con sikaflex </t>
  </si>
  <si>
    <t>global</t>
  </si>
  <si>
    <t xml:space="preserve">Retiro de la ducteria ubicada sobre el vielo razo del sistema de extraccion e inyección de aire de la sala de necropsias </t>
  </si>
  <si>
    <t>Resane de pasa muro del ducto de ingreso a sala de necropsias de de 24X20 pulgadas</t>
  </si>
  <si>
    <t>Ducto en lámina galvanizada 24X16 pulgadas, debidamente reforzados e instalados con sus respectiva  soportería y  acoplado a la reduccion de la misma dimension,</t>
  </si>
  <si>
    <t>Ducto en lámina galvanizada 24X10 pulgadas, debidamente reforzados e instalados con sus respectiva  soportería y  acoplado a la reduccion de la misma dimension y al ducto del item7 (en 2 tramos)</t>
  </si>
  <si>
    <t>Ducto en lámina galvanizada 16X12 pulgadas, debidamente reforzados e instalados con sus respectiva  soportería y  acoplado al ducto del item 8,</t>
  </si>
  <si>
    <t>Ducto en lámina galvanizada 16X10 pulgadas, debidamente reforzados e instalados con sus respectiva  soportería y  acoplado al ducto del item 8,</t>
  </si>
  <si>
    <t>Ducto en lámina galvanizada 12X10 pulgadas, debidamente reforzados e instalados con sus respectiva  soportería y  acoplado al ducto del item 9, item 8 y al ducto existente que ingresa a la sala de necropsias (en 5 tramos)</t>
  </si>
  <si>
    <t xml:space="preserve">Suministro e instalaciòn de tramos de ducto de 1,2 metros en lámina galvanizada 12X12 pulgadas, acoplados a la ductería central debidamente reforzados e instalados con sus respectiva soportería a rejillas de la misma dimensión </t>
  </si>
  <si>
    <t xml:space="preserve">Suministro e instalaciòn de tramos de ducto de 1,2 metros en lámina galvanizada 10X12 pulgadas, acoplados a la ductería central debidamente reforzados e instalados con sus respectiva soportería a rejillas de la misma dimensión </t>
  </si>
  <si>
    <t xml:space="preserve">Tapas finales de ducto en lámina galvanizada 24X10" </t>
  </si>
  <si>
    <t>Reducción en lámina glavanizada para ducto 24X20 pulgadas a 24X16 pulgadas, debidamente acoplado a la ductería de las mismas dimensiones</t>
  </si>
  <si>
    <t>Reducción en lámina glavanizada para ducto 24X16 pulgadas a 24X10 pulgadas, debidamente acoplado a la ductería de las mismas dimensiones</t>
  </si>
  <si>
    <t>Reducción en lámina glavanizada para ducto 24X10 pulgadas a 16X10 pulgadas, debidamente acoplado a la ductería de las mismas dimensiones</t>
  </si>
  <si>
    <t>Reducción en lámina glavanizada para ducto 16X12 pulgadas a 12X10 pulgadas, debidamente acoplado a la ductería de las mismas dimensiones</t>
  </si>
  <si>
    <t>Reducción en lámina glavanizada para ducto 16X10 pulgadas a 12X10 pulgadas, debidamente acoplado a la ductería de las mismas dimensiones</t>
  </si>
  <si>
    <t>Dampers regulación de caudal en el tramo de ductería de 10X12 pulgadas</t>
  </si>
  <si>
    <t>Regilla para toma de aire 12X10 pulgadas, dotada de damper para ajuste de caudal (ver regillas comerciales)</t>
  </si>
  <si>
    <t>Mantenimiento preventivo de la unidad manejadora del sistema de extracciòn de 5.000 CFM; limpieza, cambio de la  parte corroida del motoventilador, pintura anticorrosiva y pintura de acabado muy resistente a la corrosion al motoventilador y al interior de la unidad manejadora, eliminar la filtraciones y poros de la unidad con sikaflex, suministro e instalación de empaques de las tapas laterales; retiro del aislamiento de la fibra de vidrio, revisión de la chumaceras, lubricacion y cambio de ser necesario; cambio y tension de correas, revisiòn y ajuste de poleas</t>
  </si>
  <si>
    <t>Ducto en lámina galvanizada 19X12 pulgadas, debidamente reforzados e instalados con sus respectiva  soportería y  acoplado a la ducteria existente, incluye los resanes del pasa muro existentes</t>
  </si>
  <si>
    <t xml:space="preserve">suministro e instalaciòn de semicodos 45° en lámina glavanizada para ducto 19X12 pulgadas vertical, debidamente acoplado a la ductería de la misma dimensión  </t>
  </si>
  <si>
    <t xml:space="preserve">suministro e instalaciòn de codos 90° en lámina glavanizada para ducto 19X12 pulgadas horizontal, debidamente acoplado a la ductería de la misma dimensión  </t>
  </si>
  <si>
    <t xml:space="preserve">Ducto en lámina galvanizada 16X12 pulgadas, debidamente reforzados e instalados con sus respectiva  soportería y  acoplado a la reducción de las mismas dimensiones </t>
  </si>
  <si>
    <t>Ducto en lámina galvanizada 12X10 pulgadas, debidamente reforzados e instalados con sus respectiva  soportería y  acoplado a la reducción de las mismas dimensiones y a la ducteria del item 27</t>
  </si>
  <si>
    <t xml:space="preserve">Suministro e instalaciòn de tramos de ducto de 1,0 metro en lámina galvanizada 10X12 pulgadas, acoplados a la ductería central debidamente reforzados e instalados con sus respectiva soportería a rejillas de la misma dimensión </t>
  </si>
  <si>
    <t>Reducción en lámina glavanizada para ducto 19X12 pulgadas a 16X12 pulgadas, debidamente acoplado a la ductería de las mismas dimensiones</t>
  </si>
  <si>
    <t>Regilla difusora 4 vias de aire 12X10 pulgadas, dotada de damper para ajuste de caudal (ver regillas comerciales)</t>
  </si>
  <si>
    <t>Mantenimiento preventivo de la unidad manejadora del sistema de inyección de 1.500 CFM; limpieza, cambio de la  parte corroida del motoventilador, pintura anticorrosiva y pintura de acabado muy resistente a la corrosion al motoventilador y al interior de la unidad manejadora, eliminar la filtraciones y poros de la unidad con sikaflex, suministro e instalación de empaques de las tapas laterales; retiro del aislamiento de la fibra de vidrio, revisión de la chumaceras, lubricacion y cambio de ser necesario; cambio y tension de correas, revisiòn y ajuste de poleas</t>
  </si>
  <si>
    <t>Suministro e instalacion de filtros HEPA, de eficiencia minimo de 99,95%,24X24X11 pulgadas</t>
  </si>
  <si>
    <t>Suministro e instalacion de filtros de permanaganato de potacion o Ilumina de 24X12X11 pulgadas</t>
  </si>
  <si>
    <t>Suministro e instalacion de filtros decarbon activado tipo granular 24X24X2 pulgadas</t>
  </si>
  <si>
    <t>Suministro e instalacion de filtros decarbon activado tipo granular 24X12X2 pulgadas</t>
  </si>
  <si>
    <t>Suministro e instalacion de guias y soportes para los filtros de carbon activado (2 filtros de 24X24 pulgadas y 2 foltros de 24X12) en la unidad manejadora del sistema de extraccion ; en la unidad se encuentran las guias para filtro de 1,2 m X 0,9 m</t>
  </si>
  <si>
    <t>Filtro tipo bolsa de 24X24X29, del 60% de eficiencia</t>
  </si>
  <si>
    <t>Prefiltos pleated 30% de eficiencia 24X24X2</t>
  </si>
  <si>
    <t>Prefiltos pleated 30% de eficiencia 24X12X2</t>
  </si>
  <si>
    <t>Sellar ventana tipo rejilla de 80X80 (en vidrio)</t>
  </si>
  <si>
    <t xml:space="preserve">SUB -TOTAL </t>
  </si>
  <si>
    <t>IVA 19%</t>
  </si>
  <si>
    <t xml:space="preserve">TOTAL </t>
  </si>
  <si>
    <t>COTIZACIONES PUERTAS, VENTANAS Y VIDRIOS</t>
  </si>
  <si>
    <t>SUPERVENTANAS COTIZACION 1</t>
  </si>
  <si>
    <t>NELSON DAZA- COTIZACION 2</t>
  </si>
  <si>
    <t>DESCRIPCION</t>
  </si>
  <si>
    <t>CANTIDAD</t>
  </si>
  <si>
    <t>VR. UNITARIO</t>
  </si>
  <si>
    <t>VR TOTAL</t>
  </si>
  <si>
    <t>VR TOTAL CON TRANSPORTE E IVA</t>
  </si>
  <si>
    <t>VR M2</t>
  </si>
  <si>
    <t>PROMEDIO</t>
  </si>
  <si>
    <t>OBSERVACION</t>
  </si>
  <si>
    <t xml:space="preserve">  1.50 X 0.80 M = 1.20 M2 (2 UND)</t>
  </si>
  <si>
    <t>UN</t>
  </si>
  <si>
    <t>NO SE UTILIZA EL PROMEDIO YA QUE LOS VALORES DE SUPERVENTANAS ESTAN FUERA DE MERCADO</t>
  </si>
  <si>
    <t xml:space="preserve">  1,50 X 0,30 M= 0.45 M2 (2 UND)</t>
  </si>
  <si>
    <t xml:space="preserve">  0.85 X 0.30 M = 0.26 M2 (1 UND)</t>
  </si>
  <si>
    <t>SUBTOTAL SIN TRANSPORTE</t>
  </si>
  <si>
    <t>TRANSPORTE</t>
  </si>
  <si>
    <t>SOBTOTAL</t>
  </si>
  <si>
    <t xml:space="preserve">IVA </t>
  </si>
  <si>
    <t>TOTAL</t>
  </si>
  <si>
    <t>R &amp; R  AUTOMATISMOS SAS COTIZACION 3</t>
  </si>
  <si>
    <t>IVEGAS SAS COTIZACION 4</t>
  </si>
  <si>
    <t>R &amp; R  AUTOMATISMOS SAS COTIZACION 5</t>
  </si>
  <si>
    <t>COINTERACEROS SAS COTIZACION 6</t>
  </si>
  <si>
    <t>CANTIDADES DE ENCHAPES</t>
  </si>
  <si>
    <t>POCETAS ASEO</t>
  </si>
  <si>
    <t>COCINETA</t>
  </si>
  <si>
    <t>VESTIER HOMBRES</t>
  </si>
  <si>
    <t>VESTIER MUJERES</t>
  </si>
  <si>
    <t>FC</t>
  </si>
  <si>
    <t>NOTAS</t>
  </si>
  <si>
    <t>N°</t>
  </si>
  <si>
    <t>TULUA</t>
  </si>
  <si>
    <t>UND</t>
  </si>
  <si>
    <t>PERIMETRO</t>
  </si>
  <si>
    <t>ALTURA</t>
  </si>
  <si>
    <t>CANTIDADES DE FLANCHES</t>
  </si>
  <si>
    <t>ZONA 1-1</t>
  </si>
  <si>
    <t>ZONA 1-2</t>
  </si>
  <si>
    <t>ZONA 1-3</t>
  </si>
  <si>
    <t>ZONA 2-1</t>
  </si>
  <si>
    <t>TOTAL CON FC</t>
  </si>
  <si>
    <t>LONGITUD</t>
  </si>
  <si>
    <t xml:space="preserve">Formulario 1 - Propuesta económica  - Licitación de obra pública de infraestructura social </t>
  </si>
  <si>
    <t>Código</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</si>
  <si>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</si>
  <si>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</si>
  <si>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</si>
  <si>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</si>
  <si>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</si>
  <si>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</si>
  <si>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</si>
  <si>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</si>
  <si>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</si>
  <si>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VALOR 
 UNITARIO</t>
  </si>
  <si>
    <t xml:space="preserve">VALOR                                 TOTAL                                </t>
  </si>
  <si>
    <t>GENERAL</t>
  </si>
  <si>
    <t>I</t>
  </si>
  <si>
    <t>PRELIMINARES</t>
  </si>
  <si>
    <t>1.1</t>
  </si>
  <si>
    <t>Demolición de acabado de piso en enchape cerámico, epóxico o tablón de gres y afinado hasta de 10 cm. (VER ANEXO TÉCNICO).</t>
  </si>
  <si>
    <t>M2</t>
  </si>
  <si>
    <t>1.2</t>
  </si>
  <si>
    <t>Desmonte de aparatos sanitarios (sanitario y orinales). (VER ANEXO TÉCNICO).</t>
  </si>
  <si>
    <t>1.3</t>
  </si>
  <si>
    <t>Desmonte de divisiones de baño en lámina metálica. (VER ANEXO TÉCNICO).</t>
  </si>
  <si>
    <t>1.4</t>
  </si>
  <si>
    <t>Demolición de pañete y terminado de muro en sitios afectados por humedad hasta encontrar mampostería (VER ANEXO TÉCNICO).</t>
  </si>
  <si>
    <t>1.5</t>
  </si>
  <si>
    <t>Regatas para instalación de puntos hidráulicos, sanitarios y/o eléctricos (VER ANEXO TÉCNICO).</t>
  </si>
  <si>
    <t>ML</t>
  </si>
  <si>
    <t>1.6</t>
  </si>
  <si>
    <t>Desmonte de cielorraso en superboard, fibra mineral, PVC, madera o láminas metálicas, incluye desmonte de elementos de estructura de cielorraso (VER ANEXO TÉCNICO).</t>
  </si>
  <si>
    <t>1.7</t>
  </si>
  <si>
    <t>Desmonte de guarda camillas, incluye el desmonte de todos los componentes (VER ANEXO TÉCNICO).</t>
  </si>
  <si>
    <t>1.8</t>
  </si>
  <si>
    <t>Desmonte, adecuación y reinstalación de mesas de necropsias (VER ANEXO TÉCNICO).</t>
  </si>
  <si>
    <t>1.9</t>
  </si>
  <si>
    <t>Desmonte y reinstalación de puertas o ventanas. (VER ANEXO TÉCNICO).</t>
  </si>
  <si>
    <t>1.10</t>
  </si>
  <si>
    <t>Retiro de membrana impermeabilizante existente, incluye retiro de todos los elementos que conforman la estructura de la misma (VER ANEXO TÉCNICO).</t>
  </si>
  <si>
    <t>1.11</t>
  </si>
  <si>
    <t>Demolición de piso existente, incluye demolición de mortero de nivelación hasta encontrar placa estructural (VER ANEXO TÉCNICO).</t>
  </si>
  <si>
    <t>1.12</t>
  </si>
  <si>
    <t>Desmonte, almacenaje y reinstalación de mobiliario y equipos existentes, (VER ANEXO TÉCNICO).</t>
  </si>
  <si>
    <t>1.13</t>
  </si>
  <si>
    <t>Limpieza y desinfección con hipoclorito y detergente de áreas a intervenir en sala de necropsias (VER ANEXO TÉCNICO).</t>
  </si>
  <si>
    <t>1.14</t>
  </si>
  <si>
    <t>Desmonte y limpieza de láminas de cielorraso en fibra mineral. (VER ANEXO TÉCNICO).</t>
  </si>
  <si>
    <t>II</t>
  </si>
  <si>
    <t>INSTALACIONES HIDROSANITARIAS</t>
  </si>
  <si>
    <t>2.1</t>
  </si>
  <si>
    <t>Punto Sanitario de 2", incluye tubería hasta 1,50 m, accesorios PVC (VER ANEXO TÉCNICO).</t>
  </si>
  <si>
    <t>2.2</t>
  </si>
  <si>
    <t>Tubería PVC-sanitaria ∅2", incluye tubería PVC, accesorios PVC (VER ANEXO TÉCNICO).</t>
  </si>
  <si>
    <t>2.3</t>
  </si>
  <si>
    <t>Punto agua fría de ∅1/2", incluye tubería hasta 1,5 m, accesorios de PVC (VER ANEXO TÉCNICO).</t>
  </si>
  <si>
    <t>2.4</t>
  </si>
  <si>
    <t>Red agua fría PVC presión ∅1/2", Incluye tubería de PVC RDE 9, accesorios de PVC (VER ANEXO TÉCNICO).</t>
  </si>
  <si>
    <t>2.5</t>
  </si>
  <si>
    <t xml:space="preserve">Registro PVC 1/2"  (Válvula 235 PSI) tipo pesado (VER ANEXO TÉCNICO).                                                                                                                                                                                                                                                                                                                                                                                      </t>
  </si>
  <si>
    <t>2.6</t>
  </si>
  <si>
    <t>Sondeo de punto sanitario y/o desagüe con sonda eléctrica (VER ANEXO TÉCNICO).</t>
  </si>
  <si>
    <t>III</t>
  </si>
  <si>
    <t>3.1</t>
  </si>
  <si>
    <t>Pañete liso impermeabilizado 1:3,  (VER ANEXO TÉCNICO).</t>
  </si>
  <si>
    <t>3.2</t>
  </si>
  <si>
    <t>Cambio de piezas rotas o en mal estado en enchape cerámico (piso-pared) homologando caracteristicas existentes  (VER ANEXO TÉCNICO).</t>
  </si>
  <si>
    <t>3.3</t>
  </si>
  <si>
    <t>Mantenimiento y renovación de  mesones de lavamanos en material pétreo 0,60 m de ancho  (VER ANEXO TÉCNICO).</t>
  </si>
  <si>
    <t>IV</t>
  </si>
  <si>
    <t>4.1</t>
  </si>
  <si>
    <t>Construcción de guarda escoba media caña en granito lavado de 0,10 m. x 0,10 m., (VER ANEXO TÉCNICO).</t>
  </si>
  <si>
    <t>4.2</t>
  </si>
  <si>
    <t>Alistado de piso y pendientado en mortero impermeabilizado 1 :3 (VER ANEXO TÉCNICO).</t>
  </si>
  <si>
    <t>4.3</t>
  </si>
  <si>
    <t>Reparación de piso epóxico semiliso color plano, incluye preparación de la superficie, tratamiento de fisuras, recubrimiento epóxico multicapa 3 mm y todos los elementos y materiales necesarios para su ejecución. (VER ANEXO TÉCNICO)</t>
  </si>
  <si>
    <t>4.4</t>
  </si>
  <si>
    <t>4.5</t>
  </si>
  <si>
    <t>Placa de contrapiso en concreto de 3,000 psi, (VER ANEXO TÉCNICO).</t>
  </si>
  <si>
    <t>4.6</t>
  </si>
  <si>
    <t>Suministro e instalación acabado de piso en gravilla lavada grano 1 color a escoger (VER ANEXO TÉCNICO).</t>
  </si>
  <si>
    <t>V</t>
  </si>
  <si>
    <t>5.1</t>
  </si>
  <si>
    <t>Suministro e instalación de cielorraso en lámina de superboard 6mm.  (VER ANEXO TÉCNICO).</t>
  </si>
  <si>
    <t>5.2</t>
  </si>
  <si>
    <t>Cambio de láminas de cielorraso en fibra mineral (VER ANEXO TÉCNICO).</t>
  </si>
  <si>
    <t>5.3</t>
  </si>
  <si>
    <t>Suministro e instalación de cielo raso en PVC sistema GSP plano (VER ANEXO TÉCNICO).</t>
  </si>
  <si>
    <t>VI</t>
  </si>
  <si>
    <t>6.1</t>
  </si>
  <si>
    <t>Reparación de humedades en mampostería existente, con resina acuosa de impregnación a dos manos.   (VER ANEXO TÉCNICO).</t>
  </si>
  <si>
    <t>6.2</t>
  </si>
  <si>
    <t>Corrección de filtración en cielorraso, incluye inspección y detección de tubería con filtraciones o condensación (VER ANEXO TÉCNICO).</t>
  </si>
  <si>
    <t>6.3</t>
  </si>
  <si>
    <t>Prelavado de áreas de fachada en ladrillo a la vista (VER ANEXO TÉCNICO).</t>
  </si>
  <si>
    <t>6.4</t>
  </si>
  <si>
    <t>Emboquillado de fachada en ladrillo a la vista (VER ANEXO TÉCNICO).</t>
  </si>
  <si>
    <t>6.5</t>
  </si>
  <si>
    <t>Impermeabilización de fachadas en ladrillo a la vista mediante hidrófugo  (VER ANEXO TÉCNICO).</t>
  </si>
  <si>
    <t>6.6</t>
  </si>
  <si>
    <t>Siliconado perimetral de juntas de ventanas  (VER ANEXO TÉCNICO).</t>
  </si>
  <si>
    <t>6.7</t>
  </si>
  <si>
    <t>Lavado y brillado general de ventanería y perfilería (VER ANEXO TÉCNICO).</t>
  </si>
  <si>
    <t>6.8</t>
  </si>
  <si>
    <t>Suministro e instalación de membrana sarnafil  (VER ANEXO TÉCNICO).</t>
  </si>
  <si>
    <t>6.9</t>
  </si>
  <si>
    <t>Reparación de humedades en mampostería existente  (VER ANEXO TÉCNICO).</t>
  </si>
  <si>
    <t>VII</t>
  </si>
  <si>
    <t>Suministro e instalación de orinal blanco de entrada superior, 0,5 lpf Gricol o similar (VER ANEXO TÉCNICO).</t>
  </si>
  <si>
    <t>Suministro e instalación de lavamanos de incrustar en porcelana sanitaria brillante color blanco (VER ANEXO TÉCNICO).</t>
  </si>
  <si>
    <t>Suministro e instalación de lavamanos de colgar en porcelana blanco (Happy Blanco) (VER ANEXO TÉCNICO).</t>
  </si>
  <si>
    <t>Suministro e instalación de grifería Institucional de mesa tipo push para lavamanos (VER ANEXO TÉCNICO).</t>
  </si>
  <si>
    <t>Suministro e instalación de conjunto grifería completa sanitario (VER ANEXO TÉCNICO).</t>
  </si>
  <si>
    <t>Suministro e instalación de lavamanos quirúrgico de dos puestos accionamiento con pedal (VER ANEXO TÉCNICO).</t>
  </si>
  <si>
    <t>Destape red sanitaria existente incluye sondeo de tubería reemplazo de accesorios y tubería existente  (VER ANEXO TÉCNICO).</t>
  </si>
  <si>
    <t>VIII</t>
  </si>
  <si>
    <t>Mantenimiento de puerta, incluye asegurado del marco a la mampostería (VER ANEXO TÉCNICO).</t>
  </si>
  <si>
    <t>Suministro e instalación ángulos (3,0*3,0") en lámina de acero inoxidable calibre 16 (VER ANEXO TÉCNICO).</t>
  </si>
  <si>
    <t>Suministro e instalación de división de baño, fabricadas en acero inoxidable calibre 20   (VER ANEXO TÉCNICO).</t>
  </si>
  <si>
    <t>Suministro e instalación de división de orinal, fabricado en acero inoxidable calibre 20  ref. 304 (VER ANEXO TÉCNICO).</t>
  </si>
  <si>
    <t>Suministro e instalación de rejilla de cárcamo vehicular de 0,50 m de ancho elaborada en varilla corrugada de acero  (VER ANEXO TÉCNICO).</t>
  </si>
  <si>
    <t>IX</t>
  </si>
  <si>
    <t>Estuco acrílico, incluye filos (esquineras plásticas)  (VER ANEXO TÉCNICO).</t>
  </si>
  <si>
    <t>Suministro e instalación de pintura epóxica poliamida, recubrimiento protector para muros y techos  (VER ANEXO TÉCNICO).</t>
  </si>
  <si>
    <t>Pintura vinilo tipo 1  dos manos para muros interiores a partir de borde de enchape y cielorrasos  (VER ANEXO TÉCNICO).</t>
  </si>
  <si>
    <t>X</t>
  </si>
  <si>
    <t>10.1</t>
  </si>
  <si>
    <t>Suministro e instalacion de espejo de 5 mm   (VER ANEXO TÉCNICO).</t>
  </si>
  <si>
    <t>10.2</t>
  </si>
  <si>
    <t>Suministro e instalación de cinta antideslizante foto-luminiscente  (VER ANEXO TÉCNICO).</t>
  </si>
  <si>
    <t>10.3</t>
  </si>
  <si>
    <t>Suministro e instalación de cierrapuertas (gato hidráulico)   (VER ANEXO TÉCNICO).</t>
  </si>
  <si>
    <t>10.4</t>
  </si>
  <si>
    <t>Suministro e instalación de guarda camilla en PVC  (VER ANEXO TÉCNICO).</t>
  </si>
  <si>
    <t>10.5</t>
  </si>
  <si>
    <t>Suministro e instalación de terminales para guarda camilla  (VER ANEXO TÉCNICO).</t>
  </si>
  <si>
    <t>10.6</t>
  </si>
  <si>
    <t>Suministro e instalación de rinconeras para guarda camilla   (VER ANEXO TÉCNICO).</t>
  </si>
  <si>
    <t>10.7</t>
  </si>
  <si>
    <t>Suministro e instalación de esquineros para guarda camilla   (VER ANEXO TÉCNICO).</t>
  </si>
  <si>
    <t>10.8</t>
  </si>
  <si>
    <t>Suministro e instalación de jaboneras en acero inoxidable   (VER ANEXO TÉCNICO).</t>
  </si>
  <si>
    <t>10.9</t>
  </si>
  <si>
    <t>Suministro e instalación de tapa registro de 20×20 cm de empotrar  (VER ANEXO TÉCNICO).</t>
  </si>
  <si>
    <t>XI</t>
  </si>
  <si>
    <t>11.1</t>
  </si>
  <si>
    <t>Desmonte, retiro y disposición final en botadero autorizado ó sitio donde la Entidad indique, de instalaciones eléctricas   (VER ANEXO TÉCNICO).</t>
  </si>
  <si>
    <t>GL</t>
  </si>
  <si>
    <t>11.2</t>
  </si>
  <si>
    <t>Suministro de materiales y mano de obra para Instalación de salida a 220V para sistema de aire acondicionado  (VER ANEXO TÉCNICO).</t>
  </si>
  <si>
    <t>UD</t>
  </si>
  <si>
    <t>11.3</t>
  </si>
  <si>
    <t>Suministro de materiales y mano de obra para Instalación de tomacorriente doble, tierra aislada color blanco empotrado, 2P+T 15A 125V  (VER ANEXO TÉCNICO).</t>
  </si>
  <si>
    <t>11.4</t>
  </si>
  <si>
    <t>Suministro de materiales y mano de obra para Instalación de tomacorriente doble GFCI empotrado, 2P+T 15A 120V  (VER ANEXO TÉCNICO).</t>
  </si>
  <si>
    <t>11.5</t>
  </si>
  <si>
    <t>Suministro de materiales y mano de obra para Instalación de tomacorriente doble GFCI empotrado, 2P+T 15A 125V  (VER ANEXO TÉCNICO).</t>
  </si>
  <si>
    <t>11.6</t>
  </si>
  <si>
    <t>Suministro de materiales y mano de obra para Instalación de salida a 120V para tomacorriente normal, grado comercial 2P+T 15A 120V  (VER ANEXO TÉCNICO).</t>
  </si>
  <si>
    <t>11.7</t>
  </si>
  <si>
    <t>Suministro de materiales y mano de obra para instalación de salida para toma especial NEMA L6-30 120V 1F+1N+T 30 A   (VER ANEXO TÉCNICO).</t>
  </si>
  <si>
    <t>11.8</t>
  </si>
  <si>
    <t>Suministro de materiales y mano de obra para Instalación de salida para interruptor sencillo empotrado con independización del circuito de control de iluminación  (VER ANEXO TÉCNICO).</t>
  </si>
  <si>
    <t>11.9</t>
  </si>
  <si>
    <t>Suministro de materiales y mano de obra para Instalación de salida para interruptor doble empotrado con independización del circuito de control de iluminación  (VER ANEXO TÉCNICO).</t>
  </si>
  <si>
    <t>11.10</t>
  </si>
  <si>
    <t>Suministro de materiales y mano de obra para Instalación de salida para interruptor doble conmutable empotrado con independización del circuito de control de iluminación  (VER ANEXO TÉCNICO).</t>
  </si>
  <si>
    <t>11.11</t>
  </si>
  <si>
    <t>Suministro de materiales y mano de obra para Instalación de salida para interruptor sencillo conmutable empotrado con independización del circuito de control de iluminación  (VER ANEXO TÉCNICO).</t>
  </si>
  <si>
    <t>11.12</t>
  </si>
  <si>
    <t>Suministro de materiales y mano de obra para Instalación de salida para iluminación  (VER ANEXO TÉCNICO).</t>
  </si>
  <si>
    <t>11.13</t>
  </si>
  <si>
    <t>Suministro de materiales y mano de obra para Instalación de sensor de presencia para control de iluminación  (VER ANEXO TÉCNICO).</t>
  </si>
  <si>
    <t>11.14</t>
  </si>
  <si>
    <t>Suministro de materiales y mano de obra para Instalación de tapa ciega en acero inoxidable para caja 5800 con empaque  (VER ANEXO TÉCNICO).</t>
  </si>
  <si>
    <t>11.15</t>
  </si>
  <si>
    <t>Suministro de materiales y mano de obra para Instalación de tapa ciega plastica para caja 5800 con empaque  (VER ANEXO TÉCNICO).</t>
  </si>
  <si>
    <t>11.16</t>
  </si>
  <si>
    <t>Desmonte de luminaria de incrustar existente 60 x 60 cm, tubo fluorescente T8 de 4x17W  (VER ANEXO TÉCNICO).</t>
  </si>
  <si>
    <t>11.17</t>
  </si>
  <si>
    <t>Desmonte de luminaria de incrustar existente 30x120cm tubo fluorescente T8 de 2x32W; o 120 W  (VER ANEXO TÉCNICO).</t>
  </si>
  <si>
    <t>11.18</t>
  </si>
  <si>
    <t>Desmonte de luminaria panel circular led  existente circular 18-25W   (VER ANEXO TÉCNICO).</t>
  </si>
  <si>
    <t>11.19</t>
  </si>
  <si>
    <t>Suministro e Instalación de luminaria tipo panel stil led backlight 60X60cm 40W, 3000K-6500K, 4051lm, IP40 montaje de sobreponer o incrustar  (VER ANEXO TÉCNICO).</t>
  </si>
  <si>
    <t>11.20</t>
  </si>
  <si>
    <t>Suministro e instalación de luminaria solar para aplicación de alumbrado público  (VER ANEXO TÉCNICO).</t>
  </si>
  <si>
    <t>11.21</t>
  </si>
  <si>
    <t>Suministro e Instalación de luminaria tipo panel led redondo 18W, minimo 4000K, 1300lm, IP20 montaje de incrustar  (VER ANEXO TÉCNICO).</t>
  </si>
  <si>
    <t>11.22</t>
  </si>
  <si>
    <t>Suministro e Instalación de luminaria tipo bala stil led Flat 22W, 100,000 horas  (VER ANEXO TÉCNICO).</t>
  </si>
  <si>
    <t>11.23</t>
  </si>
  <si>
    <t>Suministro e Instalación de luminaria tipo panel led redondo 36W hermética IP65 acabado en pintura electrostática   (VER ANEXO TÉCNICO).</t>
  </si>
  <si>
    <t>11.24</t>
  </si>
  <si>
    <t>Suministro e Instalación de luminaria tipo panel led redondo 27W hermética acabado en pintura electrostática y difusor en policarbonato  (VER ANEXO TÉCNICO).</t>
  </si>
  <si>
    <t>11.25</t>
  </si>
  <si>
    <t>Suministro e Instalación de luminaria tipo panel stil led backligh   (VER ANEXO TÉCNICO).</t>
  </si>
  <si>
    <t>11.26</t>
  </si>
  <si>
    <t>Desmonte,limpieza, desinfeccion mantenimiento y reinstalacion de luminaria de incrustar   (VER ANEXO TÉCNICO).</t>
  </si>
  <si>
    <t>11.27</t>
  </si>
  <si>
    <t>Suministro e instalación de aplique de emergencia Stil LED bala de 5W  (VER ANEXO TÉCNICO).</t>
  </si>
  <si>
    <t>11.28</t>
  </si>
  <si>
    <t>Suministro e instalación de aplique de emergencia Stil LED aviso de salida 1W  (VER ANEXO TÉCNICO).</t>
  </si>
  <si>
    <t>11.29</t>
  </si>
  <si>
    <t>Suministro de materiales y mano de obra para Instalación de tuberia conduit EMT de 1"   (VER ANEXO TÉCNICO).</t>
  </si>
  <si>
    <t>11.30</t>
  </si>
  <si>
    <t>Suministro de materiales y mano de obra para Instalación de tuberia conduit EMT de 3/4"   (VER ANEXO TÉCNICO).</t>
  </si>
  <si>
    <t>11.31</t>
  </si>
  <si>
    <t>Suministro de materiales y mano de obra para Instalación de tuberia conduit IMC de 1"  (VER ANEXO TÉCNICO).</t>
  </si>
  <si>
    <t>11.32</t>
  </si>
  <si>
    <t>Suministro de materiales y mano de obra para Instalación de tuberia conduit IMC de 3/4"  (VER ANEXO TÉCNICO).</t>
  </si>
  <si>
    <t>11.33</t>
  </si>
  <si>
    <t>Suministro de materiales y mano de obra para Instalación de conduleta LR o LL en aluminio inyectado para tuberia de 1"  (VER ANEXO TÉCNICO).</t>
  </si>
  <si>
    <t>11.34</t>
  </si>
  <si>
    <t>Suministro de materiales y mano de obra para Instalación de conduleta LR o LL en aluminio inyectado para tuberia de 3/4"  (VER ANEXO TÉCNICO).</t>
  </si>
  <si>
    <t>11.35</t>
  </si>
  <si>
    <t>Suministro de materiales y mano de obra para Instalación de tuberia flexible tipo americana conduit liquid tight de 3/4"  (VER ANEXO TÉCNICO).</t>
  </si>
  <si>
    <t>11.36</t>
  </si>
  <si>
    <t>Suministro e instalación de conductores, cable de cobre trenzado calibre 3x12 AWG LSZH fase roja  (VER ANEXO TÉCNICO).</t>
  </si>
  <si>
    <t>11.37</t>
  </si>
  <si>
    <t>Suministro de materiales y mano de obra para Instalación de canaleta de superficie plástica dexson o similar 100x45 con división y tapa  (VER ANEXO TÉCNICO).</t>
  </si>
  <si>
    <t>12.1</t>
  </si>
  <si>
    <t>Desmonte, retiro y reinstalación de salida para sensor de humo fotoeléctrico   (VER ANEXO TÉCNICO).</t>
  </si>
  <si>
    <t>12.2</t>
  </si>
  <si>
    <t>Desmonte y retiro de sensor de humo fotoeléctrico  (VER ANEXO TÉCNICO).</t>
  </si>
  <si>
    <t>12.3</t>
  </si>
  <si>
    <t>Suministro de materiales y mano de obra para Instalación de salida para sensores  (VER ANEXO TÉCNICO).</t>
  </si>
  <si>
    <t>12.4</t>
  </si>
  <si>
    <t>Suministro e Instalación de Sensor de humo fotoeléctrico direccionable listado UL  (VER ANEXO TÉCNICO).</t>
  </si>
  <si>
    <t>12.5</t>
  </si>
  <si>
    <t>Suministro e Instalación de Sensor doble tecnologia humo,fotoelectrico y temperatura direccionable listado UL  (VER ANEXO TÉCNICO).</t>
  </si>
  <si>
    <t>12.6</t>
  </si>
  <si>
    <t>Suministro e Instalación de Strobo multicandela con sirena electrónica 12V/24V  (VER ANEXO TÉCNICO).</t>
  </si>
  <si>
    <t>12.7</t>
  </si>
  <si>
    <t>Suministro e Instalación de Estación Manual  (VER ANEXO TÉCNICO).</t>
  </si>
  <si>
    <t>12.8</t>
  </si>
  <si>
    <t>Suministro de materiales y mano de obra para instalación de alambre alarma de cobre   (VER ANEXO TÉCNICO).</t>
  </si>
  <si>
    <t>12.9</t>
  </si>
  <si>
    <t>12.10</t>
  </si>
  <si>
    <t>Suministro e instalacion de baterias de 12 V, 9A  (VER ANEXO TÉCNICO).</t>
  </si>
  <si>
    <t>12.11</t>
  </si>
  <si>
    <t>Mantenimiento a panel de alarmas principal y sus componente  (VER ANEXO TÉCNICO).</t>
  </si>
  <si>
    <t>13.1</t>
  </si>
  <si>
    <t>Desmonte, retiro y disposición final en botadero autorizado ó sitio donde la Entidad indique, de sistema de aire acondicionado de 12.000 BTU/ 18.000 BTU/ 24.000 BTU (VER ANEXO TÉCNICO).</t>
  </si>
  <si>
    <t>13.2</t>
  </si>
  <si>
    <t>Suministro e instalación de aire acondicionado inverter tipo mini split de una capacidad de 18.000 BTU (VER ANEXO TÉCNICO).</t>
  </si>
  <si>
    <t>13.3</t>
  </si>
  <si>
    <t>Suministro e instalacion de aire acondicionado inverter tipo mini split de una capacidad de 12.000 BTU (VER ANEXO TÉCNICO).</t>
  </si>
  <si>
    <t>13.4</t>
  </si>
  <si>
    <t>Suministro e instalacion de aire acondicionado inverter tipo mini split de una capacidad de 9.000 BTU, 208V (VER ANEXO TÉCNICO).</t>
  </si>
  <si>
    <t>13.5</t>
  </si>
  <si>
    <t>Suministro e instalacion de ventilador industrial tipo pared, con control remoto con capacidad de 90 W, 120V (VER ANEXO TÉCNICO).</t>
  </si>
  <si>
    <t>13.6</t>
  </si>
  <si>
    <t>Suministro de materiales y mano de obra para realizar mantenimiento preventivo y correctivo de equipos hidroneumatico en cuarto de bombas (VER ANEXO TÉCNICO).</t>
  </si>
  <si>
    <t>XIV</t>
  </si>
  <si>
    <t>14.1</t>
  </si>
  <si>
    <t>Suministro de materiales y mano de obra para realizar el mantenimiento de unidad manejadora sistema de recirculación existente de 3000 cfm para conversión a sistema de extracción (VER ANEXO TÉCNICO).</t>
  </si>
  <si>
    <t>14.2</t>
  </si>
  <si>
    <t>Desmonte, retiro y disposición final en botadero autorizado de ductos del sistema de ventilación exitente  (VER ANEXO TÉCNICO).</t>
  </si>
  <si>
    <t>14.3</t>
  </si>
  <si>
    <t>Desmonte, retiro y disposición en sitio donde la Entidad indique dentro de la sede unidad de Sistema de aire acondicionado tipo paquete de 90.000 BTU/hora (VER ANEXO TÉCNICO).</t>
  </si>
  <si>
    <t>14.4</t>
  </si>
  <si>
    <t>Suministro e instalación de bandas de lona entrada y salida de unidad manejadora de aproximadamente 40cm de ancho (VER ANEXO TÉCNICO).</t>
  </si>
  <si>
    <t>14.5</t>
  </si>
  <si>
    <t>Ducto ó figura TDC CALIBRE 20 Fabricado a todo costo incluye (VER ANEXO TÉCNICO).</t>
  </si>
  <si>
    <t>14.6</t>
  </si>
  <si>
    <t>Ducto ó figura TDC CALIBRE 22 Fabricado a todo costo incluye (VER ANEXO TÉCNICO).</t>
  </si>
  <si>
    <t>14.7</t>
  </si>
  <si>
    <t>Ducto ó figura TDC CALIBRE 24 Fabricado a todo costo  (VER ANEXO TÉCNICO).</t>
  </si>
  <si>
    <t>14.8</t>
  </si>
  <si>
    <t>Dampers regulación de caudal en la ducteria de 16"X8"  (VER ANEXO TÉCNICO).</t>
  </si>
  <si>
    <t>14.9</t>
  </si>
  <si>
    <t>Dampers regulación de caudal en la ducteria de 14"X8" (VER ANEXO TÉCNICO).</t>
  </si>
  <si>
    <t>14.10</t>
  </si>
  <si>
    <t>Dampers regulación de caudal en la ducteria de 12"X6"  (VER ANEXO TÉCNICO).</t>
  </si>
  <si>
    <t>14.11</t>
  </si>
  <si>
    <t>Dampers regulación de caudal en la ducteria de 10"X6" (VER ANEXO TÉCNICO).</t>
  </si>
  <si>
    <t>14.12</t>
  </si>
  <si>
    <t>Rejilla para toma de aire 14"X14" (VER ANEXO TÉCNICO).</t>
  </si>
  <si>
    <t>14.13</t>
  </si>
  <si>
    <t>Rejilla para toma de aire 12"X12" (VER ANEXO TÉCNICO).</t>
  </si>
  <si>
    <t>14.14</t>
  </si>
  <si>
    <t>Rejilla para toma de aire 10"X10" (VER ANEXO TÉCNICO).</t>
  </si>
  <si>
    <t>14.15</t>
  </si>
  <si>
    <t>Rejilla para toma de aire 8"X8" (VER ANEXO TÉCNICO).</t>
  </si>
  <si>
    <t>14.16</t>
  </si>
  <si>
    <t>Suministro e instalación de pre filtros plata o similar para retención de partículas 24"X24"X2"  (VER ANEXO TÉCNICO).</t>
  </si>
  <si>
    <t>14.17</t>
  </si>
  <si>
    <t>Suministro e instalación de fltros de carbón activado tipo granular o peletizado para retención de olores y vapores 24"X24"X2" (VER ANEXO TÉCNICO).</t>
  </si>
  <si>
    <t>14.18</t>
  </si>
  <si>
    <t>Suministro e instalación de filtros HEPA para retención de partículas de 0,3 micras  (VER ANEXO TÉCNICO).</t>
  </si>
  <si>
    <t>14.19</t>
  </si>
  <si>
    <t>Mantenimiento de tableros de fuerza y control exitentes (VER ANEXO TÉCNICO).</t>
  </si>
  <si>
    <t>14.20</t>
  </si>
  <si>
    <t>Suministro e instalación de tablero fuerza y control tipo intemperie para el sistema de extracción de Sala de necropsias y áreas conexas (VER ANEXO TÉCNICO).</t>
  </si>
  <si>
    <t>XV</t>
  </si>
  <si>
    <t>15.1</t>
  </si>
  <si>
    <t>Sistema de aire acondicionado área de sala de necropsias y rayos X (VER ANEXO TÉCNICO).</t>
  </si>
  <si>
    <t>15.2</t>
  </si>
  <si>
    <t>Desmonte, retiro y disposición final de unidad manejadora sistema de extracción existente para sala de sépticos (VER ANEXO TÉCNICO).</t>
  </si>
  <si>
    <t>15.3</t>
  </si>
  <si>
    <t>Ducto ó figura TDC CALIBRE 22 Fabricado a todo costo  (VER ANEXO TÉCNICO).</t>
  </si>
  <si>
    <t>15.4</t>
  </si>
  <si>
    <t>Ducto ó figura TDC CALIBRE 24 Fabricado a todo costo (VER ANEXO TÉCNICO).</t>
  </si>
  <si>
    <t>15.5</t>
  </si>
  <si>
    <t>Ducto ó figura TDC CALIBRE 22 Fabricado a todo costo (VER ANEXO TÉCNICO).</t>
  </si>
  <si>
    <t>15.6</t>
  </si>
  <si>
    <t>Dampers regulación de caudal en la ducteria de 18"X14"  (VER ANEXO TÉCNICO).</t>
  </si>
  <si>
    <t>15.7</t>
  </si>
  <si>
    <t>Dampers regulación de caudal en la ducteria de 16"X14" (VER ANEXO TÉCNICO).</t>
  </si>
  <si>
    <t>15.8</t>
  </si>
  <si>
    <t>Dampers regulación de caudal en la ducteria de 16"X10" (VER ANEXO TÉCNICO).</t>
  </si>
  <si>
    <t>15.9</t>
  </si>
  <si>
    <t>15.10</t>
  </si>
  <si>
    <t>Dampers regulación de caudal en la ducteria de 14"X12" (VER ANEXO TÉCNICO).</t>
  </si>
  <si>
    <t>15.11</t>
  </si>
  <si>
    <t>15.12</t>
  </si>
  <si>
    <t>Rejilla para toma de aire 16"X14" (VER ANEXO TÉCNICO).</t>
  </si>
  <si>
    <t>15.13</t>
  </si>
  <si>
    <t>15.14</t>
  </si>
  <si>
    <t>Rejilla difusora de aire 14"X12"  (VER ANEXO TÉCNICO).</t>
  </si>
  <si>
    <t>15.15</t>
  </si>
  <si>
    <t>Rejilla difusora de aire 10"X10"  (VER ANEXO TÉCNICO).</t>
  </si>
  <si>
    <t>15.16</t>
  </si>
  <si>
    <t>Controlador electrónico ubicado en el laboratorio que permita programar y ajustar la temperatura de uso (VER ANEXO TÉCNICO).</t>
  </si>
  <si>
    <t>15.17</t>
  </si>
  <si>
    <t>Suministro e instalación de tablero fuerza y control tipo intemperie para el sistema de aire acondicionado área de Sala de necropsias (VER ANEXO TÉCNICO).</t>
  </si>
  <si>
    <t>XVI</t>
  </si>
  <si>
    <t>16.1</t>
  </si>
  <si>
    <t>Sistema de aire acondicionado área sépticos, de expansion directa, doble circuito, doble pared, con capacidad mínima de 42,000 BTU  (VER ANEXO TÉCNICO).</t>
  </si>
  <si>
    <t>16.2</t>
  </si>
  <si>
    <t>Desmonte, retiro y disposición final en botadero autorizado de ductos del sistema de ventilación exitente (extracción) en áreas de patología (VER ANEXO TÉCNICO).</t>
  </si>
  <si>
    <t>16.3</t>
  </si>
  <si>
    <t>Ducto ó figura TDC CALIBRE 22  (VER ANEXO TÉCNICO).</t>
  </si>
  <si>
    <t>16.4</t>
  </si>
  <si>
    <t>Ducto ó figura TDC CALIBRE 24  (VER ANEXO TÉCNICO).</t>
  </si>
  <si>
    <t>16.5</t>
  </si>
  <si>
    <t>16.6</t>
  </si>
  <si>
    <t>Dampers regulación de caudal en la ducteria de 12"X10" (VER ANEXO TÉCNICO).</t>
  </si>
  <si>
    <t>16.7</t>
  </si>
  <si>
    <t>Dampers regulación de caudal en la ducteria de 12"X8"  (VER ANEXO TÉCNICO).</t>
  </si>
  <si>
    <t>16.8</t>
  </si>
  <si>
    <t>16.9</t>
  </si>
  <si>
    <t>Rejilla difusora de aire 12"X10"  (VER ANEXO TÉCNICO).</t>
  </si>
  <si>
    <t>16.10</t>
  </si>
  <si>
    <t>16.11</t>
  </si>
  <si>
    <t>Suministro e instalación de tablero fuerza y control tipo intemperie para el sistema de aire acondicionado área de Sala de sépticos (VER ANEXO TÉCNICO).</t>
  </si>
  <si>
    <t>XVII</t>
  </si>
  <si>
    <t>17.1</t>
  </si>
  <si>
    <t>Sistema de aire acondicionado tipo paquete para área de archivo y exclusas patología (VER ANEXO TÉCNICO).</t>
  </si>
  <si>
    <t>17.2</t>
  </si>
  <si>
    <t>17.3</t>
  </si>
  <si>
    <t>17.4</t>
  </si>
  <si>
    <t>17.5</t>
  </si>
  <si>
    <t>17.6</t>
  </si>
  <si>
    <t>Dampers regulación de caudal en la ducteria de 12"X6" (VER ANEXO TÉCNICO).</t>
  </si>
  <si>
    <t>17.7</t>
  </si>
  <si>
    <t>17.8</t>
  </si>
  <si>
    <t>17.9</t>
  </si>
  <si>
    <t>Rejilla difusora de aire 14"X14"  (VER ANEXO TÉCNICO).</t>
  </si>
  <si>
    <t>17.10</t>
  </si>
  <si>
    <t>17.11</t>
  </si>
  <si>
    <t>17.12</t>
  </si>
  <si>
    <t>Suministro e instalación de tablero fuerza y control tipo intemperie para el sistema de aire acondicionado tipo paquete (VER ANEXO TÉCNICO).</t>
  </si>
  <si>
    <t xml:space="preserve">SUBTOTAL OBRAS </t>
  </si>
  <si>
    <t xml:space="preserve"> </t>
  </si>
  <si>
    <t>NOTA 1:  Se debe tener en cuenta que el PRECIO UNITARIO incluye el valor de A.I.U., además, el IVA correspondiente al 19% se encuentra incluido sobre utilidad, por lo tanto se encuentra inmerso en cada uno de los ítems.</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</si>
  <si>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</si>
  <si>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</si>
  <si>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</si>
  <si>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</si>
  <si>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t xml:space="preserve">NOTA 3: El A.I.U y su discriminación deben estar en porcentaje (%). </t>
  </si>
  <si>
    <t xml:space="preserve">IMPREVISTO
</t>
  </si>
  <si>
    <t>I=</t>
  </si>
  <si>
    <t>NOTA 4: El proponente deberá relacionar el % del A.I.U, que tuvo en cuenta para incorporar en los valores de cada uno de los ítems correspondientes a los costos directos de la obra.</t>
  </si>
  <si>
    <t xml:space="preserve">UTILIDAD
</t>
  </si>
  <si>
    <t>U=</t>
  </si>
  <si>
    <t>TOTAL A.I.U</t>
  </si>
  <si>
    <t>A.I.U.=</t>
  </si>
  <si>
    <t>A</t>
  </si>
  <si>
    <t>MUROS, PAÑETES Y ENCHAPES</t>
  </si>
  <si>
    <t>BASES Y PISOS</t>
  </si>
  <si>
    <t>Reparación de mediacaña (zócalo) en mortero epóxico, semiliso color plano, altura r= 3 cm, h= 9 cm, incluye preparación de la superficie.</t>
  </si>
  <si>
    <t>CIELORRASOS</t>
  </si>
  <si>
    <t>IMPERMEABILIZACIONES</t>
  </si>
  <si>
    <t>GRIFERIAS Y APARATOS SANITARIOS</t>
  </si>
  <si>
    <t>ELEMENTOS METALICOS Y ACERO DE REFUERZO</t>
  </si>
  <si>
    <t>PINTURAS</t>
  </si>
  <si>
    <t>VARIOS</t>
  </si>
  <si>
    <t>INSTALACIONES ELÉCTRICAS Y MECÁNICAS</t>
  </si>
  <si>
    <t xml:space="preserve">Instalaciones electricas e iluminacion </t>
  </si>
  <si>
    <t>Desmonte, retiro y disposición final en botadero autorizado ó sitio donde la Entidad indique, de instalaciones eléctricas ; (incluye retiro de tuberías conduit PVC o existente, ventiladores de aspas, cajas de paso,canaleta, cableado desde salidas eléctricas hasta tablero de distribución,iluminacion, aparatos eléctricos, canaleta de superficie dexson o similar,desmonte de uniones, soportes a techo,angulos internos y externos, derivaciones ,tapas finales, soportes tipo riel, accesorios de suspensión, varilla roscada, chazos y demás elementos de fijacion  y accesorios. y demás elementos eléctricos, incluye salidas eléctricas de alimentación a sistemas de aire acondicionado e identificación y marcación de circuitos).</t>
  </si>
  <si>
    <t>Suministro de materiales y mano de obra para Instalación de salida a 220V para sistema de aire acondicionado y bomba de condensado en caja 20x20x15cm; (incluye  cableado en cable 3x10 AWG LSZH, cable encauchetado 3x10 para control y conexión condensadora y evaporadora, prensaestopas, bornera de conexión, riel omega, frenos para riel, boquilla terminal tuerca y contratuerca para tuberia IMC de 3/4", protector de fase o brekermatic para riel DIN, cajas 20x20x15cm con puerta, terminales de conexión, incluye salidas eléctricas de alimentación a sistemas de aire acondicionado e identificación y marcación de circuitos elementos de fijación y demás elémentos consumibles para su correcta instalación).</t>
  </si>
  <si>
    <t>Suministro de materiales y mano de obra para Instalación de tomacorriente doble, tierra aislada color blanco empotrado, 2P+T 15A 125V; (incluye toma doble tierra aislada normal, retiro y disposición final de tomacorriente existente, tapa, elementos de fijación y demas elémentos consumibles para su correcta instalación).</t>
  </si>
  <si>
    <t>Suministro de materiales y mano de obra para Instalación de tomacorriente doble GFCI empotrado, 2P+T 15A 120V; (incluye toma doble GFCI, retiro y disposición final de tomacorriente existente,  tapa de protección intemperie en aluminio inyectado waterproff, elementos de fijación y demas elémentos consumibles para su correcta instalación).</t>
  </si>
  <si>
    <t>Suministro de materiales y mano de obra para Instalación de tomacorriente doble GFCI empotrado, 2P+T 15A 125V; (incluye toma doble GFCI, retiro y disposición final de tomacorriente existente,  tapa, elementos de fijación y demas elémentos consumibles para su correcta instalación).</t>
  </si>
  <si>
    <t>Suministro de materiales y mano de obra para Instalación de salida a 120V para tomacorriente normal, grado comercial 2P+T 15A 120V,  (incluye  cableado en cable trenzado  3x12 AWG LSZH, tapa, elementos de fijación y demas elémentos consumibles para su correcta instalación).</t>
  </si>
  <si>
    <t>Suministro de materiales y mano de obra para instalación de salida para toma especial NEMA L6-30 120V 1F+1N+T 30 A ,circuito dedicado (incluye  Toma 30A 120V 1F+1N+T seguridad para caja  L630R,  cableado en cable 3x12 AWG THHN,Clavija L630P  abrazaderas,conectores para empalme, tapa, elementos de fijación y demas elémentos consumibles para su correcta instalación).</t>
  </si>
  <si>
    <t>Suministro de materiales y mano de obra para Instalación de salida para interruptor sencillo empotrado con independización del circuito de control de iluminación; (incluye interruptor, cableado en cable  3x12 AWG LSZH, conectores para empalme y demás elémentos consumibles para su correcta instalación).</t>
  </si>
  <si>
    <t>Suministro de materiales y mano de obra para Instalación de salida para interruptor doble empotrado con independización del circuito de control de iluminación; (incluye interruptor, cableado en cable  4x12 AWG LSZH, conectores para empalme y demas elémentos consumibles para su correcta instalación).</t>
  </si>
  <si>
    <t>Suministro de materiales y mano de obra para Instalación de salida para interruptor doble conmutable empotrado con independización del circuito de control de iluminación; (incluye interruptor, cableado en cable  4x12 AWG LSZH, conectores para empalme y demas elémentos consumibles para su correcta instalación).</t>
  </si>
  <si>
    <t>Suministro de materiales y mano de obra para Instalación de salida para interruptor sencillo conmutable empotrado con independización del circuito de control de iluminación; (incluye interruptor, cableado en cable  3x12 AWG LSZH, conectores para empalme y demas elémentos consumibles para su correcta instalación).</t>
  </si>
  <si>
    <t>Suministro de materiales y mano de obra para Instalación de salida para iluminación; (incluye tomacorriente monofásico doble 2P+T, 15A-120V, cableado en cable  3x12 AWG, tuberia conduit EMT de 3/4", cajas de paso, conectores para empalme, soporteria necesaria, perfiles riel chanel donde se requiera, grapas, pernos de anclaje, abrazaderas y demas elémentos consumibles para su correcta instalación).</t>
  </si>
  <si>
    <t xml:space="preserve">Suministro de materiales y mano de obra para Instalación de sensor de presencia para control de iluminación, Sensor 360º horizontal Voltaje 120V 60Hz 1000W, Distancia de transmisión 6 metros Material Pasta; (incluye sensor, cableado en cable 2x12 AWG LSZH, tuberia conduit EMT de 3/4", cajas de paso, caja 2400, conectores para empalme, soporterá necesaria, perfiles riel chanel donde se requiera, grapas, pernos de anclaje, abrazaderas y demás elementos consumibles para su correcta instalación. </t>
  </si>
  <si>
    <t>Suministro de materiales y mano de obra para Instalación de tapa ciega en acero inoxidable para caja 5800 con empaque; (incluye tapa ciega en acero inoxidable y demás elémentos consumibles para su correcta instalación).</t>
  </si>
  <si>
    <t>Suministro de materiales y mano de obra para Instalación de tapa ciega plastica para caja 5800 con empaque; (incluye tapa ciega  plastica y demás elémentos consumibles para su correcta instalación).</t>
  </si>
  <si>
    <t>Desmonte de luminaria de incrustar existente 60 x 60 cm, tubo fluorescente T8 de 4x17W; (incluye desmonte de balasto multivoltaje, desmonte de elementos de fijación, aislamiento de lineas de alimentación y disposición final en botadero autorizado o almacenamiento en sitio donde la Entidad lo indique)</t>
  </si>
  <si>
    <t>Desmonte de luminaria de incrustar existente 30x120cm tubo fluorescente T8 de 2x32W; o 120 W(incluye desmonte de balasto multivoltaje, desmonte de elementos de fijación, aislamiento de lineas de alimentación y disposición final en botadero autorizado o almacenamiento en sitio donde la Entidad lo indique)</t>
  </si>
  <si>
    <t>Desmonte de luminaria panel circular led  existente circular 18-25W ; (incluye desmonte de elementos de fijación, aislamiento de lineas de alimentación y disposición final en botadero autorizado o almacenamiento en sitio donde la Entidad lo indique)</t>
  </si>
  <si>
    <t>Suministro e Instalación de luminaria tipo panel stil led backlight 60X60cm 40W, 3000K-6500K, 4051lm, IP40 montaje de sobreponer o incrustar, chasis de aluminio, acabado en pintura electrostática y difusor en policarbonato; (incluye base soporte y caja de ensamble para sobreponer o marco para incrustar, cable encauchetado 3x16 AWG, driver o chip multivoltaje, prensaestopas, tapas, conexionado, conectores y demas elémentos consumibles para su correcta instalación y puesta en funcionamiento).</t>
  </si>
  <si>
    <t xml:space="preserve">Suministro e instalación de luminaria solar para aplicación de alumbrado público, con sensor de movimiento incorporado inteligente, controlador inteligente, bateria de litio de gran capacidad para funcionamiento con carga completa de minimo 10 - 12 horas, panel solar monocristalino integrado, altura de montaje mínimo de 4 - 8m, potencia de mínimo 50W, IP 65, temperatura del color 5700K, flujo luminoso de mínimo 3000lm, vida útil no inferior a 50.000hr, 110 - 220 V, fabricada en material plástico ABS y metal; (incluye control remoto, accesorio de montaje para aplicación en muro o poste, conexionado, instalación de brazo soporte, cinta bandit 1/2" o chazos de anclaje a muro, hebillas para cinta bandit y demás elementos consumibles para su correcta instalación y puesta en funcionamiento)  </t>
  </si>
  <si>
    <t>Suministro e Instalación de luminaria tipo panel led redondo 18W, minimo 4000K, 1300lm, IP20 montaje de incrustar, chasis de aluminio, acabado en pintura electrostática y difusor en policarbonato; (incluye base soporte, cable encauchetado 3x16 AWG y clavija, driver multivoltaje, conexionado, conectores y demas elémentos consumibles para su correcta instalación y puesta en funcionamiento).</t>
  </si>
  <si>
    <t>Suministro e Instalación de luminaria tipo bala stil led Flat 22W, 100,000 horas, 4000K-6500K, 2261lm, IP65 incluye cilindro para aplicación de sobreponer de 15cm color blanco, chasis de aluminio, acabado en pintura electrostática y difusor en policarbonato; (incluye cilindro ensamble para sobreponer, cable encauchetado 3x16 AWG, driver o chip multivoltaje, prensaestopas, tapas, conexionado, conectores, elementos de fijación y demas elémentos consumibles para su correcta instalación y puesta en funcionamiento).</t>
  </si>
  <si>
    <t>Suministro e Instalación de luminaria tipo panel led redondo 36W hermética IP65 acabado en pintura electrostática y difusor en policarbonato; (incluye base soporte, cable encauchetado 3x16 AWG y clavija, driver 0,46A@115VAC, 700mA, conexionado, conectores y demas elémentos consumibles para su correcta instalación y puesta en funcionamiento).</t>
  </si>
  <si>
    <t>Suministro e Instalación de luminaria tipo panel led redondo 27W hermética acabado en pintura electrostática y difusor en policarbonato, Batería de emergencia integrada de 20W, autonomía de 2 horas; (incluye base soporte, cable encauchetado 3x16 AWG y clavija, driver 0,12A@120VAC, 60mA, conexionado, conectores y demas elémentos consumibles para su correcta instalación y puesta en funcionamiento).</t>
  </si>
  <si>
    <t>Suministro e Instalación de luminaria tipo panel stil led backligh 30X120cm 40W, 4000K-6500K, 4029lm, IP65 montaje incrustar o sobreponer, chasis de aluminio, acabado en pintura electrostática epoxica y difusor en policarbonato; (incluye caja de ensamble para sobreponer o marco para incrustar, cable encauchetado 3x16 AWG, driver o chip multivoltaje, prensaestopas, tapas, toma corriente y calvija aérea, conexionado, conectores, e identificación y marcación de circuitos y demas elémentos consumibles para su correcta instalación y puesta en funcionamiento).</t>
  </si>
  <si>
    <t>Desmonte,limpieza, desinfeccion mantenimiento y reinstalacion de luminaria de incrustar  o sobreponer existente de 30x120cm lo 60x60 cm (incluye base soporte y caja de ensamble para sobreponer o marco para incrustar, cable encauchetado 3x16 AWG, driver o chip multivoltaje, prensaestopas, tapas, conexionado, conectores y demas elémentos consumibles para su correcta instalación y puesta en funcionamiento).</t>
  </si>
  <si>
    <t>Suministro e instalación de aplique de emergencia Stil LED bala de 5W, para incrustar, carcasa o cuerpo termoplástico ABS moldeado por inyección chasis color blanco, pulsador para TEST de inspección con indicador de carga y falla bicolor, IP20, 414lm, batería niquel cadmio de 3,6V con autonomía mínima de 90 minutos, tensión de trabajo 110 - 240V. garantía 2 años.  (Incluye cable encauchetado 3x16 AWG LSZH, clavija, conexionado, conectores y demás elementos consumibles para su correcta instalación y puesta en funcionamiento).</t>
  </si>
  <si>
    <t xml:space="preserve">Suministro e instalación de aplique de emergencia Stil LED aviso de salida 1W letras verdes, carcasa o cuerpo termoplástico ABS moldeado por inyección casis color blanco, IP20, batería niquel cadmio de 1,2V con autonomia mínima de 90 minutos, recarga automática después de descargado, tensión de trabajo 110V/277V, garantía 2 años. (Incluye cable encauchetado 3x16 AWG, clavija, conexionado, conectores y demás elementos consumibles para su correcta instalación y puesta en funcionamiento). </t>
  </si>
  <si>
    <t>Suministro de materiales y mano de obra para Instalación de tuberia conduit EMT de 1"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t>
  </si>
  <si>
    <t>Suministro de materiales y mano de obra para Instalación de tuberia conduit EMT de 3/4"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t>
  </si>
  <si>
    <t>Suministro de materiales y mano de obra para Instalación de tuberia conduit IMC de 1" para circuitos de distribución ; (incluye, uniones, elaboración de roscas con terraja, boquillas terminales, soporteria necesaria, perfiles riel chanel donde se requiera, grapas, pernos de anclaje, abrazaderas y demas elementos consumibles para su correcta instalación).</t>
  </si>
  <si>
    <t>Suministro de materiales y mano de obra para Instalación de tuberia conduit IMC de 3/4" para circuitos de distribución ; (incluye, uniones, elaboración de roscas con terraja, cajas de aluminio inyectado 2400, boquillas terminales, soporteria necesaria, perfiles riel chanel donde se requiera, grapas, pernos de anclaje, abrazaderas y demas elementos consumibles para su correcta instalación).</t>
  </si>
  <si>
    <t>Suministro de materiales y mano de obra para Instalación de conduleta LR o LL en aluminio inyectado para tuberia de 1", tapa y empaque, circuitos de dsitribución; (incluye elementos consumibles para su correcta instalación).</t>
  </si>
  <si>
    <t>Suministro de materiales y mano de obra para Instalación de conduleta LR o LL en aluminio inyectado para tuberia de 3/4", tapa y empaque, circuitos de dsitribución; (incluye elementos consumibles para su correcta instalación).</t>
  </si>
  <si>
    <t>Suministro de materiales y mano de obra para Instalación de tuberia flexible tipo americana conduit liquid tight de 3/4" alimentadores circuitos de distribución; (incluye conectores rectos y curvos para coraza LT de 3/4, elementos de fijación y demas elementos consumibles para su correcta instalación).</t>
  </si>
  <si>
    <t xml:space="preserve">Suministro e instalación de conductores, cable de cobre trenzado calibre 3x12 AWG LSZH fase roja, de interconexión desde tableros de distribución hasta salidas de bandeja portacables para alimentación de circuitos ramales;  (incluye elementos consumibles para su correcta instalación) </t>
  </si>
  <si>
    <t>Suministro de materiales y mano de obra para Instalación de canaleta de superficie plástica dexson o similar 100x45 con división y tapa; (incluye accesorios como uniones, angulos externo e internos, derivaciones, angulos planos, tapa final, elementos de fijación y demás elementos consumibles para su correcta instalación).</t>
  </si>
  <si>
    <t>SISTEMAS DE SEGURIDAD INTERIOR</t>
  </si>
  <si>
    <t>XII</t>
  </si>
  <si>
    <t>Sistema alarma detección de incendios</t>
  </si>
  <si>
    <t xml:space="preserve">Desmonte, retiro y reintalación de salida para sensor de humo fotoeléctrico , termico  y elementos activos del sistema, estación manual y estrobo multicandela; (incluye desmonte del cableado en cable fplr 2x16 awg, desmonte de tuberia conduit emt de 3/4", coraza LT de 3/4", cajas de paso, conectores, soporteria necesaria, perfiles riel chanel donde se requiera, grapas, pernos de anclaje, abrazaderas y demas elémentos consumibles para su correcta ejecución ,reinstalación) y puesta en funcionamiento).						</t>
  </si>
  <si>
    <t>Desmonte y retiro de sensor de humo fotoeléctrico, termico o de doble tecnologia ; (incluye desmonte de base soporte, conexionado, conectores y demas elémentos consumibles para su correcta ejecución).</t>
  </si>
  <si>
    <t>Suministro de materiales y mano de obra para Instalación de salida para sensores y elementos activos del sistema en caja fundida en aluminio inyectado a presión y acabado en pintura electrostática epóxica tipo rawelt y coraza americana liquit tight de 3/4" hasta base sensor; (incluye: conectores adaptadores de 3/4", tapa y demás elementos consumibles para su correcta instalación).</t>
  </si>
  <si>
    <t>Suministro e Instalación de Sensor de humo fotoeléctrico direccionable listado UL; (incluye base soporte, conexionado, conectores y demás elementos consumibles para su correcta instalación y puesta en funcionamiento).</t>
  </si>
  <si>
    <t>Suministro e Instalación de Sensor doble tecnologia humo,fotoelectrico y temperatura direccionable listado UL; (incluye base soporte, conexionado, conectores y demás elementos consumibles para su correcta instalación y puesta en funcionamiento).</t>
  </si>
  <si>
    <t xml:space="preserve">Suministro e Instalación de Strobo multicandela con sirena electrónica 12V/24V, intensidad seleccionable, sincronizado a 1hz con el Flash, montura en pared, color rojo, listado UL (incluye placa de montaje, conexionado, conectores y demás elementos consumibles para su correcta instalación y puesta en funcionamiento).						</t>
  </si>
  <si>
    <t>Suministro e Instalación de Estación Manual; (incluye stopper, conexionado, conectores y demas elémentos consumibles para su correcta instalación y puesta en funcionamiento).</t>
  </si>
  <si>
    <t>Suministro de materiales y mano de obra para instalación de alambre alarma de cobre FPLR 2x16 AWG norma UL; (incluye todos los elementos consumibles para su correcta intalación y puesta en funcionamiento)</t>
  </si>
  <si>
    <t>Suministro de materiales y mano de obra para Instalación de tuberia conduit EMT de 3/4" para sistema detección de incendios; (incluye, uniones, curvas, boquillas terminales, cajas de paso en aluminio inyectado con tapa, soporteria necesaria, perfiles riel chanel donde se requiera, grapas, pernos de anclaje, abrazaderas y demas elementos consumibles para su correcta instalación).</t>
  </si>
  <si>
    <t>Suministro e instalacion de baterias de 12 V, 9A, para panel principal de alarmas (incluye elementos consumibles para su correcta instalacióny funcionamiento)</t>
  </si>
  <si>
    <t>Mantenimiento a panel de alarmas principal y sus componente .Incluye  mantenimiento general , limpieza externa  e interna, revision de conexiones,Instalación, programación, pruebas, puesta en funcionamiento, planos,capacitación y Revision de funcionamiento  general  de los equipos e identificación y marcación de circuitos</t>
  </si>
  <si>
    <t>XIII</t>
  </si>
  <si>
    <t>SISTEMAS DE AIRE ACONDICIONADO</t>
  </si>
  <si>
    <t>Desmonte, retiro y disposición final en botadero autorizado ó sitio donde la Entidad indique, de sistema de aire acondicionado de 12.000 BTU/ 18.000 BTU/ 24.000 BTU; en el area de zona humeda de antropologia (incluye retiro de tuberías de succión y descarga, desmonte de UD condensadora y evaporadora, demonte de bomba de condensado, desmonte de cableado de potencia y control y demás elementos eléctricos y de soporte).</t>
  </si>
  <si>
    <t xml:space="preserve">Suministro e instalación de aire acondicionado inverter tipo mini split de una capacidad de 18.000 BTU, 208V para el area de trascripción, con refrigerante ecologico, incluye el suministro de tubria de descarga y succion acorde con las UDes condensadoras y evaporadoras con su respectivo aislamiento termico, acometida de fuerza y control entre  la UD evaporadora a UD condensadora (distancia aproximada 6 ML). Dentro del presupuesto se debe considerar la base soporte para la UD condensadora, pasa muro con su respectivo resane e impermeabilizacion para evitar el ingreso de agua al recinto, incluir bomba de condensado para la condensacion.  (incluye todos los materiales necesarios para su correcta ejecución, instalacion y puesta en funcionamiento) </t>
  </si>
  <si>
    <t>Suministro e instalacion de aire acondicionado inverter tipo mini split de una capacidad de 12.000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t>
  </si>
  <si>
    <t>Suministro e instalacion de aire acondicionado inverter tipo mini split de una capacidad de 9.000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t>
  </si>
  <si>
    <t xml:space="preserve">Suministro e instalacion de ventilador industrial tipo pared, con control remoto con capacidad de 90 W, 120V, minimo 4 velocidades, tamano de aspas de 18", para el area de recepcion y cocina, acometidas, incluye conexiones segun necesidad y  descableado.(incluye todos los materiales necesarios para su correcta ejecución, instalacion y puesta en funcionamiento) </t>
  </si>
  <si>
    <t xml:space="preserve">Suministro de materiales y mano de obra para realizar mantenimiento preventivo y correctivo de equipos hidroneumatico en cuarto de bombas, incluye mantenimiento a bomba PETROLLO tipo CP 680A , 10 hp, 3450 RPM, bomba PETROLLO  tipo MKM3/7  , 1,5 HP, 110-220 V,  y sistema hidro-flo de volumne de 22 galones , presion de 125 PSI  TIPO C2N -20 GV,  (influye inspeccion visual, revision general del estado del equipo, limpieza, ajuste mecanico de componente y partes del equipo, revision y chequeo de etapa de control,  de medicion y señalizacion, etapa de potencia ,incluye mantenimento preventivo del motor, desmonte, revisión, pruebas de bobinados, ajuste y/ó cambio de rodamientos de ser necesario, limpieza y pintura exterior, arranque del equipo  y ajuste de parametros  de funcionamiento, pruebas de vacio, conexiones de distribución, terminales de entrada y salida y demás conexiones tanto internas como externas,incluye suministro y cambio de empaque en puertas laterales, revisión, lubricación y/ó cambio de chumaceras de ser necesario, sellado de la estructura para garantizar hermeticidad, limpieza interior, remplazo de componentes de ser necesario , pruebas de funcionamiento con carga.mantenimiento preventivo y correctivo de tablero de fuerza y control, control de encendido de bombas contraincendios, incluye limpíeza, ajuste de conexiones, revisión de elementos de control y maniobra (transformador, relevos, guardamotor, indicadores de parada y de marcha, temporizador, contactores, controles de encendido local y remoto, configuración de controlador puesta a punto, pruebas de operación, pintura del exterior con anticorrosivo y pintura muy resistente a la corrosión tipo intemperie y puesta en funcionamiento incluye elementos consumibles para su correcta ejecución).(incluye todos los materiales necesarios para su correcta ejecución, instalacion y puesta en funcionamiento) </t>
  </si>
  <si>
    <t xml:space="preserve">SISTEMA DE VENTILACIÓN MECÁNICA HVAC </t>
  </si>
  <si>
    <t>SISTEMAS DE EXTRACCION SALA DE NECROPSIAS Y AREAS CONEXAS</t>
  </si>
  <si>
    <t xml:space="preserve">Suministro de materiales y mano de obra para realizar el mantenimiento de unidad manejadora sistema de recirculación existente de 3000 cfm para conversión a sistema de extracción, incluye alineación de motor ventilador, ajuste y mantenimiento de base antivibratoria de ventilador con cambio de resortes de ser necesario, cambio y ajuste de correas, incluye mantenimiento preventivo del motor marca Weg de 5hp, desmonte, revisión y pruebas de bobinados, ajuste y/ó cambio de rodamientos de ser necesario, limpieza y pintura exterior, incluye suministro y cambio de empaques en puertas laterales, revisión, lubricación y/ó cambio de chumaceras de ser necesario, sellado de estructura con sikaflex para garantizar hermeticidad, limpieza interior, cambio de iaslamiento acústico interno deteriorado y ajuste y/ó cambio de láminas internas de protección, ajuste y/ó cambio de guias de filtros, adecuación y refuerzo de estrcutura para la succión y la descarga, la unidad debe ser pintada en el exterior con base de anticorrosivo y  pintura muy resistente a la corrosión tipo intemperie; (incluye todos los materiales necesarios para su correcta ejecución). Dentro del presupuesto se debe considerar el mantenimiento y pintura de la base soporte y su sistema antivibratorio, pintura del exterior con anticorrosivo y pintura muy resistente a la corrosión tipo intemperie; (incluye todos los materiales necesarios para su correcta ejecución) </t>
  </si>
  <si>
    <t>Desmonte, retiro y disposición final en botadero autorizado de ductos del sistema de ventilación exitente (recirculación) en áreas de patología, incluye desmonte de cuellos, uniones, zapatos, rejillas de suministro y retorno, aislamientos, soportería y demás accesorios del sistema.</t>
  </si>
  <si>
    <t xml:space="preserve">Desmonte, retiro y disposición en sitio donde la Entidad indique dentro de la sede unidad de Sistema de aire acondicionado tipo paquete de 90.000 BTU/hora, incluye desmonte de estructura soporte, desmonte de acometidas de potencia y control a 5m, desmonte de tuberias para potencia y control a 5m dispuestas en tuberia metálica tipo EMT y/o IMC.   </t>
  </si>
  <si>
    <t>Suministro e instalación de bandas de lona entrada y salida de unidad manejadora de aproximadamente 40cm de ancho, acoplada a los ductos y figuras de descarga y succión; (incluye suministro de pisalonas en lamina galvanizada calibre 22, tornilleria de ajuste y demás elementos consumibles para su correcta instalación)</t>
  </si>
  <si>
    <t>Ducto ó figura TDC CALIBRE 20 Fabricado a todo costo incluye; (corte, maquinado, esquineros, clips, empaque, tornilleria, transporte, mano de obra para montaje, empaque para unión, elementos y accesorios necesarios para soporte y anclaje).</t>
  </si>
  <si>
    <t>Ducto ó figura TDC CALIBRE 22 Fabricado a todo costo incluye; (corte, maquinado, esquineros, clips, empaque, tornilleria, transporte, mano de obra para montaje, empaque para unión, elementos y accesorios necesarios para soporte y anclaje).</t>
  </si>
  <si>
    <t>Ducto ó figura TDC CALIBRE 24 Fabricado a todo costo incluye; (corte, maquinado, esquineros, clips, empaque, tornilleria, transporte, mano de obra para montaje, empaque para unión, elementos y accesorios necesarios para soporte y anclaje).</t>
  </si>
  <si>
    <t>Dampers regulación de caudal en la ducteria de 16"X8" incluye; (mano de obra para montaje, empaque para unión, elementos y accesorios necesarios para soporte y anclaje).</t>
  </si>
  <si>
    <t>Dampers regulación de caudal en la ducteria de 14"X8" incluye; (mano de obra para montaje, empaque para unión, elementos y accesorios necesarios para soporte y anclaje).</t>
  </si>
  <si>
    <t>Dampers regulación de caudal en la ducteria de 12"X6" incluye; (mano de obra para montaje, empaque para unión, elementos y accesorios necesarios para soporte y anclaje).</t>
  </si>
  <si>
    <t>Dampers regulación de caudal en la ducteria de 10"X6" incluye; (mano de obra para montaje, empaque para unión, elementos y accesorios necesarios para soporte y anclaje).</t>
  </si>
  <si>
    <t>Rejilla para toma de aire 14"X14", dotada de damper para ajuste de caudal (ver rejillas comerciales) incluye; (mano de obra para montaje, elementos y accesorios necesarios para soporte y anclaje).</t>
  </si>
  <si>
    <t>Rejilla para toma de aire 12"X12", dotada de damper para ajuste de caudal (ver rejillas comerciales) incluye; (mano de obra para montaje, elementos y accesorios necesarios para soporte y anclaje).</t>
  </si>
  <si>
    <t>Rejilla para toma de aire 10"X10", dotada de damper para ajuste de caudal (ver rejillas comerciales) incluye; (mano de obra para montaje, elementos y accesorios necesarios para soporte y anclaje).</t>
  </si>
  <si>
    <t>Rejilla para toma de aire 8"X8", dotada de damper para ajuste de caudal (ver rejillas comerciales) incluye; (mano de obra para montaje, elementos y accesorios necesarios para soporte y anclaje).</t>
  </si>
  <si>
    <t>Suministro e instalación de pre filtros plata o similar para retención de partículas 24"X24"X2" con una eficiencia mínima del 30%; (incluye el retiro y disposición final de filtros existentes de acuerdo con la normatividad ambiental viegente).</t>
  </si>
  <si>
    <t>Suministro e instalación de fltros de carbón activado tipo granular o peletizado para retención de olores y vapores 24"X24"X2"; (incluye el retiro y disposición final de filtros existentes de acuerdo a la normativadad ambiental vigente).</t>
  </si>
  <si>
    <t>Suministro e instalación de filtros HEPA para retención de partículas de 0,3 micras con una eficiencia mínima del 99.97% con estructura en aluminio 24"X24"X11" con marco en aluminio; (incluye el retiro y disposición final de filtros existentes de acuerdo con la normatividad ambiental viegente).</t>
  </si>
  <si>
    <t>Mantenimiento de tableros de fuerza y control exitentes, control de encendido remoto sitemas de ventilación existentes del área de patología , incluye limpíeza, ajuste de conexiones, revisión de elementos de control y maniobra (guardamotor, contactores, controles de encendido remoto, puesta a punto incluyendo cambio de contactores y guardamotor de ser necesario, pruebas de operación y puesta en funcionamiento incluye elementos consumibles para su correcta ejecución). Estos tableros seran utilizados como tableros de distribución para el conexionado de acometidas de fuerza a cada una de las unidades proyectadas para el nuevo diseño de ventilación.</t>
  </si>
  <si>
    <t>Suministro e instalación de tablero fuerza y control tipo intemperie para el sistema de extracción de Sala de necropsias y áreas conexas; dotado de totalizador, acometida principal desde tablero existente a 6m y a unidad manejadora, contactores, protección térmica, arrancadores  y/o variadores de frecuncia, control de encendido local.(tablero) y control remoto ( en laboratorios), indicadores de parada y de marcha, incluye conexionado de acometidas de fuerza y control (cableado de potencia y control, coraza metálica, ducteria y canaleta necesaria) desde tablero de potencia y control hasta bornera de unidad manejadoras, control remoto (norma RETIE).</t>
  </si>
  <si>
    <t>SISTEMA DE AIRE ACONDICIONADO SALA DE NECROPSIAS</t>
  </si>
  <si>
    <t>Sistema de aire acondicionado área de sala de necropsias y rayos X, de expansion directa, doble circuito, doble pared, con capacidad de mínimo 96,000 BTU (8 TR) de refrigeracion, con refrigerante ecológico, Unidad condensadora, serpentin de enfriamiento, ductería de succión y descarga y accesorios necesarios para el correcto funcionamiento; la unidad manejadora (sistema de recirculación de aire), debidamente aislada termicamente con ventilador centrífugo de mínimo 2500 CFM, con un nivel sonoro dentro del laboratorio máximo de 70 dB,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0,08 segundos, filtros de permanganato de potacio o de alumina u otro tipo de elemento germicida y filtros Hepa para retención de particulas de 0,3 micras con una eficiencia mínima del 99.97%. El ventilador centrífugo debe tener la presión suficiente para mantener el caudal nominal con una saturación del banco de filtros que produzca una caida de presión en el sistema filtrante de 4 pulgadas de agua, más las caidas de presión por la distancia y figuras de la ductería. El banco de filtros debe estar dotado de manómetros que nos indiquen la diferencia de presión entre etapas de filtración en pulgadas de agua.  La unidad debe pintarse (color a convenir) con pintura resistente a la intemperie, el sistema debe estar dotado de una caja de mescla con rejilla que permita regular la entrada de aire exterior entre el 0% y el 20%. Dentro del presupuesto se debe considerar una base soporte con sistema antivibratorio en ángulo o perfil cuadrado con la suficiente resistencia para soportar el equipo en operanción sin que se presente vibración.</t>
  </si>
  <si>
    <t xml:space="preserve">Desmonte, retiro y disposición final de unidad manejadora sistema de extracción existente para sala de sépticos, incluye desmonte de estructura soporte, desmonte de acometidas de potencia y control a 5m, desmonte de tuberias para potencia y control a 5m dispuestas en tuberia metálica tipo EMT y/o IMC. Incluye la reubicación de la unidad manejadora del sistema de recirculación existente a una distancia máxima de 5 metros.    </t>
  </si>
  <si>
    <t>Ducto ó figura TDC CALIBRE 22 Fabricado a todo costo incluye; (aislamiento Duct Wrap, corte, maquinado, esquineros, clips, empaque, tornilleria, transporte, mano de obra para montaje, empaque para unión, elementos y accesorios necesarios para soporte y anclaje).</t>
  </si>
  <si>
    <t>Ducto ó figura TDC CALIBRE 24 Fabricado a todo costo incluye; (aislamiento Duct Wrap, corte, maquinado, esquineros, clips, empaque, tornilleria, transporte, mano de obra para montaje, empaque para unión, elementos y accesorios necesarios para soporte y anclaje).</t>
  </si>
  <si>
    <t>Ducto ó figura TDC CALIBRE 22 Fabricado a todo costo incluye; (aislamiento Duct Wrap, forro del asilamiento en lámina galvanizada o de aluminio,  corte, maquinado, esquineros, clips, empaque, tornilleria, transporte, mano de obra para montaje, empaque para unión, elementos y accesorios necesarios para soporte y anclaje).</t>
  </si>
  <si>
    <t>Dampers regulación de caudal en la ducteria de 18"X14" incluye; (mano de obra para montaje, empaque para unión, elementos y accesorios necesarios para soporte y anclaje).</t>
  </si>
  <si>
    <t>Dampers regulación de caudal en la ducteria de 16"X14" incluye; (mano de obra para montaje, empaque para unión, elementos y accesorios necesarios para soporte y anclaje).</t>
  </si>
  <si>
    <t>Dampers regulación de caudal en la ducteria de 16"X10" incluye; (mano de obra para montaje, empaque para unión, elementos y accesorios necesarios para soporte y anclaje).</t>
  </si>
  <si>
    <t>Dampers regulación de caudal en la ducteria de 14"X12" incluye; (mano de obra para montaje, empaque para unión, elementos y accesorios necesarios para soporte y anclaje).</t>
  </si>
  <si>
    <t>Rejilla para toma de aire 16"X14", dotada de damper para ajuste de caudal (ver rejillas comerciales) incluye; (mano de obra para montaje, elementos y accesorios necesarios para soporte y anclaje).</t>
  </si>
  <si>
    <t>Rejilla difusora de aire 14"X12" para aplicación en muro, dotada de damper para ajuste de de caudal (ver rejillas comerciales); incluye; (mano de obra para montaje, elementos y accesorios necesarios para soporte y anclaje).</t>
  </si>
  <si>
    <t>Rejilla difusora de aire 10"X10" cuatro vias para aplicación en techo, dotada de damper para ajuste de de caudal (ver rejillas comerciales); incluye; (mano de obra para montaje, elementos y accesorios necesarios para soporte y anclaje).</t>
  </si>
  <si>
    <t>Controlador electrónico ubicado en el laboratorio que permita programar y ajustar la temperatura de uso, debe controlar la unidad condensadora, de manera que pueda alcanzar las condiciones de temperatura requeridas, incluye sensores de temperatura que se instalaran en la ductería de retorno; incluye equipo, cableado, ductería IMC y canaleta necesarios, instalación, configuración y pruebas de operación.</t>
  </si>
  <si>
    <t>Suministro e instalación de tablero fuerza y control tipo intemperie para el sistema de aire acondicionado área de Sala de necropsias; dotado de totalizador, acometida principal a la unidad manejadora y desde el tablero de potencia exstente, totalizador, contactores, protección térmica, arrancadores  y/o variadores de frecuncia, control de encendido local.(tablero) y control remoto ( en laboratorios), indicadores de parada y de marcha, incluye conexionado de acometidas de fuerza y control (cableado de potencia y control, coraza metálica, ducteria y canaleta necesaria) desde tablero de potencia existente hasta bornera de equipos manejadoras y condensadora, control remoto (norma RETIE).</t>
  </si>
  <si>
    <t>SISTEMA DE AIRE ACONDICIONADO SALA DE SÉPTICOS</t>
  </si>
  <si>
    <t>Sistema de aire acondicionado área sépticos, de expansion directa, doble circuito, doble pared, con capacidad mínima de 42,000 BTU (3,5 TR) de refrigeracion, con refrigerante ecológico, Unidad condensadora, serpentin de enfriamiento, ductería de succión y descarga y accesorios necesarios para el correcto funcionamiento; la unidad manejadora (sistema de recirculación de aire), debidamente aislada termicamente con ventilador centrífugo de mínimo 700 CFM, con un nivel sonoro dentro del laboratorio máximo de 70 dB,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0,08 segundos, filtros de permanganato de potacio o de alumina u otro tipo de elemento germicida y filtros Hepa para retención de particulas de 0,3 micras con una eficiencia mínima del 99.97%. El ventilador centrífugo debe tener la presión suficiente para mantener el caudal nominal con una saturación del banco de filtros que produzca una caida de presión en el sistema filtrante de 4 pulgadas de agua, más las caidas de presión por la distancia y figuras de la ductería. El banco de filtros debe estar dotado de manómetros que nos indiquen la diferencia de presión entre etapas de filtración en pulgadas de agua.  La unidad debe pintarse (color a convenir) con pintura resistente a la intemperie, el sistema debe estar dotado de una caja de mescla con rejilla que permita regular la entrada de aire exterior entre el 0% y el 20%. Dentro del presupuesto se debe considerar una base soporte con sistema antivibratorio en ángulo o perfil cuadrado con la suficiente resistencia para soportar el equipo en operanción sin que se presente vibración.</t>
  </si>
  <si>
    <t>Desmonte, retiro y disposición final en botadero autorizado de ductos del sistema de ventilación exitente (extracción) en áreas de patología, incluye desmonte de cuellos, uniones, zapatos, rejillas de suministro y retorno, aislamientos, soportería y demás accesorios del sistema.</t>
  </si>
  <si>
    <t>Dampers regulación de caudal en la ducteria de 12"X10" incluye; (mano de obra para montaje, empaque para unión, elementos y accesorios necesarios para soporte y anclaje).</t>
  </si>
  <si>
    <t>Dampers regulación de caudal en la ducteria de 12"X8" incluye; (mano de obra para montaje, empaque para unión, elementos y accesorios necesarios para soporte y anclaje).</t>
  </si>
  <si>
    <t>Rejilla difusora de aire 12"X10" para aplicación en muro, dotada de damper para ajuste de de caudal (ver rejillas comerciales); incluye; (mano de obra para montaje, elementos y accesorios necesarios para soporte y anclaje).</t>
  </si>
  <si>
    <t>Suministro e instalación de tablero fuerza y control tipo intemperie para el sistema de aire acondicionado área de Sala de sépticos; dotado de totalizador, acometida principal a la unidad manejadora desde tablero de portencia existente, totalizador, contactores, protección térmica, arrancadores  y/o variadores de frecuncia, control de encendido local.(tablero) y control remoto ( en sala), indicadores de parada y de marcha, incluye conexionado de acometidas de fuerza y control (cableado de potencia y control, coraza metálica, ducteria y canaleta necesaria) desde tablero de potencia existente hasta bornera de equipos manejadoras y condensadora, control remoto (norma RETIE).</t>
  </si>
  <si>
    <t>SISTEMA AIRE ACONDICIONADO TIPO PAQUETE PARA EXCLUSAS Y ARCHIVO</t>
  </si>
  <si>
    <t>Sistema de aire acondicionado tipo paquete para área de archivo y exclusas patología, tipo inverter, con capacidad mínima de 36,000 BTU (3,0 TR) de refrigeración, con refrigerante ecológico,  diseñado con motores DC de alta eficiencia, compresor inverter de alto rendimiento, serpentin 100% de cobre, compatible con controlador o termostato, decarga y retorno horizontales, conexión a 220V, 60Hz, con un nivel sonoro máximo de 60 dB,  condensador de cobre con aletas de aluminio, turbina de avaporadora tipo centrifuga.  La unidad con pintura resistente a la intemperie.</t>
  </si>
  <si>
    <t>Rejilla difusora de aire 14"X14" para aplicación en muro, dotada de damper para ajuste de de caudal (ver rejillas comerciales); incluye; (mano de obra para montaje, elementos y accesorios necesarios para soporte y anclaje).</t>
  </si>
  <si>
    <t>Rejilla difusora de aire 10"X10" para aplicación en muro, dotada de damper para ajuste de de caudal (ver rejillas comerciales); incluye; (mano de obra para montaje, elementos y accesorios necesarios para soporte y anclaje).</t>
  </si>
  <si>
    <t>Suministro e instalación de tablero fuerza y control tipo intemperie para el sistema de aire acondicionado tipo paquete; dotado de totalizador, acometida principal a la unidad desde tablero de portencia existente, totalizador, contactores, protección térmica, arrancador, control de encendido local.(tablero) y control remoto ( en área de archivo), indicadores de parada y de marcha, incluye conexionado de acometidas de fuerza y control (cableado de potencia y control, coraza metálica, ducteria y canaleta necesaria) desde tablero de potencia existente hasta bornera de equipos, control remoto (norma RETIE).</t>
  </si>
  <si>
    <t>IMPREVISTOS</t>
  </si>
  <si>
    <t>UTILIDAD</t>
  </si>
  <si>
    <t>IVA SOBRE UTILIDAD</t>
  </si>
  <si>
    <t>ANALISIS DE CUADRILLAS.</t>
  </si>
  <si>
    <t>AÑO 2025</t>
  </si>
  <si>
    <t>Días del año</t>
  </si>
  <si>
    <t>Subsidio Transporte 2025</t>
  </si>
  <si>
    <t>Salario mínimo 2025</t>
  </si>
  <si>
    <t>MAESTRO.</t>
  </si>
  <si>
    <t>OFICIAL</t>
  </si>
  <si>
    <t>AYUDANTE</t>
  </si>
  <si>
    <t>Datos Básicos</t>
  </si>
  <si>
    <t>Número días trabajados</t>
  </si>
  <si>
    <t>Factor de Salario</t>
  </si>
  <si>
    <t>Salario Básico</t>
  </si>
  <si>
    <t>Prestaciones Sociales</t>
  </si>
  <si>
    <t>Subsidio de Transporte</t>
  </si>
  <si>
    <t>Cesantías</t>
  </si>
  <si>
    <t>Intereses cesantías</t>
  </si>
  <si>
    <t>Prima</t>
  </si>
  <si>
    <t>Vacaciones</t>
  </si>
  <si>
    <t>Dotaciones</t>
  </si>
  <si>
    <t>Salud. Pension y ARP</t>
  </si>
  <si>
    <t>Salud</t>
  </si>
  <si>
    <t>Pensión</t>
  </si>
  <si>
    <t>ARP</t>
  </si>
  <si>
    <t>Parafiscales</t>
  </si>
  <si>
    <t>Sena</t>
  </si>
  <si>
    <t>ICBF</t>
  </si>
  <si>
    <t>Caja de compensacion</t>
  </si>
  <si>
    <t>Salario total mensual</t>
  </si>
  <si>
    <t>Valor Jornal</t>
  </si>
  <si>
    <t>Valor Hora</t>
  </si>
  <si>
    <t>CUADRILLA AA</t>
  </si>
  <si>
    <t>Trabajador</t>
  </si>
  <si>
    <t>Cantidad</t>
  </si>
  <si>
    <t>Salario/hora</t>
  </si>
  <si>
    <t>Maestro</t>
  </si>
  <si>
    <t>Oficial</t>
  </si>
  <si>
    <t>Obrero/ayudante</t>
  </si>
  <si>
    <t>Total hora cuadrilla AA</t>
  </si>
  <si>
    <t>APROXIMACION.</t>
  </si>
  <si>
    <t>FACTOR INCREMENTO</t>
  </si>
  <si>
    <t>MAESTRO</t>
  </si>
  <si>
    <t>H</t>
  </si>
  <si>
    <t>OFICIAL SUPERIOR</t>
  </si>
  <si>
    <t>CUADRILLA AA (ALBAÑILERIA)</t>
  </si>
  <si>
    <t>HC</t>
  </si>
  <si>
    <t>CUADRILLA BB (INSTALACIONES)</t>
  </si>
  <si>
    <t>CUADRILLA CC (PINTURA)</t>
  </si>
  <si>
    <t>CUADRILLA DD (CARPINTERIAS)</t>
  </si>
  <si>
    <t>CUADRILLA DRYWALL- SUPERBOARD</t>
  </si>
  <si>
    <t>CUADRILLA ELECTRICA (INSTALACIONES)</t>
  </si>
  <si>
    <t>CUADRILLA ELECTRICA (INFRAESTRUCTURA)</t>
  </si>
  <si>
    <t>CUADRILLA DE 2 OFICIALES</t>
  </si>
  <si>
    <t>CUADRILLA DE 2 AYUDANTES</t>
  </si>
  <si>
    <t>DESVIACION ESTANDAR</t>
  </si>
  <si>
    <t>COEFICIENTE VARIACION</t>
  </si>
  <si>
    <t>MEDIA GEOMETRICA</t>
  </si>
  <si>
    <t>MEDIA ARMONICA</t>
  </si>
  <si>
    <t>MEDIA QUE SE DEBE APLICAR</t>
  </si>
  <si>
    <t>FECHA</t>
  </si>
  <si>
    <t>M3</t>
  </si>
  <si>
    <t>ICCU</t>
  </si>
  <si>
    <t>CUBIERTAS</t>
  </si>
  <si>
    <t>EQUIPOS</t>
  </si>
  <si>
    <t>ÍTEM</t>
  </si>
  <si>
    <t>CANT</t>
  </si>
  <si>
    <t>V/UNITARIO</t>
  </si>
  <si>
    <t>V/TOTAL</t>
  </si>
  <si>
    <t>Herramienta menor</t>
  </si>
  <si>
    <t>MORGUE</t>
  </si>
  <si>
    <t>Reparación de mediacaña (zócalo) en mortero epóxico, semiliso color plano, altura 0.10 m, R=3 cm, incluye preparación de la superficie.</t>
  </si>
  <si>
    <t>AREA</t>
  </si>
  <si>
    <t>CANTIDADES DE PINTURA</t>
  </si>
  <si>
    <t>RECEPCION Y DEPOSITO</t>
  </si>
  <si>
    <t>PRE Y POST</t>
  </si>
  <si>
    <t>MORGUE PPAL</t>
  </si>
  <si>
    <t>CABINAS Y NEVERAS</t>
  </si>
  <si>
    <t>SEPTICOS</t>
  </si>
  <si>
    <t>CTO ASEO</t>
  </si>
  <si>
    <t>BASURAS</t>
  </si>
  <si>
    <t>VESTIERES</t>
  </si>
  <si>
    <t>ARCHIV0</t>
  </si>
  <si>
    <t>CORREDOR FRENTE ARCHIVO</t>
  </si>
  <si>
    <t>CORREDOR POSTERIOR CONSULT</t>
  </si>
  <si>
    <t>CORREDOR WC FUNCIONARIOS</t>
  </si>
  <si>
    <t>CORREDOR ADMIN</t>
  </si>
  <si>
    <t>WC DISCAPACITADOS SALA ESP</t>
  </si>
  <si>
    <t>WC HOMBRES SALA ESP</t>
  </si>
  <si>
    <t>WC MUJERES SALA ESP</t>
  </si>
  <si>
    <t>FACHADAS</t>
  </si>
  <si>
    <t>CERRAMIENTO VERDE-REJA PRE Y POST</t>
  </si>
  <si>
    <t>WC HOMBRES Y MUJERES</t>
  </si>
  <si>
    <t>TOTAL (AREA O ML)</t>
  </si>
  <si>
    <t>TOTAL MUROS</t>
  </si>
  <si>
    <t>TOTAL TECHOS</t>
  </si>
  <si>
    <t>UNIDAD BASICA DE TULUA</t>
  </si>
  <si>
    <t>ESPACIO</t>
  </si>
  <si>
    <t xml:space="preserve">AREA </t>
  </si>
  <si>
    <t>LARGO</t>
  </si>
  <si>
    <t>ALTO/ANCHO</t>
  </si>
  <si>
    <t>ARCHIVO</t>
  </si>
  <si>
    <t>CTO BASURAS</t>
  </si>
  <si>
    <t>MORGUE SEPTICOS</t>
  </si>
  <si>
    <t>CTO CABINAS</t>
  </si>
  <si>
    <t>AREA PRE Y POST</t>
  </si>
  <si>
    <t>RECEPCION CUERPOS Y DEPOSITO</t>
  </si>
  <si>
    <t>VESTIER HOMBRES-MUJERES</t>
  </si>
  <si>
    <t>CUARTO FRIO</t>
  </si>
  <si>
    <t>CIRCULACION FRENTE ARCHIVO</t>
  </si>
  <si>
    <t>CORREDOR POSTERIOR CONSULTORIOS</t>
  </si>
  <si>
    <t>CORREDOR BAÑOS FUNCIONARIOS</t>
  </si>
  <si>
    <t>CORREDOR ADMON</t>
  </si>
  <si>
    <t>ESPEJO DE AGUA</t>
  </si>
  <si>
    <t>MUROS PATIO CORTINA AGUA</t>
  </si>
  <si>
    <t>BAÑO PUBLICO HOMBRES</t>
  </si>
  <si>
    <t>BAÑO PUBLICO MUJERES</t>
  </si>
  <si>
    <t>BAÑO PUBLICO DISCAPACITADOS</t>
  </si>
  <si>
    <t>AREA DE VOLADIZO COSTADO DERECHO U</t>
  </si>
  <si>
    <t>AREA VOLADIZO COSTADO IZQUIERDO</t>
  </si>
  <si>
    <t>FACHADA METALICA VERTICAL</t>
  </si>
  <si>
    <t>FACHADA TRASLUCIDA  ILUMINACION MORGUE</t>
  </si>
  <si>
    <t>CERRAMIENTO EN REJA PTA VEHICULAR</t>
  </si>
  <si>
    <t>CERRAMIENTO EN REJA VENTANA PRE Y POST</t>
  </si>
  <si>
    <t>CERRAMIENTO EN MALLA ESLABONADA</t>
  </si>
  <si>
    <t>POLICARBONATO FACHADA PPAL</t>
  </si>
  <si>
    <t>POLICARBONATO FACHADA POSTERIOR</t>
  </si>
  <si>
    <t>PERGOLA FACHADA PPAL</t>
  </si>
  <si>
    <t>CUBIERTA PLANA EQUIPOS</t>
  </si>
  <si>
    <t>ANDEN POSTERIOR REJA</t>
  </si>
  <si>
    <t>ANDEN OFICINA JEFATURA</t>
  </si>
  <si>
    <t>ANDEN LATERAL ADOQUIN</t>
  </si>
  <si>
    <t>INSTITUTO NACIONAL DE MEDICINA LEGAL Y CIENCIAS FORENSES</t>
  </si>
  <si>
    <t>ANEXO - PRESUPUESTO DETALLADO</t>
  </si>
  <si>
    <t>PRESUPUESTO CON UNITARIOS CALCULADOS</t>
  </si>
  <si>
    <t>VR. TOTAL</t>
  </si>
  <si>
    <t>VR. UNITARIO CALCULADO</t>
  </si>
  <si>
    <t>VERIFICACIÓN</t>
  </si>
  <si>
    <t>FACTOR</t>
  </si>
  <si>
    <t>ANCHO</t>
  </si>
  <si>
    <t>ALTO</t>
  </si>
  <si>
    <t>1.</t>
  </si>
  <si>
    <t>1.1.</t>
  </si>
  <si>
    <t>Desmonte de teja trapezoidal fachada vertical traslucida</t>
  </si>
  <si>
    <t>1.2.</t>
  </si>
  <si>
    <t xml:space="preserve">Desmonte de puertas dobles en lámina. Incluye retiro de marco, resane de vano y filos  y ubicación temporal en sitio establecido por la entidad. </t>
  </si>
  <si>
    <t>2 UND PUERTAS DE ACCESO EXTERIOR A PRE Y POST  +1 UND ACCESO SALA PPAL</t>
  </si>
  <si>
    <t>1.3.</t>
  </si>
  <si>
    <t>Desmonte y reinstalacion de puertas o ventanas. Incluye cargue y ubicación temporal en sitio establecido por la entidad. Incluye resane de vano y filos</t>
  </si>
  <si>
    <t xml:space="preserve">RECEPCION CPOS + DEPOSITO + CABINAS + SALA AUXILIAR + BASURAS + EXT BASURAS + 2 VESTIER HOMBRES + 2 VERTIER MIJERES + WC HOMBRES + WC MUJERES + WC ESPERA HOMBRES + WC ESPERA MUJERES + WC DISCAPACITADOS = </t>
  </si>
  <si>
    <t>1.4.</t>
  </si>
  <si>
    <t>Raspado de estuco y pintura, hasta encontrar pañete. Incluye limpieza de pañete. Incluye cargue y el retiro de escombros a botadero autorizado.</t>
  </si>
  <si>
    <t>AREA DAÑOS MUROS DE MORGUE</t>
  </si>
  <si>
    <t>1.5.</t>
  </si>
  <si>
    <t>Desmonte de cubierta en policarbonato alveolar, incluidos, amarres, flanches, fijaciones y demás elementos existentes, incluye maquinaria, mano de obra, cargue, retiro y disposición final de escombros en botadero autorizado (de ser requerido)</t>
  </si>
  <si>
    <t>1.6.</t>
  </si>
  <si>
    <t>Desmonte y reinstalacion  de protectores guardacamillas. Incluye disposición y almacenamiento temporal (morgue pptal, septicos, pre y pos)</t>
  </si>
  <si>
    <t>PRE Y POST, MORGUE PPAL Y SEPTICOS</t>
  </si>
  <si>
    <t>1.7.</t>
  </si>
  <si>
    <t>Demolición de acabado de piso en enchape cerámico, epóxico u otro,  afinado y placa de concreto hasta de 15 cms. Incluye  cargue y el retiro de escombros a botadero autorizado (Cuarto frio y morgue ppal)</t>
  </si>
  <si>
    <t>CUARTO FRIO + 20% MORGUE PPTAL</t>
  </si>
  <si>
    <t>1.8.</t>
  </si>
  <si>
    <t>Demolición de acabado de piso en enchape cerámico, epóxico y afinado  hasta de 10 cms. Incluye  retiro de rejillas de carcamos, contramarcos, cualquier elemento sobre el piso cargue y el retiro de escombros a botadero autorizado. (Pre y pos, recepcion, morgue ppal, cto cabinas , cto aseo, cto basuras y baño-vestieres)</t>
  </si>
  <si>
    <t>ASEO, SEPTICOS, CABINAS, MORGUE PPAL RECEPCION, OFICINA RECEPCION</t>
  </si>
  <si>
    <t>1.9.</t>
  </si>
  <si>
    <t xml:space="preserve">Desmonte de aparatos sanitarios. </t>
  </si>
  <si>
    <t>SANITARIOS Y LAVAMANOS VESTIERES + 2 SANITARIOS EN BAÑOS</t>
  </si>
  <si>
    <t>1.10.</t>
  </si>
  <si>
    <t>Desmonte de lavamanos quirúrgicos</t>
  </si>
  <si>
    <t>SEPTICOS Y PASILLO MORGUE PPAL</t>
  </si>
  <si>
    <t>1.11.</t>
  </si>
  <si>
    <t>Retiro de impermeabilización de placa equipos. Incluye cargue, retiro y disposición final de escombros en botadero autorizado</t>
  </si>
  <si>
    <t>CUBIERTA DE EQUIPOS</t>
  </si>
  <si>
    <t>1.12.</t>
  </si>
  <si>
    <t>Limpieza  de muros y pisos con hidrolavadora.  Incluye todos los trabajos necesarios para su correcta ejecución.</t>
  </si>
  <si>
    <t>MUROS BAÑO PUBLICO DE HOMBRES Y MUJERES</t>
  </si>
  <si>
    <t>1.13.</t>
  </si>
  <si>
    <t>Raspado de pintura, retiro de cintas en muros o cielorrasos en superboard. Incluye cargue y el retiro de escombros a botadero autorizado.</t>
  </si>
  <si>
    <t>ASEO, SEPTICOS, CABINAS, MORGUE PPAL RECEPCION, OFICINA RECEPCION Y MUROS DE VESTIERES</t>
  </si>
  <si>
    <t>1.14.</t>
  </si>
  <si>
    <t>Demolición de enchape existente. Incluye cargue y retiro de excombros a botadero autorizado</t>
  </si>
  <si>
    <t>COCINETA + POCETA BASURAS</t>
  </si>
  <si>
    <t>1.15.</t>
  </si>
  <si>
    <t>Desmonte de cielorraso en superboard. Incluye retiro de mediacañas entre muro y cielorraso, rejillas plásticas  y cualquier elemento adherido, cargue y retiro de escombros a botadero autorizado</t>
  </si>
  <si>
    <t>MORGUE PPAL Y VESTIERES HOMBRES Y MUJERES</t>
  </si>
  <si>
    <t>1.16.</t>
  </si>
  <si>
    <t>Desmonte y reinstalacion de baranda tope de camillas en tubería de 2" acero inoxidable longitud 3.0 m</t>
  </si>
  <si>
    <t>2.</t>
  </si>
  <si>
    <t>CIMENTACION</t>
  </si>
  <si>
    <t>2.1.</t>
  </si>
  <si>
    <t>Excavación manual menor a 1 m profundidad y disposicion de sobrantes en botadero autorizado . Incluye retiro de material vegetal</t>
  </si>
  <si>
    <t>ANDEN POSTERIOR, ANDEN OFICINA JEFATURA  Y DOS REDES DESCARGA MORGUE PPAL</t>
  </si>
  <si>
    <t>2.2.</t>
  </si>
  <si>
    <t>Relleno en material B200, incluye suministro, disposición y compactación</t>
  </si>
  <si>
    <t>INSTALACIONES HIDROSANITARIAS.</t>
  </si>
  <si>
    <t>3.1.</t>
  </si>
  <si>
    <t>Mantenimiento de bajantes de aguas lluvias mediante sondeo, lavado , incluye retiro y reinstalacion de rejillas, todos los elementos y materiales necesarios para su correcta ejecución</t>
  </si>
  <si>
    <t>SE ESTIMAN 3 BAJANTES</t>
  </si>
  <si>
    <t>3.2.</t>
  </si>
  <si>
    <t>Punto Sanitario de 2"</t>
  </si>
  <si>
    <t>LAVAMANOS QUIRURGICOS</t>
  </si>
  <si>
    <t>3.3.</t>
  </si>
  <si>
    <t>Punto Sanitario de 3"</t>
  </si>
  <si>
    <t>2 CARCAMO MORGUE PPAL (POR SEGURIDAD)</t>
  </si>
  <si>
    <t>3.4.</t>
  </si>
  <si>
    <t>Punto Sanitario de 4"</t>
  </si>
  <si>
    <t>2 MESAS DE NECROPSIA (POR SEGURIDAD)</t>
  </si>
  <si>
    <t>3.5.</t>
  </si>
  <si>
    <t>Tubería PVC-sanitaria ∅2", incluye accesorios</t>
  </si>
  <si>
    <t>2 LAVAMANOS QUIRURGICO</t>
  </si>
  <si>
    <t>3.6.</t>
  </si>
  <si>
    <t>Tubería PVC-sanitaria ∅3", incluye accesorios</t>
  </si>
  <si>
    <t>2 SALIDAS CARCAMO PPAL (POR SEGURIDAD)</t>
  </si>
  <si>
    <t>3.7.</t>
  </si>
  <si>
    <t>Tubería PVC-sanitaria ∅4", incluye accesorios</t>
  </si>
  <si>
    <t>2 MESAS HASTA TRAMPA (POR SEGURIDAD)</t>
  </si>
  <si>
    <t>3.8.</t>
  </si>
  <si>
    <t>Sumidero en concreto de 3000 PSI de 30 X 30 cm (medidas internas del sumidero) espesor  pared  y placa fondo 12 cm,  profundidad entre 30 y 50 cms reforzada con acero de 3/8" c/ 10 cm en ambos sentidos. Incluye rejilla metalica  con marco y contramarco de 1 1/4" espesor 1/8" con varilla de 3/4" cada 3 cms, anticorrosivo y dos manos de pintura esmalte. (Plano No. 1)</t>
  </si>
  <si>
    <t>SUMIDERO AREA DE PARQUEADERO</t>
  </si>
  <si>
    <t>3.9.</t>
  </si>
  <si>
    <t>Sondeo y destaponamiento red aguas sanitarias del area de patología</t>
  </si>
  <si>
    <t>3.10.</t>
  </si>
  <si>
    <t>Caja de inspección 60 x 60 cm en mampostería  (medida interna) profundidad aprox. 1 m con placa de fondo 10 cm en concreto reforzado 2500 PSI malla M084</t>
  </si>
  <si>
    <t>SE ASUMEN CAJAS CONEXIÓN MESAS NECROPSIA</t>
  </si>
  <si>
    <t>INSTALACIONES ELÉCTRICAS-LUMINARIAS</t>
  </si>
  <si>
    <t>SISTEMA DE CANALIZACIONES TUBERÍAS</t>
  </si>
  <si>
    <t>INSTALACIONES VENTILACION MECANICA</t>
  </si>
  <si>
    <t>Suministro e instalación de cable de cobre trenzado  3x12 AWG LSZH (Low Smoke, Zero Halogen), Blanco-Azul-verde RED NORMAL,  incluye conexxionado con los interruptores existentes.</t>
  </si>
  <si>
    <t>ml</t>
  </si>
  <si>
    <t>Suministro de materiales y mano de obra para Instalación de tubería conduit EMT de 3/4" ; (incluye cajas de paso, curvas, uniones, soportería necesaria, perfiles riel chanel donde se requiera, grapas, pernos de anclaje, abrazaderas, conductor de continuidad y demás elementos consumibles para su correcta instalación), igualmente incluye la conexion con la ducteria de alimentacion de los circuitos y la ducteria de los interruptores existentes.</t>
  </si>
  <si>
    <t>MAMPOSTERIA</t>
  </si>
  <si>
    <t>6.1.</t>
  </si>
  <si>
    <t xml:space="preserve">Conformación de buitrones en muro en lamina de superboard de 8 mm doble cara, 10 cm de espesor, incluye metros lineales, vanos y carteras de puertas y ventanas, perfilería, platinas de soporte, cintas, tornillos, masilla, cordón sellante flexible y primeriado, boquillera en aluminio para soporte de puertas, todos los materiales, accesorios y obras necesarias para su correcta instalación y funcionamiento </t>
  </si>
  <si>
    <t>TRES CLARABOYAS DE BAÑOS PUBLICOS</t>
  </si>
  <si>
    <t>PAÑETES</t>
  </si>
  <si>
    <t>7.1.</t>
  </si>
  <si>
    <t>Pañete liso impermeabilizado 1:3, incluye filos, dilataciones, cantos y cartera de vanos. incluye medidas inferiores a 1.00m</t>
  </si>
  <si>
    <t>8.1.</t>
  </si>
  <si>
    <t>Suministro e intalación de cubierta en policarbonato alveolar 8 mm de espesor color BRONCE, sobre estructura existente . Incluye herrajes, remates en aluminio superior e inferior, cinta microperforada, conectores HCP bronce base, conector HCP bronce  tapa, perfiles,  tensores, sujeciones y todos los elementos requeridos para su correcto funcionamiento e impermeabilidad del espacio interior. Plano No. 2. (fachada principal, anden posterior y marquesinas baños)</t>
  </si>
  <si>
    <t>86,54 M2 FACHADA PRINCIPAL Y 27,6 M2 FACHADA POSTERIOR</t>
  </si>
  <si>
    <t>8.2.</t>
  </si>
  <si>
    <t>Suministro e instalacion Teja trapezoidal fibra de vidrio plus translucida (fachada vertical)</t>
  </si>
  <si>
    <t>ENTRADA LUZ MORGUE</t>
  </si>
  <si>
    <t>9.1.</t>
  </si>
  <si>
    <t>Suministro e instalación de piso Boticino Blanco 45 x 45 cm o similar incluye pegante tipo pegacor y boquilla (bano vestieres Plano No. 3)</t>
  </si>
  <si>
    <t>PISO VESTIERES HOMBRES Y MUJERES</t>
  </si>
  <si>
    <t>9.2.</t>
  </si>
  <si>
    <t>Media caña H=8 ó 10 cms (igual a la existente)  en granito pulido, color igual a la existente, acabado al ras contra pisos y muros. Incluye dilatación plástica contra muros y pisos.</t>
  </si>
  <si>
    <t>MORGUES, PRE Y POS, RECEPCION, CBINAS, ASEO, BASURAS, BAÑOS</t>
  </si>
  <si>
    <t>9.3.</t>
  </si>
  <si>
    <t>Boca puerta acabado en granito pulido, color a escoger, Incluye dilatación plástica. Ancho de 0.15 a 0.25 m</t>
  </si>
  <si>
    <t>PUERTAS DE PATOLOGIA (7 UND), BASURAS Y ASE0 (2), BAÑOS (4), CTO FRIO</t>
  </si>
  <si>
    <t>9.4.</t>
  </si>
  <si>
    <t>Andén en concreto de 2.500 PSI espesor e= 0,08 m, paños de 1.5 m marco liso perimetral y escobiado interior, incluye nivelacion, refuerzo en malla M 084 y todos los elementos requeridos para su ejecucion</t>
  </si>
  <si>
    <t>ANDEN BAJO MARQUESINA POSTERIOR Y SALIDA OFICINA DIRECCION</t>
  </si>
  <si>
    <t>9.5.</t>
  </si>
  <si>
    <t>Alistado de piso en mortero 1 :4 e= 3 a 5 cms</t>
  </si>
  <si>
    <t>PISOS VESTIERES HOMBRES Y MUJERES</t>
  </si>
  <si>
    <t>9.6.</t>
  </si>
  <si>
    <t>Placa de concreto de 3000 psi e=0.10 m, malla M084 y todos los elementos requeridos para su ejecucion</t>
  </si>
  <si>
    <t>POR SEGURIDAD SE DEJA PLACA DE VESTIERES HOMBRES Y MUJERES</t>
  </si>
  <si>
    <t>9.7.</t>
  </si>
  <si>
    <t>Suministro   e   instalación   piso   en   tablón   de   grano   de   mármol   (grano   fino    No.2) vibroprensado  33x33  cms blanco huila al existente con dilataciones plásticas entre 1.00 y 1.5 m   Incluye  destronque,  pulido   sellado,  brillado y cristalizado,  tipo  alfa o  similar.  Incluye  todos  los  materiales  y trabajos  necesarios  para su correcta instalación y funcionamiento (Plano No. 3)</t>
  </si>
  <si>
    <t>BASURAS, ASEO, SEPTICOS, CABINAS, SALA PPAL. PRE Y POS, RECEPCION, DEPOSITO Y CTO FRIO</t>
  </si>
  <si>
    <t>9.8.</t>
  </si>
  <si>
    <t>Sellado de juntas de dilatación contra paneles de acero inoxidable del cuarto frío empleando Sikaflex-1A Plus, dimensiones 10 mm de ancho por 25 mm de alto, incluye acabado en forma de media caña contra el panel de 10 mm de altura.</t>
  </si>
  <si>
    <t>9.9.</t>
  </si>
  <si>
    <t>Arreglo de marco en concreto de caja de inspección de aguas de 1.10 x 1.10 * 0.15 m. Incluye demolición de marco en concreto existente h= 8 a 10 cms y fundida en concreto 2500 psi</t>
  </si>
  <si>
    <t>CAJA EXTERIOR EN CIRCULACION EN ADOQUIN Y DOS COMPARTIMIENTOS TRAMAPA GRASAS</t>
  </si>
  <si>
    <t xml:space="preserve">9.10. </t>
  </si>
  <si>
    <t>Conformación poyo de 0.10 m de altura. Incluye enchape lateral en piso boticino blanco 45 x 45 cms o similar, pegante tipo pegacor y boquilla</t>
  </si>
  <si>
    <t>ENCHAPES</t>
  </si>
  <si>
    <t>10.1.</t>
  </si>
  <si>
    <t>Conformación de poceta de aseo enchapada interior y exteriormente en ceramica Boticino blanco 45 x 45 cm o similar. Incluye pegante tipo pegacor y filos con win de aluminio</t>
  </si>
  <si>
    <t>POCETA ASEO MORGUE Y CONSULTORIOS</t>
  </si>
  <si>
    <t>10.2.</t>
  </si>
  <si>
    <t>Suministro e instalación de ceramica Boticino Blanco 45 x 45 cm o similar incluye pegante tipo pegacor y boquilla (vestier hombres y mujeres y cocineta)</t>
  </si>
  <si>
    <t>POCETA ASEO MORGUE Y POCETA ASEO CONSULTORIOS</t>
  </si>
  <si>
    <t>11.1.</t>
  </si>
  <si>
    <t>Impermeabilización de cubierta paraguas ultra gris  con imprimante primercor. Incluye todos los materiales y trabajos necesarios para su correcta instalación y funcionamiento (cubierta porteria).</t>
  </si>
  <si>
    <t>CUBIERTA EQUIPOS</t>
  </si>
  <si>
    <t>12.1.</t>
  </si>
  <si>
    <t>Suministro e instalación de cielo raso en lamina de super board 6mm. Incluye perfilería de soporte con estructura de acero galvanizado, rolado en frio calibre 26. masillado,  juntas de control plasticas ("Z" y "U"),  refuerzo en estructura y corte de lamina para claraboyas de inspección de 0,60*0,60 m, lijado y todos los materiales, accesorios y obras necesarias para su correcta instalación y funcionamiento</t>
  </si>
  <si>
    <t>SE DEJAN LOS VESTIERES COMO COLCHON</t>
  </si>
  <si>
    <t>Suministro e instalación de cielo raso en lamina de super board 6mm sin estructura Incluye masillado,  juntas de control plasticas ("Z" y "U"), refuerzo en estructura y corte de lamina para claraboyas de inspección de 0,60*0,60 m,lijado y todos los materiales, accesorios y obras necesarias para su correcta instalación y funcionamiento</t>
  </si>
  <si>
    <t>SEPTICOS, CABINAS, MORGUE PPAL, PRE Y POST, RECEPCION, ARCHIVO Y BAÑOS PUBLICOS HOMBRES, MUJERES Y DISCAPACITADOS</t>
  </si>
  <si>
    <t>12.3.</t>
  </si>
  <si>
    <t>Escotillas de cielorraso  20 X 20 cm compuesto por tapa de inspección Acusticielos y marco para cielorasos Acusticielos. Incluye corte superboard, aseguramiento, remates y todos los materiales para su instalación</t>
  </si>
  <si>
    <t>1 SEPTICOS. 1 CABINAS, 2 MORGUE, 2 VESTIERES</t>
  </si>
  <si>
    <t>12.4.</t>
  </si>
  <si>
    <t>Escotillas de cielorraso  60 x 60 cm compuesto por tapa de inspección Acusticielos y marco para cielorasos Acusticielos. Incluye corte superboard, aseguramiento, remates y todos los materiales para su instalación</t>
  </si>
  <si>
    <t>2 SEPTICOS, 2 CABINAS, 6 MORGUE PPAL, 4 PRE Y POST</t>
  </si>
  <si>
    <t>12.5.</t>
  </si>
  <si>
    <t>Laminas acrílicas difusora de luz para claraboyas. Incluye corte e instalación en marcos existentes</t>
  </si>
  <si>
    <t>BAÑOS PUBLICOS DISCAPACITADOS, HOMBRES Y MUJERES</t>
  </si>
  <si>
    <t>12.6.</t>
  </si>
  <si>
    <t>Suministro e instalación de tapa registros plasticos de 20 x 20 cms. Incluye corte superboard, pegante, remates y materiales para su instalación</t>
  </si>
  <si>
    <t>ASUMIDOS</t>
  </si>
  <si>
    <t>12.7.</t>
  </si>
  <si>
    <t>Marco aluminio blanco para instalación de luminarias en cielorasos en drywall y superboard. Incluye corte drywall o superboard, aseguramiento laterales con perfiles en U y todos los materiales para su instalación</t>
  </si>
  <si>
    <t>1 BASURAS, 1 ASEO, 4 SEPTICOS, 2 CABINAS, 12 MORGUE, 6 PRE Y POST, 2 RECEPCION, 2 ARCHIVO RECEPCION</t>
  </si>
  <si>
    <t>PUERTAS AUTOMATICAS - VIDRIOS</t>
  </si>
  <si>
    <t>13.1.</t>
  </si>
  <si>
    <t>Suministro e instalación de puerta enrrollable eléctrica de fleje cerrado calibre 22 con pintura electrostática, operador hulk uso industrial, con botonera pesada de control, posibilidad de apertura manual, con dos (2) fotoceldas antiaplastamiento Tamaño del vano (paso libre) de 2.15 ancho x 2.35 alto. La altura libre del espacio es de 2.87 m. Plano No. 4</t>
  </si>
  <si>
    <t>PTA ACCESO CUERPOS</t>
  </si>
  <si>
    <t>13.2.</t>
  </si>
  <si>
    <t>Suministro e instalación de puerta  automatica  sencilla de 1 hoja corrediza lateral en vidrio laminado 5+5 templado con PVB color hielo, operador (Componente de automatismo de la puerta:  motor, programación,  carros deslizantes, riel, baterias, tarjeta electrónica, pestillo (Seguro) electromecánico, banda deslizante, correas, poleas, ets.), zocalos inferior y superior en aluminio, con sensores de movimiento de entrada y salida, fotoceldas de seguridad, baterías de respaldo, dos controles remotos, selector de llave de cuatro posiciones.  Tamaño Vano (paso libre) ancho 1.50 m y alto 2.35 m. Acceso morgue. Plano No. 5</t>
  </si>
  <si>
    <t>PUERTA ACCESO MORGUE</t>
  </si>
  <si>
    <t>13.3.</t>
  </si>
  <si>
    <t>Suministro e instalacion de división en vidrio templado 10 mm   altura 2.10 m soportada en postes  de acero inoxidable 2.5" anclados con brida y chazos expansivos a piso y muros.  Incluye soporte de vidrios en acero inoxidable, puerta de hoja sencilla en vidrio templado 10 mm  soportada sobre poste en acero inoxidable 2.5 "con bisagra evolvente, con portacerradura y  cerradura de palanca Yale o Schlage. Recepción clínica. Palno No. 6</t>
  </si>
  <si>
    <t>OFICINA IDENTIFICACION</t>
  </si>
  <si>
    <t xml:space="preserve">CARPINTERÍA METALICA </t>
  </si>
  <si>
    <t>14.1.</t>
  </si>
  <si>
    <t>Esquineros en angulo de aluminio cepillado color natural 2"x2" espesor 3/16" H=1.0 m, anclados a los muros mediante chazos expansivos 5/16 " ,Tornillo Avellanado de 1 1/4"</t>
  </si>
  <si>
    <t>MURO CONTRA ESPACIO CABINAS</t>
  </si>
  <si>
    <t>14.2.</t>
  </si>
  <si>
    <t>Suministro e instalación de flanches en lamina galvanizada cal 24, desarrollo 22.5 cm (2.5 - 15 - 5 cm) , incluye anclaje superior y lateral con tornillo cabeza hexagonal con arandela y empaque de neopreno punta broca 10 x 1 1/2" cada 30 cms. Incluye desmonte de flanches existentes (Zona 1-1, Zona 1-2 , Zona 1-3 y Zona 2-1) Plano No. 7</t>
  </si>
  <si>
    <t>14.3.</t>
  </si>
  <si>
    <t>Suministro e instalación de flanches en lamina galvanizada cal 24 desarrollo entre 0,45  y 1.00 m.  incluye anclajes con tornillo cabeza hexagonal con arandela y empaque de neopreno punta broca 10 x 1 1/2" cada 30 cms. Incluye desmonte de flanches existentes (Zona 1-1) Plano No. 7</t>
  </si>
  <si>
    <t>14.4.</t>
  </si>
  <si>
    <t>Suministro e instalación de flanches en lamina galvanizada cal 24, desarrollo 1.05 a 1.65 m, incluye anclajes con tornillo cabeza hexagonal con arandela y empaque de neopreno punta broca 10 x 1 1/2" cada 30 cms. Incluye desmonte de flanches existentes (Zona 1-2 , Zona 1-3 y Zona 2-1) Plano No. 7.</t>
  </si>
  <si>
    <t>14.5.</t>
  </si>
  <si>
    <t>Tapa en lámina alfajor (caja frente a desechos) de 1/8" doblada en "C"  de 60 x  60 cm  aprox   manija sobrepuesta, anticorrosivo y dos manos de pintura esmalte. Plano No. 8</t>
  </si>
  <si>
    <t>PUERTAS DE PATOLOGIA (7 UND), BASURAS Y ASE0 (2), BAÑOS (4)</t>
  </si>
  <si>
    <t>14.6.</t>
  </si>
  <si>
    <t xml:space="preserve">Tapa en lámina alfajor (trampa de grasas) de 1/8" doblada en "C"  de 2.05 x 1.10 cm  aprox.  Dos compartimientos cada uno de dos hojas de 0.86 x 0.43 m aprox con contramarco de 1 1/4"  espesor 3/16"embebido con uñas de anclaje; Cada hoja con dos bisagras de pistón laterales de apertura 180° cada hoja,  manija soldada pibotadas sobrepuesta en la tapa, tapa luz en platina de 1" de 1/8",  anticorrosivo y dos manos de pintura esmalte. Plano No. 8
</t>
  </si>
  <si>
    <t>14.7.</t>
  </si>
  <si>
    <t>Arreglo de cerramiento y puerta vehicular en reja  conformada por perfiles  tubulares 76  x 38 mm, ángulos 60 x 40 mm altura 2,15 m Incluye cambio de perfiles y angulos  corroidos, cambio de rodamientos y ruedas de pista, cambio de topes, anclajes y cualquier elemento corroido para dejar en correcto estado de funcionamiento</t>
  </si>
  <si>
    <t>14.8.</t>
  </si>
  <si>
    <t xml:space="preserve">Suministro e instalacion de baranda protectora en  acero inoxidable  largo 1.60 x 1.20 alto marrco  1 1/2"  cal 16 y verticales en 3/4" ; Incluye soportes acero inoxidable para fijar en muro y piso. Plano No. 9. Acceso Morgue </t>
  </si>
  <si>
    <t>SE ESTIMA LARGO DE 1,60 M YA QUE LA PUERTA DESPLAZA 1,50 M</t>
  </si>
  <si>
    <t>14.9.</t>
  </si>
  <si>
    <t>Suministro e instalación de concertina en acero inoxidable de 18"  cuchillas largas 6 cms sobre cerramiento existente en malla eslabonada. Incluye soportes, guaya con alma de acero, perros y tensores</t>
  </si>
  <si>
    <t>14.10.</t>
  </si>
  <si>
    <t>Suminsitro e instalación de rejilla para carcamos fabricada en acero inoxidable de 0.30 m de ancho x 1.00 m de largo, con marco en tuberia cuadrada de 1" x 1" cal 16 , travesaños en tubería cuadrada de 1" x 1" cal 16, con espacio libre de 2 cms, con contramarco de 1 1/4" calibre 1/8"  fijado a estructura de concreto con uñas de 10 cms. Plano No. 10.</t>
  </si>
  <si>
    <t>14.11.</t>
  </si>
  <si>
    <t>Arreglo de puerta corredera en lámina entamborada de 1.18 + 2.30 m soportada en riel superior. Incluye desmonte de puerta, riel, colocación de topes y guias, cambio de rodamientos, cambio soportes, ajuste de guias y de cerradura (puerta acceso a espejo de agua)</t>
  </si>
  <si>
    <t>14.12.</t>
  </si>
  <si>
    <t>Arreglo de puerta corredera en aluminio y vidrio soportada en riel superior. Incluye desmonte de puerta y riel, colocación de topes y guias, cambio de rodamientos, ajuste de guias y de cerradura</t>
  </si>
  <si>
    <t>DIRECCION, ADMON Y SALA DE ESPERA</t>
  </si>
  <si>
    <t>14.13.</t>
  </si>
  <si>
    <t>Tapa para caja en mampostería en lámina alfajor  espesor 1/8" doblada en "C"  de 66 x 66 cm  profundidad aprox. 1.00 m con contramarco de 1 1/4"  espesor 1/8" embebido con uñas de anclaje, manija embisagrada soldada sobre tapa, anticorrosivo y dos manos de pintura esmalte. Plano No. 8.</t>
  </si>
  <si>
    <t>SE ASUMEN PARA CONEXIÓN MESAS NECROPSIA</t>
  </si>
  <si>
    <t>15.1.</t>
  </si>
  <si>
    <t>Estuco plástico, incluye filos (esquineras plásticas),  dilataciones (juntas de control plasticas en "Z" y "U"), carteras de vanos y medidas inferiores a 1.0 m</t>
  </si>
  <si>
    <t>15.2.</t>
  </si>
  <si>
    <t>Suministro e instalación de pintura epóxica poliamida, recubrimiento protector para muros y techos interiores en zonas asépticas de dos componentes (componente A pintura epóxica, componente B catalizador poliamídico), acabado semibrillante, tres manos, color blanco (áreas patologia) incluye resanes con estuco plástico, encintado de cielos,  filos, dilataciones, carteras, mediacañas verticales y medidas inferiores a 1.00 m</t>
  </si>
  <si>
    <t>15.3.</t>
  </si>
  <si>
    <t>Suministro e instalación de vinilo tipo 1 tres manos para muros o cielorrasos (color a escoger) incluye medidas menores a 1.00 m incluye filos y dilataciones. Incluye resanes en estuco plástic, encintado cielorrasos y todos los materiales y trabajos necesarios para su correcta ejecución.</t>
  </si>
  <si>
    <t>15.4.</t>
  </si>
  <si>
    <t>Suministro e instalación de pintura koraza  5 años para techos exteriores, dos manos, color a escoger. Incluye medidas inferiores a 1.00 m. Incluye: resanes en estuco plástico, encintado cielorrasos y todos los materiales y trabajos necesarios para su correcta ejecución.</t>
  </si>
  <si>
    <t>15.5.</t>
  </si>
  <si>
    <t>Suministro e instalación de pintura esmalte mate superlavable exterior dos manos  (color a escoger), incluye medidas menores a 1.00 m. Incluye una mano de anticorrosivo gris o negro  y todos los materiales y trabajos necesarios para su correcta ejecución (Fachada metalica vertical)</t>
  </si>
  <si>
    <t>15.6.</t>
  </si>
  <si>
    <t>Suministro e instalación de pintura esmalte mate superlavable exterior dos manos  (color a escoger) cuatro caras, incluye medidas menores a 1.00 m. Incluye una mano de anticorrosivo gris o verde  y todos los materiales y trabajos necesarios para su correcta ejecución (Pergola fachada principal y cerramiento anterior y posterior)</t>
  </si>
  <si>
    <t>15.7.</t>
  </si>
  <si>
    <t>Suministro e instalación de pintura esmalte mate superlavable exterior dos manos  (color a escoger) dos caras, incluye medidas menores a 1.00 m y pintura de marcos. Incluye una mano de anticorrosivo gris o  verde  y todos los materiales y trabajos necesarios para su correcta ejecución (Puertas metalicas)</t>
  </si>
  <si>
    <t>15.8.</t>
  </si>
  <si>
    <t>Conformación de media caña remate muro-cieloraso de 1 ". Incluye todos los materiales para su construcción</t>
  </si>
  <si>
    <t>APARATOS SANITARIOS - GRIFERIAS - CERRADURAS</t>
  </si>
  <si>
    <t>16.1.</t>
  </si>
  <si>
    <t>Suministro e instalación de guardacamillas de 19.7 cm   IPC Ref. 700, color a escoger, con estructura completa en aluminio, jumper interior para amortiguar golpes y plástico de alto impacto . Incluye todos los materiales, accesorios y trabajos necesarios para su correcta instalación y funcionamiento.</t>
  </si>
  <si>
    <t>SE ESTIMAN CUATRO TIRAS DE 3.66 ML</t>
  </si>
  <si>
    <t>16.2.</t>
  </si>
  <si>
    <t>Suministro e instalación terminales para guardacamillas IPC Ref. 700, color a escoger, ancladas a riel en aluminio con mínimo dos (2) tornillos. Incluye todos los materiales, accesorios y trabajos necesarios para su correcta instalación y funcionamiento.</t>
  </si>
  <si>
    <t>SE ESTIMAN CUATRO TERMINALES POR CADA TIRA DE 3.66 ML</t>
  </si>
  <si>
    <t>16.3.</t>
  </si>
  <si>
    <t>Suministro e Instalación cerradura alaska entrada ppal. Incluye desinstalacion de cerradura existente</t>
  </si>
  <si>
    <t>CANTIDAD ESTIMADA</t>
  </si>
  <si>
    <t>16.4.</t>
  </si>
  <si>
    <t>Suministro e instalación de conjunto griferia sanitaria hidrostática (arbol de entrada y salida). Incluye desconexión arboles existentes y acople flexible con llave FM y desmonte arboles existentes</t>
  </si>
  <si>
    <t>SE ESTIMAN 4 UND</t>
  </si>
  <si>
    <t>16.5.</t>
  </si>
  <si>
    <t>Suministro e instalación de rejilla aluminio 3 x 2 ". Incluye todos los materiales y trabajos necesrioa para su instalación</t>
  </si>
  <si>
    <t>2 DUCHAS, 2 WC, 1 SEPTICOS. 1 CTO FRIO</t>
  </si>
  <si>
    <t>16.6.</t>
  </si>
  <si>
    <t>Suministro e instalación de rejilla aluminio 4 x 3 ". Incluye todos los materiales y trabajos necesrioa para su instalación</t>
  </si>
  <si>
    <t>16.7.</t>
  </si>
  <si>
    <t xml:space="preserve"> Reinstalación de inodoros, Incluye acople flexible</t>
  </si>
  <si>
    <t>2 VESTIERES Y 2 BAÑOS CONSULTORIOS</t>
  </si>
  <si>
    <t>16.8.</t>
  </si>
  <si>
    <t>Reinstalación de lavamanos.  Incluye desague sencillo, sifon tipo botella y acoples flexibles.</t>
  </si>
  <si>
    <t>16.9.</t>
  </si>
  <si>
    <t>Reinstalación de lavamanos quirurgicos. Incluye desague tipo botella y acople flexible</t>
  </si>
  <si>
    <t>MOBILIARIO</t>
  </si>
  <si>
    <t>17.1.</t>
  </si>
  <si>
    <t>Suministro e instalación de cajonera metálica en acero Coll Roll cal. 18, dimensiones 48 cm de frente, 48 cm de fondo y 70 cm de altura, dos (2) gavetas y un (1) cajón archivador  correderas extensibles full extensión y con capacidad de carga 80 lb y tope, incluye cerradura frontal que permita asegurar todas las gavetas mediante sistema de trampa (con mínimo dos llaves), con cuatro (4) niveladores regulables y acabado en pintura electrostática color a escoger.</t>
  </si>
  <si>
    <t>17.2.</t>
  </si>
  <si>
    <t>Suministro e instalación de apoyos a piso (patas)  metálicos para superficies de trabajo de 0.60 m de ancho fabricados  en tubería tubular cuadrada de 2" en "U",   niveladores regulables, acabado en pintura electrostática</t>
  </si>
  <si>
    <t>17.3.</t>
  </si>
  <si>
    <t>Suministro e instalacion de lockers metálicos  de 1.80  x 0.63 x 0.30 m  2 filas, 2 columnas fabricados en lámina de acero calibre 24, acabado en  pintura eléctrostática, con gancho ropero, división para zapatera, portacandado, perforado para ventilación, puertas con pin pasante, porta rótulo, sin patas</t>
  </si>
  <si>
    <t xml:space="preserve">17.4. </t>
  </si>
  <si>
    <t>Suministro  e instalación de superficie melamínica de 1.53 x 0.41 m  18 mm color igual o similar al mueble existente con cantos en los cuadro costados</t>
  </si>
  <si>
    <t>18.1.</t>
  </si>
  <si>
    <t xml:space="preserve">Suministro e instalación de bomba centrífuga tipo caracol modelo 15H-3wt descarga 1 1/2" acoplada a motor de 3 hp ,  mantenimiento y calibracion equipo de suministro de agua conformado por dos motores de 3p con bombas centrífigas de caracol descarga de 1 1/2", tanque de presion de 200 lts diafragma, tablero de control IHM. </t>
  </si>
  <si>
    <t>18.2.</t>
  </si>
  <si>
    <t>Mantenimiento y calibracion de sistema de eyector compuesto por dos bombas sumergibles con descarga de 2" acopladas a motor electrico de 1" y tablero de control electrico IHM</t>
  </si>
  <si>
    <t>TOTAL COSTOS DIRECTOS</t>
  </si>
  <si>
    <t>TOTAL COSTOS INDIRECTOS</t>
  </si>
  <si>
    <t>VALOR TOTAL CON DESFASE PRELIMINAR</t>
  </si>
  <si>
    <t>ANEXO - ANALISIS DEL MERCADO</t>
  </si>
  <si>
    <t>VR UNITARIO
APUS</t>
  </si>
  <si>
    <t>CONTRATO No. 015-DRSU-2022</t>
  </si>
  <si>
    <t>CONTRATO No. 022-DRSU-2023</t>
  </si>
  <si>
    <t>OS-058-2023
OBRAS DE ADECUACION Y ENLUCIMIENTO DE SALA 8  HOSPITAL DEPAR. PSIQUIATRICO UNIVERSITARIO DEL VALLE ESE</t>
  </si>
  <si>
    <t>GJ-048-2023
OBRAS DE MANTENIMIENTO Y ADECUACION CONSULTA EXTERNA, AREA CAJAS, AUTORIZACIONES... HOSPITAL  DEPAR.  PSIQUIATRICO UNIVERSITARIO DEL VALLE ESE</t>
  </si>
  <si>
    <t>MP-2706-2023
REALIZACION DE OBRAS PARA EL MEJORAMIENTO O REPARACION DE LAS IPS ADSCRITAS AL HOSPITAL RAUL OREJUELA BUENO E.S.E. GRUPO 2 - INTERVENCIÓN IPS BARRACAS, BOYACA, LA HERRADURA, LA ACEQUIA, Y LA DOLORES - ZONA RURAL</t>
  </si>
  <si>
    <t>MP-2705-2023
REALIZACION DE OBRAS PARA EL MEJORAMIENTO O REPARACION DE LAS IPS ADSCRITAS AL HOSPITAL RAUL OREJUELA BUENO E.S.E. GRUPO 1 - INTERVENCION IPS LA EMILIA ZONA URBANA</t>
  </si>
  <si>
    <t>VALOR UNITARIO PROMEDIO</t>
  </si>
  <si>
    <t>FACTOR INDEXACION</t>
  </si>
  <si>
    <t>VR CONTRATO</t>
  </si>
  <si>
    <t>VALORES</t>
  </si>
  <si>
    <t>ITEMS ESPECIALES TULUA</t>
  </si>
  <si>
    <t>ESPECIFICACIONES GENERAL</t>
  </si>
  <si>
    <t xml:space="preserve">VALOR TOTAL                                </t>
  </si>
  <si>
    <t>Demolición de acabado de piso en enchape cerámico, epóxico o tablón de gres y afinado hasta de 10 cm. Incluye cortes con pulidora, retiro de rejillas de cárcamos, demolicion de guardaescabas,contramarcos, cualquier elemento sobre el piso cargue y el retiro de escombros a botadero autorizado.</t>
  </si>
  <si>
    <t>Desmonte de aparatos sanitarios (sanitario y orinales), incluye Taponamiento de puntos sanitarios e hidráulicos, cargue y retiro al lugar indicado por la Entidad o a botadero autorizado.</t>
  </si>
  <si>
    <t>Desmonte de divisiones de baño en lámina metálica, incluye cargue y retiro del material desmontado al sitio indicado por la Entidad o al botadero autorizado.</t>
  </si>
  <si>
    <t>Demolición de pañete y terminado de muro en sitios afectados por humedad hasta encontrar mampostería, incluye medidas inferiores a un metro, cargue y retiro de escombros a botadero autorizado.</t>
  </si>
  <si>
    <t>Regatas para instalación de puntos hidráulicos, sanitarios y/o eléctricos, incluye cargue y retiro de escombros hasta botadero autorizado.</t>
  </si>
  <si>
    <t>Desmonte de cielorraso en superboard, fibra mineral, PVC, madera o láminas metálicas, incluye desmonte de elementos de estructura de cielorraso, luminarias, instalaciones eléctricas y cualquier otro elemento colocado por encima de cielorraso requerido para el desarrollo de actividades, cargue y retiro de escombros hasta lugar de acopio o botadero autorizado.</t>
  </si>
  <si>
    <t>Desmonte de guarda camillas, incluye el desmonte de todos los componentes (esquineros, rinconeros, terminales, soporte), cargue y retiro a botadero autorizado.</t>
  </si>
  <si>
    <t>Desmonte, adecuación y reinstalación de mesas de necropsias; incluye desconexión del punto sanitario de mesa y poceta, traslado a lugar de depósito, cambio de tubería y accesorios de PVC para conexión a punto sanitario, chazos expansivos de acero inoxidable, conexión de poceta y sifón de mesa a punto sanitario, incluye cargue, retiro y disposición final de escombros en botadero autorizado.</t>
  </si>
  <si>
    <t>Desmonte y reinstalación de puertas o ventanas. Incluye cargue y ubicación temporal en sitio establecido por la entidad. Incluye resane de baño y filos</t>
  </si>
  <si>
    <t xml:space="preserve">Retiro de membrana impermeabilizante existente, incluye retiro de todos los elementos que conforman la estructura de la misma, traslado hasta botadero autorizado y demás actividades para su perfecta ejecución </t>
  </si>
  <si>
    <t xml:space="preserve">Demolición de piso existente, incluye demolición de mortero de nivelación hasta encontrar placa estructural o nivel de instalación de nuevo acabado, cargue retiro y disposición final de escombros en botadero autorizado </t>
  </si>
  <si>
    <t xml:space="preserve">Desmonte, almacenaje y reinstalación de mobiliario y equipos existentes, incluye muebles de oficina, cajoneras, mesones, escritorios, gabinetes, estantería, equipos y demás elementos que se encuentren en el área y deban ser retirados, incluye desconexión y aislamiento de puntos eléctricos y/o sellado de puntos hidrosanitarios (si se requiere al desmontar el mueble), incluye cargue, retiro y traslado al sitio definido por el instituto </t>
  </si>
  <si>
    <t xml:space="preserve">Limpieza y desinfección con hipoclorito y detergente de áreas a intervenir en sala de necropsias y áreas contiguas con riesgo biológico </t>
  </si>
  <si>
    <t>Desmonte y limpieza de láminas de cielorraso en fibra mineral. Incluye traslado, ubicación temporal.</t>
  </si>
  <si>
    <t>Subtotal</t>
  </si>
  <si>
    <t>Punto Sanitario de 2", incluye tubería hasta 1,50 m, accesorios PVC, limpiador, soldadura PVC, regatas, resanes y demás elementos y materiales necesarios para la ejecución de la actividad</t>
  </si>
  <si>
    <t>Tubería PVC-sanitaria ∅2", incluye tubería PVC, accesorios PVC, limpiador, soldadura PVC, regatas, resanes y demás elementos y materiales necesarios para la ejecución de la actividad</t>
  </si>
  <si>
    <t>Punto agua fría de ∅1/2", incluye tubería hasta 1,5 m, accesorios de PVC, limpiador, soldadura PVC y demás elementos y materiales necesarios para la ejecución de la actividad.</t>
  </si>
  <si>
    <t>Red agua fría PVC presión ∅1/2", Incluye tubería de PVC RDE 9, accesorios de PVC, limpiador, soldadura PVC y demás elementos y materiales necesarios para la ejecución de la actividad.</t>
  </si>
  <si>
    <t xml:space="preserve">Registro PVC 1/2"  (Válvula 235 PSI) tipo pesado, incluye accesorios PVC, teflón, soldadura, y limpiador PVC                                                                                                                                                                                                                                                                                                                                                                                                                                                                          </t>
  </si>
  <si>
    <t xml:space="preserve">Sondeo de punto sanitario y/o desagüe con sonda eléctrica incluye elementos y materiales para su correcta ejecución y disposición final de los desechos resultantes </t>
  </si>
  <si>
    <t>Pañete liso impermeabilizado 1:3, incluye filos, dilataciones, cantos y carteras de baños. incluye medidas inferiores a 1.00 m</t>
  </si>
  <si>
    <t>Cambio de piezas rotas o en mal estado en enchape cerámico (piso-pared) homologando caracteristicas existentes, incluye retiro de piezas dañadas, preparación de la superficie, material de pega, boquilla, todos los materiales necesarios para la ejecución de la actividad, aseo del área intervenida y retiro de sobrantes a botadero autorizado.</t>
  </si>
  <si>
    <t>Mantenimiento y renovación de  mesones de lavamanos en material pétreo 0,60 m de ancho (superficie, salpicadero y reengruese), incluye reparación de fisuras, pulida de rayaduras, sellado, brillado, complemento de partes faltantes, ajuste de grifería y todos los materiales necesarios para la ejecución de la actividad.</t>
  </si>
  <si>
    <t>Construcción de guarda escoba media caña en granito lavado de 0,10 m. x 0,10 m., R=0,02 m. embebida en muros y piso, espesor mínimo de 2.5 cm. color igual o similar al color del piso.   Incluye dilatación en PVC, cortes con pulidora, sellado de bordes, 2 grafiles longitudinales anclados cada 50 cm, chazos y tornillos y todos los trabajos, materiales y elementos necesarios para su correcta instalación y funcionamiento.  Incluye cargue y retiro de sobrantes a botadero autorizado</t>
  </si>
  <si>
    <t>Alistado de piso y pendientado en mortero impermeabilizado 1 :3 espesor  hasta 0.08 m, incluye malla tipo gallinero hueco de 1,1/4"</t>
  </si>
  <si>
    <t>Reparación de piso epóxico semiliso color plano, incluye preparación de la superficie, tratamiento de fisuras, recubrimiento epóxico multicapa 1 mm y todos los elementos y materiales necesarios para su ejecución.</t>
  </si>
  <si>
    <t xml:space="preserve">Placa de contrapiso en concreto de 3,000 psi, incluye malla refuerzo m-84 y todos los elementos requeridos para su correcta instalación </t>
  </si>
  <si>
    <t xml:space="preserve">Suministro e instalación acabado de piso en gravilla lavada grano 1 color a escoger, para exteriores, incluye dilataciones, pendientado y todas las recomendaciones del fabricante para su correcta instalación </t>
  </si>
  <si>
    <t>Suministro e instalación de cielorraso en lámina de superboard 6mm. Incluye perfilería de soporte con estructura de acero galvanizado, rolado en frio calibre 26. Masillado, juntas de control plásticas ("Z" y "U"), lijado, claraboyas de inspección de 0,60*0,60 m y todos los materiales, accesorios y obras necesarias para su correcta instalación y funcionamiento.</t>
  </si>
  <si>
    <t>Cambio de láminas de cielorraso en fibra mineral, incluye retiro de láminas en mal estado, ajuste de estructura de soporte, acopio en lugar indicado por la Entidad, cargue y retiro a botadero autorizado.</t>
  </si>
  <si>
    <t>Suministro e instalación de cielo raso en PVC sistema GSP plano - tipo decorline E=9 mm de espesor y ancho lámina 30 cm incluye perfilería de soporte, remates, claraboyas de inspección de 60 x 60 en PVC con marco y contramarco en aluminio blanco cada 3 metros aproximadamente en los dos sentidos, Incluye claraboyas de inspección, remates laterales, uniones y todos los elementos necesarios para su perfecta instalación y funcionamiento.</t>
  </si>
  <si>
    <t>Reparación de humedades en mampostería existente, con resina acuosa de impregnación a dos manos.  Incluye preparación de la superficie, retiro de pintura y estuco dañados con espátula y grata metálica, desde el nivel de guarda escoba.  Incluye cargue y retiro de escombros a botadero autorizado y todos los trabajos y materiales necesarios para su correcta ejecución.</t>
  </si>
  <si>
    <t>Corrección de filtración en cielorraso, incluye inspección y detección de tubería con filtraciones o condensación, cambio de accesorios y/o tubería dañados, suministro e instalación de cubeta en lámina de acero inoxidable cal 20 , 1" de profundidad, ancho hasta 60 cm, con pestañas longitudinales de 1" y sosco para salida de 1/2",  tubería PVC AC de 1/2"  4 ml, accesorios PVC de 1/2" , cortes con pulidora para lámina de cielorraso en Superboard,  regatas, resanes, chazos, tornillos, cargue y retiro de escombros hasta botadero autorizado.</t>
  </si>
  <si>
    <t>Prelavado de áreas de fachada en ladrillo a la vista, con hidro lavadora a presión media, con rinse especializado para lavar, eliminar impurezas, material vegetal y material suelto en las superficies.</t>
  </si>
  <si>
    <t>Emboquillado de fachada en ladrillo a la vista, incluye preparación de la superficie, emboquillado de estrías de pega de elementos de mampostería con mortero 1:3 impermeabilizado y mejorado con aditivo para impermeabilizar y mejorar la durabilidad de morteros (tipo sika 1). Incluye medidas inferiores a 1,00 m, materiales, mano de obra, herramienta y equipo</t>
  </si>
  <si>
    <t>Impermeabilización de fachadas en ladrillo a la vista mediante hidrófugo  transparente 10 años (a 2 manos), incluye, materiales, mano de obra y equipos</t>
  </si>
  <si>
    <t>Siliconado perimetral de juntas de ventanas (perfil-muro y muro-borde marco prefabricado) con silicona antihongos (tipo sikasil E). Incluye retiro de material existente, limpieza, materiales, mano de obra y equipo.</t>
  </si>
  <si>
    <t>Lavado y brillado general de ventanería y perfilería, con producto desmanchador y desengrasante. Incluye material mano de obra y equipo.</t>
  </si>
  <si>
    <t xml:space="preserve">Suministro e instalación de membrana sarnafil s327 12mm expuesta a intemperie incluye corte, suministro, termosellado, puentes de adherencia y demás materiales y elementos para su correcta ejecución </t>
  </si>
  <si>
    <t xml:space="preserve">Reparación de humedades en mampostería existente, con mortero impermeabilizante en polvo incluye preparación de la superficie, retiro de pintura y estuco dañados con espátula y grata metálica, desde el nivel de guarda escoba. incluye cargue y retiro de escombros a botadero autorizado y todos los trabajos y materiales necesarios para su correcta ejecución. </t>
  </si>
  <si>
    <t>Suministro e instalación de orinal blanco de entrada superior, 0,5 lpf Gricol o similar, sifón oculto, incluye grifería anti vandálica tipo push institucional color plata acabado cromo, de caudal graduable; incluye conexiones a puntos hidrosanitarios, elementos de sujeción, sellado y todos los materiales necesarios para su ejecución y uso.</t>
  </si>
  <si>
    <t xml:space="preserve">Suministro e instalación de lavamanos de incrustar en porcelana sanitaria brillante color blanco, Largo 42.5 cm, Ancho 49 cm, forma Ovalada; Profundidad del pozo 23 cm, para grifería monocontrol, incluye sifón rígido tipo botella PVC, desagüé sencillo cromado con rebose, niples, buje de caucho y brida de PVC, Grifería institucional de mesa tipo push metálica cromo, conexiones y todos los materiales necesarios para su instalación y uso  </t>
  </si>
  <si>
    <t>Suministro e instalación de lavamanos de colgar en porcelana blanco (Happy Blanco), Alto: 16, Ancho: 47, para grifería monocontrol, incluye sifón rígido tipo botella PVC, desagüé sencillo cromado con rebose, niples, buje de caucho y brida de PVC, Grifería Lavamanos 8" Cruceta Balta, conexiones, elementos de soporte, chazos, tornillos y todos los materiales necesarios para su instalación y uso.</t>
  </si>
  <si>
    <t>Suministro e instalación de grifería Institucional de mesa tipo push para lavamanos, metálica, acabado cromo, incluye acople flexible y todos los elementos y materiales necesarios para su instalación y uso.</t>
  </si>
  <si>
    <t>Suministro e instalación de conjunto grifería completa sanitario (árbol entrada, salida, palanca) incluye materiales necesarios para la ejecución de la actividad.</t>
  </si>
  <si>
    <t xml:space="preserve">Suministro e instalación de lavamanos quirúrgico de dos puestos accionamiento con pedal, construido íntegramente en acero inoxidable calibre 18 referencia 304 en la parte superior y calibre 20 ref 430 en la base, salpicadero 10 cms, fondo de poceta de 25 cms cuenta con llaves cuello de ganso sencilla y mangueras dimensiones externas 1 mt de longitud x 0,40 mt de fondo x 0,90 mt de alto. incluyen todos los elementos y actividades para su correcta instalación y puesta en funcionamiento </t>
  </si>
  <si>
    <t xml:space="preserve">Destape red sanitaria existente incluye sondeo de tubería reemplazo de accesorios y tubería existente garantizando el correcto funcionamiento de la red, y disposición final de elementos reemplazados en botadero autorizado </t>
  </si>
  <si>
    <t>Mantenimiento de puerta, incluye asegurado del marco a la mampostería, suministro e instalación de tapa luz en lamina metálica, resanes de pañete y estuco en baño de puerta, ajuste de pasadores  y todos los elementos, aseo y limpieza del área intervenida y materiales necesarios para su ejecución.</t>
  </si>
  <si>
    <t>Suministro e instalación ángulos (3,0*3,0") en lámina de acero inoxidable calibre 16, para protección de filos y esquinas de muros con ángulos diferentes de 90°, anclados a los muros mediante chazos expansivos 5/16" internos incluye tornillos, preparación de la superficie para instalación y demás elementos y materiales necesarios para su ejecución y uso.</t>
  </si>
  <si>
    <t>Suministro e instalación de división de baño, fabricadas en acero inoxidable calibre 20  ref. 304, satinada. con puertas y paneles entamboradas y reforzadas internamente, pasadores en acero inoxidable 304, pivotes, distanciadores, elementos de soporte, bridas, escudos y demás elementos y materiales para su ejecución y uso. según diseño.</t>
  </si>
  <si>
    <t>Suministro e instalación de división de orinal, fabricado en acero inoxidable calibre 20  ref. 304 satinada. (paneles entamboradas y reforzadas internamente), incluye elementos de soporte, chazos y tornillos en acero inoxidable y demás elementos y materiales para su ejecución y uso. según diseño.</t>
  </si>
  <si>
    <t>Suministro e instalación de rejilla de cárcamo vehicular de 0,50 m de ancho elaborada en varilla corrugada de acero de 1" con marco y contramarco en ángulo de 1, 1/2 * 3/16”, uñas de anclaje en ángulo de 1,1/2" * 3/16" (3 por cada lado longitudinal), tres bisagras de pistón de 3/4" por metro lineal apertura de 180°, incluye regatas, resanes, concreto de 3000 psi, resanes, aseo y limpieza del área intervenida.</t>
  </si>
  <si>
    <t>Estuco acrílico, incluye filos (esquineras plásticas), dilataciones (juntas de control plásticas en "Z" y "U"), carteras de baños y medidas inferiores a 1.0 m, lijado, limpieza, cargue y retiro de escombros y sobrantes a botadero autorizado.</t>
  </si>
  <si>
    <t>Suministro e instalación de pintura epóxica poliamida, recubrimiento protector para muros y techos interiores en zonas asépticas de dos componentes (componente A pintura epóxica, componente B catalizador poliamídico), acabado semibrillante, tres manos, color blanco (morgue, recepción y pasillos) incluye preparación de la superficie, resanes con estuco plástico, filos, dilataciones, carteras, mediacañas verticales y medidas inferiores a 1.00 m</t>
  </si>
  <si>
    <t>Pintura vinilo tipo 1  dos manos para muros interiores a partir de borde de enchape y cielorrasos (color blanco) incluye medidas menores a 1.00 m, filos y dilataciones, resanes en estuco plástico, encintado y todos los materiales y trabajos necesarios para su correcta ejecución.</t>
  </si>
  <si>
    <t>Suministro e instalacion de espejo de 5 mm con bisel de 2 cm en contorno, incluye retiro de espejos rotos o en mal estado, limpieza del area de instalación, material de pega y todos los elementos y materiales necesarios para su ejecución y uso.</t>
  </si>
  <si>
    <t>Suministro e instalación de cinta antideslizante foto-luminiscente para pasos de escalera, incluye retiro de cinta existente, limpieza de la superficie, instalación homologando características del material existente.</t>
  </si>
  <si>
    <t>Suministro e instalación de cierrapuertas (gato hidráulico) ajustable hasta 45 kg, incluye tonillos, perforaciones y todos los materiales necesarios para la ejecución del ítem.</t>
  </si>
  <si>
    <t>Suministro e instalación de guarda camilla en PVC y estructura de aluminio, de 20 cm de ancho con estructura completa, homologando las características completas de los componentes del elemento existente en sala de necropsias, incluye desmonte de elementos existentes dañados o con componentes faltantes, cargue y retiro de escombros o sobrantes a botadero autorizado y todos los elementos y materiales necesarios para su ejecución</t>
  </si>
  <si>
    <t>Suministro e instalación de terminales para guarda camilla de 20 cm de ancho, homologando las características completas de los componentes del elemento existente en sala de necropsias, incluye todos los elementos y materiales necesarios para su ejecución</t>
  </si>
  <si>
    <t>Suministro e instalación de rinconeras para guarda camilla de 20 cm de ancho, homologando las características completas de los componentes del elemento existente en sala de necropsias, incluye todos los elementos y materiales necesarios para su ejecución</t>
  </si>
  <si>
    <t>Suministro e instalación de esquineros para guarda camilla de 20 cm de ancho, homologando las características completas de los componentes del elemento existente en sala de necropsias, incluye todos los elementos y materiales necesarios para su ejecución</t>
  </si>
  <si>
    <t>Suministro e instalación de jaboneras en acero inoxidable (dispensador de jabón líquido acero inoxidable 1000, Ml De 20x13 cm), incluye elementos de sujeción (chazos, tonillos etc.) y todos los elementos y materiales necesarios para su instalación y uso.</t>
  </si>
  <si>
    <t>Suministro e instalación de tapa registro de 20×20 cm de empotrar, en acero inoxidable satinado· Dimensión interna: 20 x 20 cm · tapa 20 cm / marco 23 cm, · Acabado acero inoxidable satinado, Incluye mortero 1:3, sellador elástico monocomponente, chazos, tornillos y demás elementos y materiales necesarios para la ejecución de la actividad</t>
  </si>
  <si>
    <t>SUBTOTAL OBRAS CIVILES</t>
  </si>
  <si>
    <t>Suministro de materiales y mano de obra para Instalación de tomacorriente doble GFCI empotrado, 2P+T 15A 125V; (incluye toma doble GFCI, retiro y disposición final de tomacorriente existente,  tapa de protección intemperie en aluminio inyectado waterproff, elementos de fijación y demas elémentos consumibles para su correcta instalación).</t>
  </si>
  <si>
    <t>SISTEMAS DE VENTILACION</t>
  </si>
  <si>
    <t>SUBTOTAL OBRAS ELÉCTRICAS Y MECÁNICAS</t>
  </si>
  <si>
    <t xml:space="preserve">SUBTOTAL SISTEMA DE VENTILACIÓN MECÁNICA HVAC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</si>
  <si>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</si>
  <si>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</si>
  <si>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</si>
  <si>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PRESUPUESTO SISTEMA ELÉCTRICO, ILUMINACIÓN Y ALARMAS PARA EL PROYECTO DE REPARACIONES LOCATIVAS SEDE TUNJA- BOYACA DEL  INSTITUTO NACIONAL DE MEDICINA LEGAL Y CIENCIAS FORENSES</t>
  </si>
  <si>
    <t>PRESUPUESTO DETALLADO</t>
  </si>
  <si>
    <t>Contratado inicialmente</t>
  </si>
  <si>
    <t>Itém</t>
  </si>
  <si>
    <t>VALOR</t>
  </si>
  <si>
    <t>INICIAL</t>
  </si>
  <si>
    <t>CONTRATO</t>
  </si>
  <si>
    <t>TRABAJOS SEDE CARTAGENA</t>
  </si>
  <si>
    <t>VALOR TOTAL DE OBRA</t>
  </si>
  <si>
    <t>CAMILA ANDREA BARRERA CARDENAS</t>
  </si>
  <si>
    <t>Profesional Universitario GNGEI</t>
  </si>
  <si>
    <t>PRESUPUESTO SISTEMA MECÁNICO HVAC PARA EL PROYECTO DE REPARACIONES LOCATIVAS SEDE SECCIONAL BOLIVAR - CARTAGENA DEL  INSTITUTO NACIONAL DE MEDICINA LEGAL Y CIENCIAS FORENSES</t>
  </si>
  <si>
    <t>TRABAJOS SEDE SECCIONAL BOLIVAR  - CATAGENA</t>
  </si>
  <si>
    <t>Sala de necropsias y áreas conexas</t>
  </si>
  <si>
    <t>Sala necropsias y sala sépticos</t>
  </si>
  <si>
    <t>Sala necropsias</t>
  </si>
  <si>
    <t>Sala de necropsias</t>
  </si>
  <si>
    <t>Sala de Sépticos</t>
  </si>
  <si>
    <t>Archivo y exclusas</t>
  </si>
  <si>
    <t>FAVIO ANDERSON MARTÍNEZ A.</t>
  </si>
  <si>
    <t>Profesional Especializado GNGST-SSF</t>
  </si>
  <si>
    <t xml:space="preserve">Copia: Dr. Xxxxxx Xxxxxxx Xxxxxxxxxx Xxxxxxxxxxxx </t>
  </si>
  <si>
    <t xml:space="preserve">Vo Bo al balance:           </t>
  </si>
  <si>
    <t>VALOR TOTAL PRESENTE OBRA</t>
  </si>
  <si>
    <t>B</t>
  </si>
  <si>
    <t>%</t>
  </si>
  <si>
    <t xml:space="preserve">REPARACIONES LOCATIVAS </t>
  </si>
  <si>
    <t>Tope para Subsidio Transporte</t>
  </si>
  <si>
    <t>COSTO REAL DEL SALARIO 2023</t>
  </si>
  <si>
    <t>PARA UN SALARIO MINIMO</t>
  </si>
  <si>
    <t>Subsidio de transporte mensual</t>
  </si>
  <si>
    <t>Subsidio de transporte anual</t>
  </si>
  <si>
    <t>A. Mensual</t>
  </si>
  <si>
    <t>B. Anual</t>
  </si>
  <si>
    <t>C. Anual con subsidio</t>
  </si>
  <si>
    <t>CONCEPTO</t>
  </si>
  <si>
    <t>SALARIO</t>
  </si>
  <si>
    <t>Salario anual (365 días)</t>
  </si>
  <si>
    <t>Subsidio de transporte</t>
  </si>
  <si>
    <t>PRESTACIONES</t>
  </si>
  <si>
    <t>Cesantía Anual</t>
  </si>
  <si>
    <t>C/365</t>
  </si>
  <si>
    <t>Intereses Cesantía</t>
  </si>
  <si>
    <t>Cesantía</t>
  </si>
  <si>
    <t>Vacaciones 15 días</t>
  </si>
  <si>
    <t>Prima 30 días</t>
  </si>
  <si>
    <t>OTROS COSTOS</t>
  </si>
  <si>
    <t>Dotación</t>
  </si>
  <si>
    <t>Seguro Colectivo</t>
  </si>
  <si>
    <t>SEGURIDAD SOCIAL</t>
  </si>
  <si>
    <t>Pensiones</t>
  </si>
  <si>
    <t>Medicina Familiar</t>
  </si>
  <si>
    <t>Riesgos Profesionales</t>
  </si>
  <si>
    <t>APORTES SENA</t>
  </si>
  <si>
    <t>Aporte Ordinario</t>
  </si>
  <si>
    <t xml:space="preserve">Fondo </t>
  </si>
  <si>
    <t>OTROS APORTES</t>
  </si>
  <si>
    <t>Subsidio Familiar</t>
  </si>
  <si>
    <t>VALOR REAL SALARIO</t>
  </si>
  <si>
    <t>MANO DE OBRA</t>
  </si>
  <si>
    <t>VL DIA</t>
  </si>
  <si>
    <t>AYU</t>
  </si>
  <si>
    <t>Cuadrilla Obras Electricas</t>
  </si>
  <si>
    <t>Día</t>
  </si>
  <si>
    <t>TEC</t>
  </si>
  <si>
    <t>Técnico electricista</t>
  </si>
  <si>
    <t>JEF</t>
  </si>
  <si>
    <t>Jefe de cuadrilla</t>
  </si>
  <si>
    <t>RES</t>
  </si>
  <si>
    <t>Ing. Residente</t>
  </si>
  <si>
    <t>DIR</t>
  </si>
  <si>
    <t>Ing. Director de obra</t>
  </si>
  <si>
    <t>EQUIPO Y HERRAMIENTA</t>
  </si>
  <si>
    <t>HM</t>
  </si>
  <si>
    <t>Juego</t>
  </si>
  <si>
    <t>CYT</t>
  </si>
  <si>
    <t>Cinturon y pretales</t>
  </si>
  <si>
    <t>ETA</t>
  </si>
  <si>
    <t>Equipo de trabajo en altura</t>
  </si>
  <si>
    <t>MA</t>
  </si>
  <si>
    <t>Manilas</t>
  </si>
  <si>
    <t>TRANS</t>
  </si>
  <si>
    <t>Transporte de bodega a sitio de trabajo</t>
  </si>
  <si>
    <t>Tn</t>
  </si>
  <si>
    <t>CARG</t>
  </si>
  <si>
    <t>Cargador 1 tonelada</t>
  </si>
  <si>
    <t>Hr</t>
  </si>
  <si>
    <t>GRUA</t>
  </si>
  <si>
    <t>Grua</t>
  </si>
  <si>
    <t>FORMATO DE OFERTA ECONOMICA - LOTE 2 CARTAGENA</t>
  </si>
  <si>
    <t>CONSORCIO RENOVACIÓN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</si>
</sst>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164" formatCode="#,##0\ &quot;€&quot;;\-#,##0\ &quot;€&quot;"/>
    <numFmt numFmtId="165" formatCode="#,##0.00\ &quot;€&quot;;\-#,##0.00\ &quot;€&quot;"/>
    <numFmt numFmtId="166" formatCode="_-* #,##0\ &quot;€&quot;_-;\-* #,##0\ &quot;€&quot;_-;_-* &quot;-&quot;\ &quot;€&quot;_-;_-@_-"/>
    <numFmt numFmtId="167" formatCode="_-* #,##0.00\ &quot;€&quot;_-;\-* #,##0.00\ &quot;€&quot;_-;_-* &quot;-&quot;??\ &quot;€&quot;_-;_-@_-"/>
    <numFmt numFmtId="168" formatCode="_(* #,##0_);_(* \(#,##0\);_(* &quot;-&quot;_);_(@_)"/>
    <numFmt numFmtId="169" formatCode="_(&quot;$&quot;* #,##0.00_);_(&quot;$&quot;* \(#,##0.00\);_(&quot;$&quot;* &quot;-&quot;??_);_(@_)"/>
    <numFmt numFmtId="170" formatCode="_(* #,##0.00_);_(* \(#,##0.00\);_(* &quot;-&quot;??_);_(@_)"/>
    <numFmt numFmtId="171" formatCode="&quot;$&quot;\ #,##0.00_);\(&quot;$&quot;\ #,##0.00\)"/>
    <numFmt numFmtId="172" formatCode="_(&quot;$&quot;\ * #,##0_);_(&quot;$&quot;\ * \(#,##0\);_(&quot;$&quot;\ * &quot;-&quot;_);_(@_)"/>
    <numFmt numFmtId="173" formatCode="_(&quot;$&quot;\ * #,##0.00_);_(&quot;$&quot;\ * \(#,##0.00\);_(&quot;$&quot;\ * &quot;-&quot;??_);_(@_)"/>
    <numFmt numFmtId="174" formatCode="_-* #,##0.00\ _€_-;\-* #,##0.00\ _€_-;_-* &quot;-&quot;??\ _€_-;_-@_-"/>
    <numFmt numFmtId="175" formatCode="_ * #,##0.00_ ;_ * \-#,##0.00_ ;_ * &quot;-&quot;??_ ;_ @_ "/>
    <numFmt numFmtId="176" formatCode="&quot;$&quot;\ #,##0.00"/>
    <numFmt numFmtId="177" formatCode="_(* #,##0.0000_);_(* \(#,##0.0000\);_(* &quot;-&quot;??_);_(@_)"/>
    <numFmt numFmtId="178" formatCode="[$$-240A]\ #,##0.00"/>
    <numFmt numFmtId="179" formatCode="&quot;$&quot;\ #,##0"/>
    <numFmt numFmtId="180" formatCode="[$$-240A]\ #,##0"/>
    <numFmt numFmtId="181" formatCode="_-* #,##0.0000\ _€_-;\-* #,##0.0000\ _€_-;_-* &quot;-&quot;??\ _€_-;_-@_-"/>
    <numFmt numFmtId="182" formatCode="[$$-240A]\ #,##0.00;[$$-240A]\ \-#,##0.00"/>
    <numFmt numFmtId="183" formatCode="_(* #,##0_);_(* \(#,##0\);_(* &quot;-&quot;??_);_(@_)"/>
    <numFmt numFmtId="184" formatCode="[$$-240A]\ #,##0.00_ ;\-[$$-240A]\ #,##0.00\ "/>
    <numFmt numFmtId="185" formatCode="0.0%"/>
    <numFmt numFmtId="186" formatCode="0.0"/>
    <numFmt numFmtId="187" formatCode="_ * #,##0_ ;_ * \-#,##0_ ;_ * &quot;-&quot;??_ ;_ @_ "/>
    <numFmt numFmtId="188" formatCode="_-&quot;$&quot;* #,##0.00_-;\-&quot;$&quot;* #,##0.00_-;_-&quot;$&quot;* &quot;-&quot;??_-;_-@_-"/>
    <numFmt numFmtId="189" formatCode="_-* #,##0.00\ [$€]_-;\-* #,##0.00\ [$€]_-;_-* &quot;-&quot;??\ [$€]_-;_-@_-"/>
    <numFmt numFmtId="190" formatCode="&quot;$&quot;#,##0\ ;\(&quot;$&quot;#,##0\)"/>
    <numFmt numFmtId="191" formatCode="_-* #,##0\ \-;\-* #,##0\ _-;_-* &quot;-&quot;\ _-;_-@_-"/>
    <numFmt numFmtId="192" formatCode="_-* #,##0\ _p_t_a_-;\-* #,##0\ _p_t_a_-;_-* &quot;-&quot;\ _p_t_a_-;_-@_-"/>
    <numFmt numFmtId="193" formatCode="_-&quot;$&quot;* #.##0.00_-;\-&quot;$&quot;* #.##0.00_-;_-&quot;$&quot;* &quot;-&quot;??_-;_-@_-"/>
    <numFmt numFmtId="194" formatCode="_ [$€-2]\ * #,##0.00_ ;_ [$€-2]\ * \-#,##0.00_ ;_ [$€-2]\ * &quot;-&quot;??_ "/>
    <numFmt numFmtId="195" formatCode="[Red]#,##0"/>
    <numFmt numFmtId="196" formatCode="#,##0.0000"/>
    <numFmt numFmtId="197" formatCode="_ &quot;$&quot;\ * #,##0.00_ ;_ &quot;$&quot;\ * \-#,##0.00_ ;_ &quot;$&quot;\ * &quot;-&quot;??_ ;_ @_ "/>
    <numFmt numFmtId="198" formatCode="0.00%;\-0.00%;&quot;&quot;"/>
    <numFmt numFmtId="199" formatCode="_-* #,##0.00\ &quot;Pts&quot;_-;\-* #,##0.00\ &quot;Pts&quot;_-;_-* &quot;-&quot;??\ &quot;Pts&quot;_-;_-@_-"/>
    <numFmt numFmtId="200" formatCode="_-* #,##0_F_B_-;\-* #,##0_F_B_-;_-* &quot;-&quot;_F_B_-;_-@_-"/>
    <numFmt numFmtId="201" formatCode="_-* #,##0.00&quot;FB&quot;_-;\-* #,##0.00&quot;FB&quot;_-;_-* &quot;-&quot;??&quot;FB&quot;_-;_-@_-"/>
    <numFmt numFmtId="202" formatCode="_-* #,##0.00_F_B_-;\-* #,##0.00_F_B_-;_-* &quot;-&quot;??_F_B_-;_-@_-"/>
    <numFmt numFmtId="203" formatCode="_-* #,##0.00_F_B_-;\-* #,##0.00_F_B_-;_-* &quot;-&quot;_F_B_-;_-@_-"/>
    <numFmt numFmtId="204" formatCode="#,##0;[Red]#,##0"/>
    <numFmt numFmtId="205" formatCode="#,##0.00;[Red]#,##0.00"/>
    <numFmt numFmtId="206" formatCode="_-[$$-240A]\ * #,##0.00_-;\-[$$-240A]\ * #,##0.00_-;_-[$$-240A]\ * &quot;-&quot;??_-;_-@_-"/>
    <numFmt numFmtId="207" formatCode="_(* #,##0.0_);_(* \(#,##0.0\);_(* &quot;-&quot;??_);_(@_)"/>
    <numFmt numFmtId="208" formatCode="_([$$-240A]\ * #,##0_);_([$$-240A]\ * \(#,##0\);_([$$-240A]\ * &quot;-&quot;??_);_(@_)"/>
    <numFmt numFmtId="209" formatCode="_ [$$-240A]\ * #,##0.00_ ;_ [$$-240A]\ * \-#,##0.00_ ;_ [$$-240A]\ * &quot;-&quot;??_ ;_ @_ "/>
  </numFmts>
  <fonts count="89">
    <font>
      <sz val="11"/>
      <color theme="1"/>
      <name val="Calibri"/>
      <family val="2"/>
      <scheme val="minor"/>
    </font>
    <font>
      <sz val="11"/>
      <color indexed="8"/>
      <name val="Calibri"/>
      <family val="2"/>
    </font>
    <font>
      <sz val="11"/>
      <color indexed="8"/>
      <name val="Calibri"/>
      <family val="2"/>
    </font>
    <font>
      <sz val="11"/>
      <color indexed="8"/>
      <name val="Calibri"/>
      <family val="2"/>
    </font>
    <font>
      <b/>
      <sz val="11"/>
      <color indexed="8"/>
      <name val="Calibri"/>
      <family val="2"/>
    </font>
    <font>
      <sz val="10"/>
      <color indexed="8"/>
      <name val="MS Sans Serif"/>
      <family val="2"/>
    </font>
    <font>
      <sz val="10"/>
      <name val="Arial"/>
      <family val="2"/>
    </font>
    <font>
      <b/>
      <sz val="12"/>
      <name val="Arial"/>
      <family val="2"/>
    </font>
    <font>
      <b/>
      <sz val="10"/>
      <name val="Arial"/>
      <family val="2"/>
    </font>
    <font>
      <sz val="9"/>
      <name val="Arial"/>
      <family val="2"/>
    </font>
    <font>
      <sz val="9"/>
      <color indexed="8"/>
      <name val="Arial"/>
      <family val="2"/>
    </font>
    <font>
      <sz val="8"/>
      <name val="Arial"/>
      <family val="2"/>
    </font>
    <font>
      <sz val="10"/>
      <name val="Courier"/>
      <family val="3"/>
    </font>
    <font>
      <b/>
      <sz val="11"/>
      <name val="Arial"/>
      <family val="2"/>
    </font>
    <font>
      <sz val="10"/>
      <color indexed="8"/>
      <name val="Arial"/>
      <family val="2"/>
    </font>
    <font>
      <sz val="11"/>
      <name val="Arial"/>
      <family val="2"/>
    </font>
    <font>
      <b/>
      <i/>
      <sz val="10"/>
      <name val="Arial"/>
      <family val="2"/>
    </font>
    <font>
      <sz val="12"/>
      <name val="Arial"/>
      <family val="2"/>
    </font>
    <font>
      <sz val="10"/>
      <color theme="1"/>
      <name val="Arial"/>
      <family val="2"/>
    </font>
    <font>
      <sz val="9"/>
      <color indexed="81"/>
      <name val="Tahoma"/>
      <family val="2"/>
    </font>
    <font>
      <b/>
      <sz val="9"/>
      <color indexed="81"/>
      <name val="Tahoma"/>
      <family val="2"/>
    </font>
    <font>
      <b/>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color indexed="24"/>
      <name val="Arial"/>
      <family val="2"/>
    </font>
    <font>
      <b/>
      <sz val="18"/>
      <color indexed="24"/>
      <name val="Arial"/>
      <family val="2"/>
    </font>
    <font>
      <b/>
      <sz val="12"/>
      <color indexed="24"/>
      <name val="Arial"/>
      <family val="2"/>
    </font>
    <font>
      <sz val="12"/>
      <name val="Helv"/>
    </font>
    <font>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b/>
      <sz val="18"/>
      <color indexed="56"/>
      <name val="Cambria"/>
      <family val="2"/>
    </font>
    <font>
      <sz val="12"/>
      <name val="Times New Roman"/>
      <family val="1"/>
    </font>
    <font>
      <b/>
      <sz val="10"/>
      <name val="MS Sans"/>
    </font>
    <font>
      <sz val="10"/>
      <name val="Helv"/>
    </font>
    <font>
      <sz val="8"/>
      <name val="Helv"/>
    </font>
    <font>
      <u/>
      <sz val="6"/>
      <color indexed="12"/>
      <name val="Arial"/>
      <family val="2"/>
    </font>
    <font>
      <u/>
      <sz val="10"/>
      <color rgb="FF0000FF"/>
      <name val="Arial"/>
      <family val="2"/>
    </font>
    <font>
      <u/>
      <sz val="10"/>
      <color rgb="FF800080"/>
      <name val="Arial"/>
      <family val="2"/>
    </font>
    <font>
      <b/>
      <sz val="10"/>
      <color indexed="10"/>
      <name val="Arial"/>
      <family val="2"/>
    </font>
    <font>
      <sz val="11"/>
      <color rgb="FFFF0000"/>
      <name val="Calibri"/>
      <family val="2"/>
      <scheme val="minor"/>
    </font>
    <font>
      <sz val="10"/>
      <color indexed="10"/>
      <name val="Arial"/>
      <family val="2"/>
    </font>
    <font>
      <sz val="12"/>
      <name val="Arial Narrow"/>
      <family val="2"/>
    </font>
    <font>
      <b/>
      <sz val="10"/>
      <color indexed="8"/>
      <name val="Arial"/>
      <family val="2"/>
    </font>
    <font>
      <b/>
      <sz val="9"/>
      <name val="Arial"/>
      <family val="2"/>
    </font>
    <font>
      <sz val="11"/>
      <color theme="1"/>
      <name val="Arial"/>
      <family val="2"/>
    </font>
    <font>
      <b/>
      <sz val="10"/>
      <color theme="1"/>
      <name val="Arial"/>
      <family val="2"/>
    </font>
    <font>
      <b/>
      <sz val="11"/>
      <color theme="1"/>
      <name val="Arial"/>
      <family val="2"/>
    </font>
    <font>
      <b/>
      <sz val="9"/>
      <color theme="1"/>
      <name val="Arial"/>
      <family val="2"/>
    </font>
    <font>
      <b/>
      <u/>
      <sz val="11"/>
      <name val="Arial"/>
      <family val="2"/>
    </font>
    <font>
      <sz val="10"/>
      <name val="Arial"/>
      <family val="2"/>
    </font>
    <font>
      <sz val="11"/>
      <color indexed="17"/>
      <name val="Calibri"/>
      <family val="2"/>
    </font>
    <font>
      <b/>
      <sz val="11"/>
      <color indexed="52"/>
      <name val="Calibri"/>
      <family val="2"/>
    </font>
    <font>
      <b/>
      <sz val="11"/>
      <color indexed="9"/>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sz val="10"/>
      <color rgb="FF000000"/>
      <name val="Arial"/>
      <family val="2"/>
    </font>
    <font>
      <sz val="11"/>
      <color rgb="FF222222"/>
      <name val="Arial"/>
      <family val="2"/>
    </font>
    <font>
      <b/>
      <sz val="11"/>
      <color rgb="FF222222"/>
      <name val="Arial"/>
      <family val="2"/>
    </font>
    <font>
      <b/>
      <sz val="12"/>
      <color indexed="48"/>
      <name val="Arial"/>
      <family val="2"/>
    </font>
    <font>
      <sz val="10"/>
      <color indexed="12"/>
      <name val="Arial"/>
      <family val="2"/>
    </font>
    <font>
      <b/>
      <sz val="10"/>
      <color indexed="12"/>
      <name val="Arial"/>
      <family val="2"/>
    </font>
    <font>
      <u/>
      <sz val="11"/>
      <color theme="10"/>
      <name val="Calibri"/>
      <family val="2"/>
      <scheme val="minor"/>
    </font>
    <font>
      <sz val="11"/>
      <color rgb="FF000000"/>
      <name val="Arial"/>
      <family val="2"/>
    </font>
    <font>
      <b/>
      <sz val="9"/>
      <name val="Arial Narrow"/>
      <family val="2"/>
    </font>
    <font>
      <i/>
      <sz val="10"/>
      <name val="Arial"/>
      <family val="2"/>
    </font>
    <font>
      <b/>
      <i/>
      <sz val="9"/>
      <name val="Arial"/>
      <family val="2"/>
    </font>
    <font>
      <i/>
      <sz val="9"/>
      <name val="Arial"/>
      <family val="2"/>
    </font>
    <font>
      <sz val="8"/>
      <color indexed="10"/>
      <name val="Arial"/>
      <family val="2"/>
    </font>
    <font>
      <i/>
      <sz val="9"/>
      <color rgb="FF000000"/>
      <name val="Arial"/>
      <family val="2"/>
    </font>
    <font>
      <i/>
      <sz val="9"/>
      <color theme="1"/>
      <name val="Arial"/>
      <family val="2"/>
    </font>
    <font>
      <b/>
      <sz val="9"/>
      <color indexed="10"/>
      <name val="Arial"/>
      <family val="2"/>
    </font>
    <font>
      <i/>
      <sz val="7"/>
      <name val="Arial"/>
      <family val="2"/>
    </font>
    <font>
      <b/>
      <sz val="8"/>
      <name val="Verdana"/>
      <family val="2"/>
    </font>
    <font>
      <sz val="8"/>
      <name val="Verdana"/>
      <family val="2"/>
    </font>
    <font>
      <b/>
      <sz val="8"/>
      <name val="Arial"/>
      <family val="2"/>
    </font>
    <font>
      <i/>
      <sz val="9"/>
      <color indexed="10"/>
      <name val="Arial"/>
      <family val="2"/>
    </font>
    <font>
      <b/>
      <sz val="11"/>
      <color rgb="FF000000"/>
      <name val="Arial"/>
      <family val="2"/>
    </font>
    <font>
      <b/>
      <sz val="14"/>
      <name val="Arial"/>
      <family val="2"/>
    </font>
    <font>
      <sz val="12"/>
      <color rgb="FF000000"/>
      <name val="Tahoma"/>
      <family val="2"/>
    </font>
    <font>
      <sz val="8"/>
      <name val="Calibri"/>
      <family val="2"/>
      <scheme val="minor"/>
    </font>
    <font>
      <sz val="10"/>
      <name val="Arial"/>
      <family val="2"/>
    </font>
  </fonts>
  <fills count="6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2"/>
        <bgColor indexed="22"/>
      </patternFill>
    </fill>
    <fill>
      <patternFill patternType="solid">
        <fgColor indexed="22"/>
        <bgColor indexed="31"/>
      </patternFill>
    </fill>
    <fill>
      <patternFill patternType="solid">
        <fgColor indexed="65"/>
        <bgColor indexed="9"/>
      </patternFill>
    </fill>
    <fill>
      <patternFill patternType="solid">
        <fgColor theme="0"/>
        <bgColor indexed="64"/>
      </patternFill>
    </fill>
    <fill>
      <patternFill patternType="solid">
        <fgColor theme="0" tint="-0.14999847407452621"/>
        <bgColor indexed="64"/>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39997558519241921"/>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7"/>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22"/>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FFC00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66FF33"/>
        <bgColor indexed="64"/>
      </patternFill>
    </fill>
    <fill>
      <patternFill patternType="solid">
        <fgColor theme="0" tint="-0.24994659260841701"/>
        <bgColor indexed="31"/>
      </patternFill>
    </fill>
    <fill>
      <patternFill patternType="solid">
        <fgColor theme="0" tint="-0.249977111117893"/>
        <bgColor indexed="22"/>
      </patternFill>
    </fill>
    <fill>
      <patternFill patternType="solid">
        <fgColor theme="0" tint="-0.249977111117893"/>
        <bgColor indexed="31"/>
      </patternFill>
    </fill>
    <fill>
      <patternFill patternType="solid">
        <fgColor rgb="FF00B050"/>
        <bgColor indexed="64"/>
      </patternFill>
    </fill>
    <fill>
      <patternFill patternType="solid">
        <fgColor theme="3" tint="0.39997558519241921"/>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indexed="55"/>
      </patternFill>
    </fill>
    <fill>
      <patternFill patternType="solid">
        <fgColor indexed="26"/>
      </patternFill>
    </fill>
    <fill>
      <patternFill patternType="solid">
        <fgColor indexed="43"/>
        <bgColor indexed="64"/>
      </patternFill>
    </fill>
    <fill>
      <patternFill patternType="solid">
        <fgColor indexed="40"/>
        <bgColor indexed="64"/>
      </patternFill>
    </fill>
    <fill>
      <patternFill patternType="solid">
        <fgColor indexed="54"/>
        <bgColor indexed="64"/>
      </patternFill>
    </fill>
    <fill>
      <patternFill patternType="solid">
        <fgColor indexed="44"/>
        <bgColor indexed="64"/>
      </patternFill>
    </fill>
    <fill>
      <patternFill patternType="solid">
        <fgColor indexed="41"/>
        <bgColor indexed="64"/>
      </patternFill>
    </fill>
    <fill>
      <patternFill patternType="solid">
        <fgColor indexed="41"/>
      </patternFill>
    </fill>
    <fill>
      <patternFill patternType="solid">
        <fgColor indexed="40"/>
      </patternFill>
    </fill>
    <fill>
      <patternFill patternType="solid">
        <fgColor theme="9" tint="0.59999389629810485"/>
        <bgColor indexed="64"/>
      </patternFill>
    </fill>
  </fills>
  <borders count="17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hair">
        <color indexed="64"/>
      </bottom>
      <diagonal/>
    </border>
    <border>
      <left/>
      <right style="thin">
        <color indexed="8"/>
      </right>
      <top/>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thin">
        <color auto="1"/>
      </left>
      <right style="medium">
        <color auto="1"/>
      </right>
      <top style="hair">
        <color auto="1"/>
      </top>
      <bottom style="hair">
        <color auto="1"/>
      </bottom>
      <diagonal/>
    </border>
    <border>
      <left style="thin">
        <color auto="1"/>
      </left>
      <right style="medium">
        <color auto="1"/>
      </right>
      <top style="hair">
        <color auto="1"/>
      </top>
      <bottom style="medium">
        <color auto="1"/>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style="medium">
        <color auto="1"/>
      </right>
      <top/>
      <bottom style="hair">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auto="1"/>
      </right>
      <top/>
      <bottom style="medium">
        <color auto="1"/>
      </bottom>
      <diagonal/>
    </border>
    <border>
      <left style="medium">
        <color indexed="64"/>
      </left>
      <right style="medium">
        <color indexed="64"/>
      </right>
      <top/>
      <bottom style="medium">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style="double">
        <color indexed="64"/>
      </left>
      <right/>
      <top style="double">
        <color indexed="64"/>
      </top>
      <bottom/>
      <diagonal/>
    </border>
    <border>
      <left style="double">
        <color indexed="64"/>
      </left>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style="thin">
        <color indexed="64"/>
      </right>
      <top/>
      <bottom style="medium">
        <color indexed="64"/>
      </bottom>
      <diagonal/>
    </border>
    <border>
      <left style="hair">
        <color indexed="64"/>
      </left>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62"/>
      </top>
      <bottom style="double">
        <color indexed="62"/>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rgb="FF000000"/>
      </bottom>
      <diagonal/>
    </border>
    <border>
      <left/>
      <right style="thin">
        <color auto="1"/>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double">
        <color indexed="64"/>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544">
    <xf numFmtId="0" fontId="0" fillId="0" borderId="0"/>
    <xf numFmtId="170" fontId="3" fillId="0" borderId="0" applyFont="0" applyFill="0" applyBorder="0" applyAlignment="0" applyProtection="0"/>
    <xf numFmtId="170" fontId="2" fillId="0" borderId="0" applyFont="0" applyFill="0" applyBorder="0" applyAlignment="0" applyProtection="0"/>
    <xf numFmtId="174" fontId="6" fillId="0" borderId="0" applyFont="0" applyFill="0" applyBorder="0" applyAlignment="0" applyProtection="0"/>
    <xf numFmtId="173" fontId="3" fillId="0" borderId="0" applyFont="0" applyFill="0" applyBorder="0" applyAlignment="0" applyProtection="0"/>
    <xf numFmtId="0" fontId="5" fillId="0" borderId="0"/>
    <xf numFmtId="37" fontId="12" fillId="0" borderId="0"/>
    <xf numFmtId="0" fontId="6" fillId="0" borderId="0"/>
    <xf numFmtId="0" fontId="2" fillId="0" borderId="0"/>
    <xf numFmtId="0" fontId="2" fillId="0" borderId="0"/>
    <xf numFmtId="0" fontId="1" fillId="0" borderId="0"/>
    <xf numFmtId="184" fontId="12" fillId="0" borderId="0"/>
    <xf numFmtId="0" fontId="5" fillId="0" borderId="0"/>
    <xf numFmtId="9" fontId="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0" fontId="1" fillId="0" borderId="0" applyFont="0" applyFill="0" applyBorder="0" applyAlignment="0" applyProtection="0"/>
    <xf numFmtId="0" fontId="24" fillId="0" borderId="0"/>
    <xf numFmtId="0" fontId="37" fillId="0" borderId="0"/>
    <xf numFmtId="0" fontId="15" fillId="0" borderId="0"/>
    <xf numFmtId="0" fontId="1" fillId="18" borderId="0" applyNumberFormat="0" applyBorder="0" applyAlignment="0" applyProtection="0"/>
    <xf numFmtId="0" fontId="22" fillId="10" borderId="0" applyNumberFormat="0" applyBorder="0" applyAlignment="0" applyProtection="0"/>
    <xf numFmtId="0" fontId="1" fillId="19" borderId="0" applyNumberFormat="0" applyBorder="0" applyAlignment="0" applyProtection="0"/>
    <xf numFmtId="0" fontId="22" fillId="11" borderId="0" applyNumberFormat="0" applyBorder="0" applyAlignment="0" applyProtection="0"/>
    <xf numFmtId="0" fontId="1" fillId="21" borderId="0" applyNumberFormat="0" applyBorder="0" applyAlignment="0" applyProtection="0"/>
    <xf numFmtId="0" fontId="22" fillId="12" borderId="0" applyNumberFormat="0" applyBorder="0" applyAlignment="0" applyProtection="0"/>
    <xf numFmtId="0" fontId="1" fillId="22" borderId="0" applyNumberFormat="0" applyBorder="0" applyAlignment="0" applyProtection="0"/>
    <xf numFmtId="0" fontId="22" fillId="15" borderId="0" applyNumberFormat="0" applyBorder="0" applyAlignment="0" applyProtection="0"/>
    <xf numFmtId="0" fontId="1" fillId="23"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2" fillId="13" borderId="0" applyNumberFormat="0" applyBorder="0" applyAlignment="0" applyProtection="0"/>
    <xf numFmtId="0" fontId="1" fillId="22"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29" fillId="29"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3" fillId="14" borderId="0" applyNumberFormat="0" applyBorder="0" applyAlignment="0" applyProtection="0"/>
    <xf numFmtId="0" fontId="29" fillId="30" borderId="0" applyNumberFormat="0" applyBorder="0" applyAlignment="0" applyProtection="0"/>
    <xf numFmtId="0" fontId="23" fillId="16"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23" fillId="17" borderId="0" applyNumberFormat="0" applyBorder="0" applyAlignment="0" applyProtection="0"/>
    <xf numFmtId="0" fontId="30" fillId="0" borderId="32" applyNumberFormat="0" applyFill="0" applyAlignment="0" applyProtection="0"/>
    <xf numFmtId="192" fontId="6" fillId="0" borderId="0" applyFont="0" applyFill="0" applyBorder="0" applyAlignment="0" applyProtection="0"/>
    <xf numFmtId="175" fontId="6" fillId="0" borderId="0" applyFont="0" applyFill="0" applyBorder="0" applyAlignment="0" applyProtection="0"/>
    <xf numFmtId="3" fontId="25" fillId="0" borderId="0" applyFont="0" applyFill="0" applyBorder="0" applyAlignment="0" applyProtection="0"/>
    <xf numFmtId="172"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73" fontId="6" fillId="0" borderId="0" applyFont="0" applyFill="0" applyBorder="0" applyAlignment="0" applyProtection="0"/>
    <xf numFmtId="190" fontId="25" fillId="0" borderId="0" applyFont="0" applyFill="0" applyBorder="0" applyAlignment="0" applyProtection="0"/>
    <xf numFmtId="0" fontId="25" fillId="0" borderId="0" applyFont="0" applyFill="0" applyBorder="0" applyAlignment="0" applyProtection="0"/>
    <xf numFmtId="0" fontId="31" fillId="0" borderId="0" applyNumberFormat="0" applyFill="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0" borderId="0" applyNumberFormat="0" applyBorder="0" applyAlignment="0" applyProtection="0"/>
    <xf numFmtId="0" fontId="29" fillId="32" borderId="0" applyNumberFormat="0" applyBorder="0" applyAlignment="0" applyProtection="0"/>
    <xf numFmtId="0" fontId="29" fillId="37" borderId="0" applyNumberFormat="0" applyBorder="0" applyAlignment="0" applyProtection="0"/>
    <xf numFmtId="0" fontId="32" fillId="20" borderId="31" applyNumberFormat="0" applyAlignment="0" applyProtection="0"/>
    <xf numFmtId="0" fontId="38" fillId="0" borderId="0" applyNumberFormat="0" applyFill="0" applyBorder="0" applyAlignment="0" applyProtection="0"/>
    <xf numFmtId="189" fontId="24"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65" fontId="39" fillId="0" borderId="0" applyFont="0" applyFill="0" applyBorder="0" applyAlignment="0" applyProtection="0"/>
    <xf numFmtId="194" fontId="17" fillId="0" borderId="0" applyFont="0" applyFill="0" applyBorder="0" applyAlignment="0" applyProtection="0"/>
    <xf numFmtId="2" fontId="25" fillId="0" borderId="0" applyFont="0" applyFill="0" applyBorder="0" applyAlignment="0" applyProtection="0"/>
    <xf numFmtId="195" fontId="40" fillId="0" borderId="33"/>
    <xf numFmtId="0" fontId="26" fillId="0" borderId="0" applyNumberFormat="0" applyFill="0" applyBorder="0" applyAlignment="0" applyProtection="0"/>
    <xf numFmtId="0" fontId="27"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alignment vertical="top"/>
      <protection locked="0"/>
    </xf>
    <xf numFmtId="0" fontId="43" fillId="0" borderId="0" applyNumberFormat="0" applyFill="0" applyBorder="0" applyAlignment="0" applyProtection="0"/>
    <xf numFmtId="0" fontId="33" fillId="19" borderId="0" applyNumberFormat="0" applyBorder="0" applyAlignment="0" applyProtection="0"/>
    <xf numFmtId="170" fontId="24" fillId="0" borderId="0" applyFont="0" applyFill="0" applyBorder="0" applyAlignment="0" applyProtection="0"/>
    <xf numFmtId="196" fontId="6" fillId="0" borderId="0" applyFont="0" applyFill="0" applyBorder="0" applyAlignment="0" applyProtection="0"/>
    <xf numFmtId="168" fontId="6" fillId="0" borderId="0" applyFont="0" applyFill="0" applyBorder="0" applyAlignment="0" applyProtection="0"/>
    <xf numFmtId="168" fontId="15" fillId="0" borderId="0" applyFont="0" applyFill="0" applyBorder="0" applyAlignment="0" applyProtection="0"/>
    <xf numFmtId="170" fontId="6"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4" fontId="6" fillId="0" borderId="0" applyFont="0" applyFill="0" applyBorder="0" applyAlignment="0" applyProtection="0"/>
    <xf numFmtId="169" fontId="24"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0" fontId="6" fillId="0" borderId="26" applyFont="0" applyFill="0" applyBorder="0" applyAlignment="0" applyProtection="0">
      <alignment horizontal="center" vertical="center"/>
    </xf>
    <xf numFmtId="174" fontId="6" fillId="0" borderId="26" applyFont="0" applyFill="0" applyBorder="0" applyAlignment="0" applyProtection="0">
      <alignment horizontal="center" vertical="center"/>
    </xf>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88" fontId="6" fillId="0" borderId="0" applyFont="0" applyFill="0" applyBorder="0" applyAlignment="0" applyProtection="0"/>
    <xf numFmtId="197" fontId="6" fillId="0" borderId="0" applyFont="0" applyFill="0" applyBorder="0" applyAlignment="0" applyProtection="0"/>
    <xf numFmtId="0" fontId="6" fillId="0" borderId="26" applyFont="0" applyFill="0" applyBorder="0" applyAlignment="0" applyProtection="0">
      <alignment horizontal="center" vertical="center"/>
    </xf>
    <xf numFmtId="165"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164" fontId="6" fillId="0" borderId="26" applyFont="0" applyFill="0" applyBorder="0" applyAlignment="0" applyProtection="0">
      <alignment horizontal="center" vertical="center"/>
    </xf>
    <xf numFmtId="0" fontId="6" fillId="0" borderId="26" applyFont="0" applyFill="0" applyBorder="0" applyAlignment="0" applyProtection="0">
      <alignment horizontal="center" vertical="center"/>
    </xf>
    <xf numFmtId="179" fontId="6" fillId="0" borderId="26" applyFont="0" applyFill="0" applyBorder="0" applyAlignment="0" applyProtection="0">
      <alignment horizontal="center" vertical="center"/>
    </xf>
    <xf numFmtId="0" fontId="6" fillId="0" borderId="26" applyFont="0" applyFill="0" applyBorder="0" applyAlignment="0" applyProtection="0">
      <alignment horizontal="center" vertical="center"/>
    </xf>
    <xf numFmtId="188" fontId="6" fillId="0" borderId="0" applyFont="0" applyFill="0" applyBorder="0" applyAlignment="0" applyProtection="0"/>
    <xf numFmtId="179" fontId="6" fillId="0" borderId="0" applyFont="0" applyFill="0" applyBorder="0" applyAlignment="0" applyProtection="0"/>
    <xf numFmtId="0" fontId="6" fillId="0" borderId="26" applyFont="0" applyFill="0" applyBorder="0" applyAlignment="0" applyProtection="0">
      <alignment horizontal="center" vertical="center"/>
    </xf>
    <xf numFmtId="0" fontId="6" fillId="0" borderId="26" applyFont="0" applyFill="0" applyBorder="0" applyAlignment="0" applyProtection="0">
      <alignment horizontal="center" vertical="center"/>
    </xf>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91" fontId="28" fillId="0" borderId="34" applyFont="0" applyBorder="0" applyAlignment="0"/>
    <xf numFmtId="0" fontId="34" fillId="27" borderId="0" applyNumberFormat="0" applyBorder="0" applyAlignment="0" applyProtection="0"/>
    <xf numFmtId="0" fontId="22" fillId="0" borderId="0"/>
    <xf numFmtId="0" fontId="14" fillId="0" borderId="0">
      <alignment vertical="top"/>
    </xf>
    <xf numFmtId="0" fontId="14" fillId="0" borderId="0">
      <alignment vertical="top"/>
    </xf>
    <xf numFmtId="0" fontId="6" fillId="0" borderId="0"/>
    <xf numFmtId="0" fontId="6" fillId="0" borderId="0"/>
    <xf numFmtId="0" fontId="6" fillId="0" borderId="0"/>
    <xf numFmtId="0" fontId="6" fillId="0" borderId="0" applyNumberFormat="0" applyFill="0" applyBorder="0" applyAlignment="0" applyProtection="0"/>
    <xf numFmtId="0" fontId="1" fillId="0" borderId="0"/>
    <xf numFmtId="0" fontId="17" fillId="0" borderId="0"/>
    <xf numFmtId="0" fontId="17" fillId="0" borderId="0"/>
    <xf numFmtId="0" fontId="40" fillId="0" borderId="0"/>
    <xf numFmtId="0" fontId="14" fillId="0" borderId="0">
      <alignment vertical="top"/>
    </xf>
    <xf numFmtId="0" fontId="14" fillId="0" borderId="0">
      <alignment vertical="top"/>
    </xf>
    <xf numFmtId="0" fontId="14" fillId="0" borderId="0">
      <alignment vertical="top"/>
    </xf>
    <xf numFmtId="0" fontId="14" fillId="0" borderId="0">
      <alignment vertical="top"/>
    </xf>
    <xf numFmtId="0" fontId="14" fillId="0" borderId="0">
      <alignment vertical="top"/>
    </xf>
    <xf numFmtId="0" fontId="6" fillId="0" borderId="0"/>
    <xf numFmtId="0" fontId="37" fillId="0" borderId="0"/>
    <xf numFmtId="0" fontId="15" fillId="0" borderId="0"/>
    <xf numFmtId="0" fontId="6" fillId="0" borderId="0"/>
    <xf numFmtId="0" fontId="6" fillId="0" borderId="0"/>
    <xf numFmtId="0" fontId="6" fillId="0" borderId="0"/>
    <xf numFmtId="0" fontId="1" fillId="0" borderId="0"/>
    <xf numFmtId="0" fontId="15" fillId="0" borderId="0"/>
    <xf numFmtId="0" fontId="6" fillId="0" borderId="0"/>
    <xf numFmtId="0" fontId="22" fillId="9" borderId="30"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35" fillId="31" borderId="35" applyNumberFormat="0" applyAlignment="0" applyProtection="0"/>
    <xf numFmtId="0" fontId="36" fillId="0" borderId="0" applyNumberFormat="0" applyFill="0" applyBorder="0" applyAlignment="0" applyProtection="0"/>
    <xf numFmtId="0" fontId="25" fillId="0" borderId="36" applyNumberFormat="0" applyFont="0" applyFill="0" applyAlignment="0" applyProtection="0"/>
    <xf numFmtId="170" fontId="24" fillId="0" borderId="0" applyFont="0" applyFill="0" applyBorder="0" applyAlignment="0" applyProtection="0"/>
    <xf numFmtId="198" fontId="6" fillId="0" borderId="0">
      <protection locked="0"/>
    </xf>
    <xf numFmtId="9" fontId="22" fillId="0" borderId="0" applyFont="0" applyFill="0" applyBorder="0" applyAlignment="0" applyProtection="0"/>
    <xf numFmtId="170" fontId="22" fillId="0" borderId="0" applyFont="0" applyFill="0" applyBorder="0" applyAlignment="0" applyProtection="0"/>
    <xf numFmtId="170" fontId="1" fillId="0" borderId="0" applyFont="0" applyFill="0" applyBorder="0" applyAlignment="0" applyProtection="0"/>
    <xf numFmtId="166" fontId="22" fillId="0" borderId="0" applyFont="0" applyFill="0" applyBorder="0" applyAlignment="0" applyProtection="0"/>
    <xf numFmtId="0" fontId="22" fillId="0" borderId="0"/>
    <xf numFmtId="0" fontId="6" fillId="0" borderId="0"/>
    <xf numFmtId="0" fontId="6" fillId="0" borderId="0"/>
    <xf numFmtId="0" fontId="6" fillId="0" borderId="0"/>
    <xf numFmtId="199" fontId="6" fillId="0" borderId="0" applyFont="0" applyFill="0" applyBorder="0" applyAlignment="0" applyProtection="0"/>
    <xf numFmtId="0" fontId="55" fillId="0" borderId="0"/>
    <xf numFmtId="0" fontId="1" fillId="18" borderId="0" applyNumberFormat="0" applyBorder="0" applyAlignment="0" applyProtection="0"/>
    <xf numFmtId="0" fontId="1" fillId="19"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2"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29" fillId="29"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56" fillId="21" borderId="0" applyNumberFormat="0" applyBorder="0" applyAlignment="0" applyProtection="0"/>
    <xf numFmtId="0" fontId="57" fillId="31" borderId="78" applyNumberFormat="0" applyAlignment="0" applyProtection="0"/>
    <xf numFmtId="0" fontId="57" fillId="31" borderId="78" applyNumberFormat="0" applyAlignment="0" applyProtection="0"/>
    <xf numFmtId="0" fontId="58" fillId="53" borderId="79" applyNumberFormat="0" applyAlignment="0" applyProtection="0"/>
    <xf numFmtId="0" fontId="58" fillId="53" borderId="79" applyNumberFormat="0" applyAlignment="0" applyProtection="0"/>
    <xf numFmtId="0" fontId="30" fillId="0" borderId="32" applyNumberFormat="0" applyFill="0" applyAlignment="0" applyProtection="0"/>
    <xf numFmtId="0" fontId="61" fillId="0" borderId="80" applyNumberFormat="0" applyFill="0" applyAlignment="0" applyProtection="0"/>
    <xf numFmtId="0" fontId="31" fillId="0" borderId="0" applyNumberFormat="0" applyFill="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0" borderId="0" applyNumberFormat="0" applyBorder="0" applyAlignment="0" applyProtection="0"/>
    <xf numFmtId="0" fontId="29" fillId="32" borderId="0" applyNumberFormat="0" applyBorder="0" applyAlignment="0" applyProtection="0"/>
    <xf numFmtId="0" fontId="29" fillId="37" borderId="0" applyNumberFormat="0" applyBorder="0" applyAlignment="0" applyProtection="0"/>
    <xf numFmtId="0" fontId="32" fillId="20" borderId="78" applyNumberFormat="0" applyAlignment="0" applyProtection="0"/>
    <xf numFmtId="0" fontId="32" fillId="20" borderId="78" applyNumberFormat="0" applyAlignment="0" applyProtection="0"/>
    <xf numFmtId="194" fontId="11" fillId="0" borderId="0" applyFont="0" applyFill="0" applyBorder="0" applyAlignment="0" applyProtection="0"/>
    <xf numFmtId="0" fontId="33" fillId="19" borderId="0" applyNumberFormat="0" applyBorder="0" applyAlignment="0" applyProtection="0"/>
    <xf numFmtId="202" fontId="6" fillId="0" borderId="0" applyFont="0" applyFill="0" applyBorder="0" applyAlignment="0" applyProtection="0"/>
    <xf numFmtId="200" fontId="6" fillId="0" borderId="0" applyFont="0" applyFill="0" applyBorder="0" applyAlignment="0" applyProtection="0"/>
    <xf numFmtId="168" fontId="6" fillId="0" borderId="0" applyFont="0" applyFill="0" applyBorder="0" applyAlignment="0" applyProtection="0"/>
    <xf numFmtId="203" fontId="6" fillId="0" borderId="0" applyFont="0" applyFill="0" applyBorder="0" applyAlignment="0" applyProtection="0"/>
    <xf numFmtId="170" fontId="6" fillId="0" borderId="0" applyFont="0" applyFill="0" applyBorder="0" applyAlignment="0" applyProtection="0"/>
    <xf numFmtId="202" fontId="6" fillId="0" borderId="0" applyFont="0" applyFill="0" applyBorder="0" applyAlignment="0" applyProtection="0"/>
    <xf numFmtId="203" fontId="6" fillId="0" borderId="0" applyFont="0" applyFill="0" applyBorder="0" applyAlignment="0" applyProtection="0"/>
    <xf numFmtId="204" fontId="6" fillId="0" borderId="0" applyFont="0" applyFill="0" applyBorder="0" applyAlignment="0" applyProtection="0"/>
    <xf numFmtId="204" fontId="6" fillId="0" borderId="0" applyFont="0" applyFill="0" applyBorder="0" applyAlignment="0" applyProtection="0"/>
    <xf numFmtId="170" fontId="6" fillId="0" borderId="0" applyFont="0" applyFill="0" applyBorder="0" applyAlignment="0" applyProtection="0"/>
    <xf numFmtId="204" fontId="6" fillId="0" borderId="0" applyFont="0" applyFill="0" applyBorder="0" applyAlignment="0" applyProtection="0"/>
    <xf numFmtId="204" fontId="6" fillId="0" borderId="0" applyFont="0" applyFill="0" applyBorder="0" applyAlignment="0" applyProtection="0"/>
    <xf numFmtId="204" fontId="6" fillId="0" borderId="0" applyFont="0" applyFill="0" applyBorder="0" applyAlignment="0" applyProtection="0"/>
    <xf numFmtId="204" fontId="6" fillId="0" borderId="0" applyFont="0" applyFill="0" applyBorder="0" applyAlignment="0" applyProtection="0"/>
    <xf numFmtId="194" fontId="6" fillId="0" borderId="0" applyFont="0" applyFill="0" applyBorder="0" applyAlignment="0" applyProtection="0"/>
    <xf numFmtId="172" fontId="6" fillId="0" borderId="0" applyFont="0" applyFill="0" applyBorder="0" applyAlignment="0" applyProtection="0"/>
    <xf numFmtId="200" fontId="6" fillId="0" borderId="0" applyFont="0" applyFill="0" applyBorder="0" applyAlignment="0" applyProtection="0"/>
    <xf numFmtId="0" fontId="6" fillId="0" borderId="0" applyFont="0" applyFill="0" applyBorder="0" applyAlignment="0" applyProtection="0"/>
    <xf numFmtId="197" fontId="6" fillId="0" borderId="0" applyFont="0" applyFill="0" applyBorder="0" applyAlignment="0" applyProtection="0"/>
    <xf numFmtId="169" fontId="6" fillId="0" borderId="0" applyFont="0" applyFill="0" applyBorder="0" applyAlignment="0" applyProtection="0"/>
    <xf numFmtId="201" fontId="6" fillId="0" borderId="0" applyFont="0" applyFill="0" applyBorder="0" applyAlignment="0" applyProtection="0"/>
    <xf numFmtId="0" fontId="34" fillId="27" borderId="0" applyNumberFormat="0" applyBorder="0" applyAlignment="0" applyProtection="0"/>
    <xf numFmtId="0" fontId="1"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1" fillId="0" borderId="0"/>
    <xf numFmtId="0" fontId="6" fillId="0" borderId="0"/>
    <xf numFmtId="0" fontId="1" fillId="0" borderId="0"/>
    <xf numFmtId="0" fontId="1" fillId="0" borderId="0"/>
    <xf numFmtId="0" fontId="6" fillId="0" borderId="0">
      <alignment vertical="top"/>
    </xf>
    <xf numFmtId="0" fontId="6" fillId="54" borderId="81" applyNumberFormat="0" applyFont="0" applyAlignment="0" applyProtection="0"/>
    <xf numFmtId="0" fontId="6" fillId="54" borderId="81"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35" fillId="31" borderId="82" applyNumberFormat="0" applyAlignment="0" applyProtection="0"/>
    <xf numFmtId="0" fontId="35" fillId="31" borderId="82" applyNumberFormat="0" applyAlignment="0" applyProtection="0"/>
    <xf numFmtId="4" fontId="48" fillId="27" borderId="83" applyNumberFormat="0" applyProtection="0">
      <alignment vertical="center"/>
    </xf>
    <xf numFmtId="4" fontId="48" fillId="55" borderId="83" applyNumberFormat="0" applyProtection="0">
      <alignment horizontal="left" vertical="center" indent="1"/>
    </xf>
    <xf numFmtId="4" fontId="48" fillId="56" borderId="0" applyNumberFormat="0" applyProtection="0">
      <alignment horizontal="left" vertical="center" indent="1"/>
    </xf>
    <xf numFmtId="0" fontId="6" fillId="57" borderId="83" applyNumberFormat="0" applyProtection="0">
      <alignment horizontal="left" vertical="center" indent="1"/>
    </xf>
    <xf numFmtId="0" fontId="6" fillId="56" borderId="83" applyNumberFormat="0" applyProtection="0">
      <alignment horizontal="left" vertical="center" indent="1"/>
    </xf>
    <xf numFmtId="0" fontId="6" fillId="58" borderId="83" applyNumberFormat="0" applyProtection="0">
      <alignment horizontal="left" vertical="center" indent="1"/>
    </xf>
    <xf numFmtId="0" fontId="6" fillId="59" borderId="83" applyNumberFormat="0" applyProtection="0">
      <alignment horizontal="left" vertical="center" indent="1"/>
    </xf>
    <xf numFmtId="4" fontId="14" fillId="60" borderId="83" applyNumberFormat="0" applyProtection="0">
      <alignment horizontal="right" vertical="center"/>
    </xf>
    <xf numFmtId="4" fontId="14" fillId="61" borderId="83" applyNumberFormat="0" applyProtection="0">
      <alignment horizontal="left" vertical="center" indent="1"/>
    </xf>
    <xf numFmtId="0" fontId="14" fillId="56" borderId="83" applyNumberFormat="0" applyProtection="0">
      <alignment horizontal="left" vertical="top" indent="1"/>
    </xf>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36" fillId="0" borderId="0" applyNumberFormat="0" applyFill="0" applyBorder="0" applyAlignment="0" applyProtection="0"/>
    <xf numFmtId="0" fontId="61" fillId="0" borderId="80" applyNumberFormat="0" applyFill="0" applyAlignment="0" applyProtection="0"/>
    <xf numFmtId="0" fontId="61" fillId="0" borderId="80" applyNumberFormat="0" applyFill="0" applyAlignment="0" applyProtection="0"/>
    <xf numFmtId="0" fontId="62" fillId="0" borderId="84" applyNumberFormat="0" applyFill="0" applyAlignment="0" applyProtection="0"/>
    <xf numFmtId="0" fontId="62" fillId="0" borderId="84" applyNumberFormat="0" applyFill="0" applyAlignment="0" applyProtection="0"/>
    <xf numFmtId="0" fontId="31" fillId="0" borderId="85" applyNumberFormat="0" applyFill="0" applyAlignment="0" applyProtection="0"/>
    <xf numFmtId="0" fontId="31" fillId="0" borderId="85" applyNumberFormat="0" applyFill="0" applyAlignment="0" applyProtection="0"/>
    <xf numFmtId="0" fontId="4" fillId="0" borderId="86" applyNumberFormat="0" applyFill="0" applyAlignment="0" applyProtection="0"/>
    <xf numFmtId="0" fontId="4" fillId="0" borderId="86" applyNumberFormat="0" applyFill="0" applyAlignment="0" applyProtection="0"/>
    <xf numFmtId="202" fontId="6" fillId="0" borderId="0" applyFont="0" applyFill="0" applyBorder="0" applyAlignment="0" applyProtection="0"/>
    <xf numFmtId="170" fontId="6" fillId="0" borderId="0" applyFont="0" applyFill="0" applyBorder="0" applyAlignment="0" applyProtection="0"/>
    <xf numFmtId="168" fontId="6" fillId="0" borderId="0" applyFont="0" applyFill="0" applyBorder="0" applyAlignment="0" applyProtection="0"/>
    <xf numFmtId="0" fontId="6" fillId="0" borderId="0"/>
    <xf numFmtId="0" fontId="57" fillId="31" borderId="87" applyNumberFormat="0" applyAlignment="0" applyProtection="0"/>
    <xf numFmtId="0" fontId="57" fillId="31" borderId="87" applyNumberFormat="0" applyAlignment="0" applyProtection="0"/>
    <xf numFmtId="0" fontId="32" fillId="20" borderId="87" applyNumberFormat="0" applyAlignment="0" applyProtection="0"/>
    <xf numFmtId="0" fontId="32" fillId="20" borderId="87" applyNumberFormat="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9" fontId="6" fillId="0" borderId="0" applyFont="0" applyFill="0" applyBorder="0" applyAlignment="0" applyProtection="0"/>
    <xf numFmtId="0" fontId="6" fillId="54" borderId="88" applyNumberFormat="0" applyFont="0" applyAlignment="0" applyProtection="0"/>
    <xf numFmtId="0" fontId="6" fillId="54" borderId="88" applyNumberFormat="0" applyFont="0" applyAlignment="0" applyProtection="0"/>
    <xf numFmtId="0" fontId="35" fillId="31" borderId="89" applyNumberFormat="0" applyAlignment="0" applyProtection="0"/>
    <xf numFmtId="0" fontId="35" fillId="31" borderId="89" applyNumberFormat="0" applyAlignment="0" applyProtection="0"/>
    <xf numFmtId="4" fontId="48" fillId="27" borderId="90" applyNumberFormat="0" applyProtection="0">
      <alignment vertical="center"/>
    </xf>
    <xf numFmtId="4" fontId="48" fillId="55" borderId="90" applyNumberFormat="0" applyProtection="0">
      <alignment horizontal="left" vertical="center" indent="1"/>
    </xf>
    <xf numFmtId="0" fontId="6" fillId="57" borderId="90" applyNumberFormat="0" applyProtection="0">
      <alignment horizontal="left" vertical="center" indent="1"/>
    </xf>
    <xf numFmtId="0" fontId="6" fillId="56" borderId="90" applyNumberFormat="0" applyProtection="0">
      <alignment horizontal="left" vertical="center" indent="1"/>
    </xf>
    <xf numFmtId="0" fontId="6" fillId="58" borderId="90" applyNumberFormat="0" applyProtection="0">
      <alignment horizontal="left" vertical="center" indent="1"/>
    </xf>
    <xf numFmtId="0" fontId="6" fillId="59" borderId="90" applyNumberFormat="0" applyProtection="0">
      <alignment horizontal="left" vertical="center" indent="1"/>
    </xf>
    <xf numFmtId="4" fontId="14" fillId="60" borderId="90" applyNumberFormat="0" applyProtection="0">
      <alignment horizontal="right" vertical="center"/>
    </xf>
    <xf numFmtId="4" fontId="14" fillId="61" borderId="90" applyNumberFormat="0" applyProtection="0">
      <alignment horizontal="left" vertical="center" indent="1"/>
    </xf>
    <xf numFmtId="0" fontId="14" fillId="56" borderId="90" applyNumberFormat="0" applyProtection="0">
      <alignment horizontal="left" vertical="top" indent="1"/>
    </xf>
    <xf numFmtId="0" fontId="4" fillId="0" borderId="91" applyNumberFormat="0" applyFill="0" applyAlignment="0" applyProtection="0"/>
    <xf numFmtId="0" fontId="4" fillId="0" borderId="91" applyNumberFormat="0" applyFill="0" applyAlignment="0" applyProtection="0"/>
    <xf numFmtId="0" fontId="69" fillId="0" borderId="0" applyNumberFormat="0" applyFill="0" applyBorder="0" applyAlignment="0" applyProtection="0"/>
    <xf numFmtId="169" fontId="6" fillId="0" borderId="0" applyFont="0" applyFill="0" applyBorder="0" applyAlignment="0" applyProtection="0"/>
    <xf numFmtId="167" fontId="6" fillId="0" borderId="0" applyFont="0" applyFill="0" applyBorder="0" applyAlignment="0" applyProtection="0"/>
    <xf numFmtId="0" fontId="88" fillId="0" borderId="0"/>
    <xf numFmtId="170" fontId="1" fillId="0" borderId="0" applyFont="0" applyFill="0" applyBorder="0" applyAlignment="0" applyProtection="0"/>
    <xf numFmtId="170" fontId="1" fillId="0" borderId="0" applyFont="0" applyFill="0" applyBorder="0" applyAlignment="0" applyProtection="0"/>
    <xf numFmtId="173" fontId="1" fillId="0" borderId="0" applyFont="0" applyFill="0" applyBorder="0" applyAlignment="0" applyProtection="0"/>
    <xf numFmtId="0" fontId="6" fillId="58" borderId="164" applyNumberFormat="0" applyProtection="0">
      <alignment horizontal="left" vertical="center" indent="1"/>
    </xf>
    <xf numFmtId="0" fontId="4" fillId="0" borderId="165" applyNumberFormat="0" applyFill="0" applyAlignment="0" applyProtection="0"/>
    <xf numFmtId="0" fontId="1" fillId="0" borderId="0"/>
    <xf numFmtId="0" fontId="1" fillId="0" borderId="0"/>
    <xf numFmtId="0" fontId="57" fillId="31" borderId="166" applyNumberFormat="0" applyAlignment="0" applyProtection="0"/>
    <xf numFmtId="9" fontId="1" fillId="0" borderId="0" applyFont="0" applyFill="0" applyBorder="0" applyAlignment="0" applyProtection="0"/>
    <xf numFmtId="173" fontId="1" fillId="0" borderId="0" applyFont="0" applyFill="0" applyBorder="0" applyAlignment="0" applyProtection="0"/>
    <xf numFmtId="170" fontId="1" fillId="0" borderId="0" applyFont="0" applyFill="0" applyBorder="0" applyAlignment="0" applyProtection="0"/>
    <xf numFmtId="0" fontId="6" fillId="0" borderId="0"/>
    <xf numFmtId="4" fontId="48" fillId="27" borderId="164" applyNumberFormat="0" applyProtection="0">
      <alignment vertical="center"/>
    </xf>
    <xf numFmtId="0" fontId="6" fillId="54" borderId="163" applyNumberFormat="0" applyFont="0" applyAlignment="0" applyProtection="0"/>
    <xf numFmtId="170" fontId="22" fillId="0" borderId="0" applyFont="0" applyFill="0" applyBorder="0" applyAlignment="0" applyProtection="0"/>
    <xf numFmtId="0" fontId="32" fillId="20" borderId="156" applyNumberFormat="0" applyAlignment="0" applyProtection="0"/>
    <xf numFmtId="0" fontId="32" fillId="20" borderId="166" applyNumberFormat="0" applyAlignment="0" applyProtection="0"/>
    <xf numFmtId="0" fontId="57" fillId="31" borderId="156" applyNumberFormat="0" applyAlignment="0" applyProtection="0"/>
    <xf numFmtId="0" fontId="35" fillId="31" borderId="162" applyNumberFormat="0" applyAlignment="0" applyProtection="0"/>
    <xf numFmtId="170" fontId="1" fillId="0" borderId="0" applyFont="0" applyFill="0" applyBorder="0" applyAlignment="0" applyProtection="0"/>
    <xf numFmtId="0" fontId="6" fillId="56" borderId="164" applyNumberFormat="0" applyProtection="0">
      <alignment horizontal="left" vertical="center" indent="1"/>
    </xf>
    <xf numFmtId="170" fontId="22" fillId="0" borderId="0" applyFont="0" applyFill="0" applyBorder="0" applyAlignment="0" applyProtection="0"/>
    <xf numFmtId="0" fontId="32" fillId="20" borderId="151" applyNumberFormat="0" applyAlignment="0" applyProtection="0"/>
    <xf numFmtId="189" fontId="6" fillId="0" borderId="0" applyFont="0" applyFill="0" applyBorder="0" applyAlignment="0" applyProtection="0"/>
    <xf numFmtId="0" fontId="35" fillId="31" borderId="157" applyNumberFormat="0" applyAlignment="0" applyProtection="0"/>
    <xf numFmtId="0" fontId="4" fillId="0" borderId="165" applyNumberFormat="0" applyFill="0" applyAlignment="0" applyProtection="0"/>
    <xf numFmtId="170" fontId="1" fillId="0" borderId="0" applyFont="0" applyFill="0" applyBorder="0" applyAlignment="0" applyProtection="0"/>
    <xf numFmtId="170" fontId="6" fillId="0" borderId="0" applyFont="0" applyFill="0" applyBorder="0" applyAlignment="0" applyProtection="0"/>
    <xf numFmtId="168" fontId="15"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9" fontId="6" fillId="0" borderId="0" applyFont="0" applyFill="0" applyBorder="0" applyAlignment="0" applyProtection="0"/>
    <xf numFmtId="0" fontId="57" fillId="31" borderId="161" applyNumberFormat="0" applyAlignment="0" applyProtection="0"/>
    <xf numFmtId="0" fontId="32" fillId="20" borderId="161" applyNumberFormat="0" applyAlignment="0" applyProtection="0"/>
    <xf numFmtId="0" fontId="32" fillId="20" borderId="166" applyNumberFormat="0" applyAlignment="0" applyProtection="0"/>
    <xf numFmtId="0" fontId="6" fillId="54" borderId="168" applyNumberFormat="0" applyFont="0" applyAlignment="0" applyProtection="0"/>
    <xf numFmtId="0" fontId="35" fillId="31" borderId="167" applyNumberFormat="0" applyAlignment="0" applyProtection="0"/>
    <xf numFmtId="0" fontId="57" fillId="31" borderId="161" applyNumberFormat="0" applyAlignment="0" applyProtection="0"/>
    <xf numFmtId="0" fontId="35" fillId="31" borderId="162" applyNumberFormat="0" applyAlignment="0" applyProtection="0"/>
    <xf numFmtId="0" fontId="6" fillId="57" borderId="164" applyNumberFormat="0" applyProtection="0">
      <alignment horizontal="left" vertical="center" indent="1"/>
    </xf>
    <xf numFmtId="0" fontId="6" fillId="56" borderId="164" applyNumberFormat="0" applyProtection="0">
      <alignment horizontal="left" vertical="center" indent="1"/>
    </xf>
    <xf numFmtId="0" fontId="6" fillId="57" borderId="164" applyNumberFormat="0" applyProtection="0">
      <alignment horizontal="left" vertical="center" indent="1"/>
    </xf>
    <xf numFmtId="0" fontId="32" fillId="20" borderId="156" applyNumberFormat="0" applyAlignment="0" applyProtection="0"/>
    <xf numFmtId="4" fontId="14" fillId="60" borderId="164" applyNumberFormat="0" applyProtection="0">
      <alignment horizontal="right" vertical="center"/>
    </xf>
    <xf numFmtId="0" fontId="4" fillId="0" borderId="165" applyNumberFormat="0" applyFill="0" applyAlignment="0" applyProtection="0"/>
    <xf numFmtId="173" fontId="1" fillId="0" borderId="0" applyFont="0" applyFill="0" applyBorder="0" applyAlignment="0" applyProtection="0"/>
    <xf numFmtId="4" fontId="14" fillId="61" borderId="164" applyNumberFormat="0" applyProtection="0">
      <alignment horizontal="left" vertical="center" indent="1"/>
    </xf>
    <xf numFmtId="4" fontId="48" fillId="55" borderId="164" applyNumberFormat="0" applyProtection="0">
      <alignment horizontal="left" vertical="center" indent="1"/>
    </xf>
    <xf numFmtId="0" fontId="6" fillId="59" borderId="164" applyNumberFormat="0" applyProtection="0">
      <alignment horizontal="left" vertical="center" indent="1"/>
    </xf>
    <xf numFmtId="0" fontId="35" fillId="31" borderId="152" applyNumberFormat="0" applyAlignment="0" applyProtection="0"/>
    <xf numFmtId="170" fontId="6" fillId="0" borderId="0" applyFont="0" applyFill="0" applyBorder="0" applyAlignment="0" applyProtection="0"/>
    <xf numFmtId="170" fontId="22" fillId="0" borderId="0" applyFont="0" applyFill="0" applyBorder="0" applyAlignment="0" applyProtection="0"/>
    <xf numFmtId="170" fontId="1" fillId="0" borderId="0" applyFont="0" applyFill="0" applyBorder="0" applyAlignment="0" applyProtection="0"/>
    <xf numFmtId="0" fontId="35" fillId="31" borderId="162" applyNumberFormat="0" applyAlignment="0" applyProtection="0"/>
    <xf numFmtId="0" fontId="14" fillId="56" borderId="164" applyNumberFormat="0" applyProtection="0">
      <alignment horizontal="left" vertical="top" indent="1"/>
    </xf>
    <xf numFmtId="4" fontId="14" fillId="61" borderId="164" applyNumberFormat="0" applyProtection="0">
      <alignment horizontal="left" vertical="center" indent="1"/>
    </xf>
    <xf numFmtId="0" fontId="6" fillId="0" borderId="0"/>
    <xf numFmtId="0" fontId="6" fillId="59" borderId="164" applyNumberFormat="0" applyProtection="0">
      <alignment horizontal="left" vertical="center" indent="1"/>
    </xf>
    <xf numFmtId="0" fontId="32" fillId="20" borderId="156" applyNumberFormat="0" applyAlignment="0" applyProtection="0"/>
    <xf numFmtId="0" fontId="57" fillId="31" borderId="156" applyNumberFormat="0" applyAlignment="0" applyProtection="0"/>
    <xf numFmtId="0" fontId="57" fillId="31" borderId="151" applyNumberFormat="0" applyAlignment="0" applyProtection="0"/>
    <xf numFmtId="0" fontId="57" fillId="31" borderId="151" applyNumberFormat="0" applyAlignment="0" applyProtection="0"/>
    <xf numFmtId="0" fontId="35" fillId="31" borderId="162" applyNumberFormat="0" applyAlignment="0" applyProtection="0"/>
    <xf numFmtId="4" fontId="48" fillId="27" borderId="164" applyNumberFormat="0" applyProtection="0">
      <alignment vertical="center"/>
    </xf>
    <xf numFmtId="0" fontId="32" fillId="20" borderId="151" applyNumberFormat="0" applyAlignment="0" applyProtection="0"/>
    <xf numFmtId="0" fontId="32" fillId="20" borderId="151" applyNumberFormat="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57" fillId="31" borderId="161" applyNumberFormat="0" applyAlignment="0" applyProtection="0"/>
    <xf numFmtId="0" fontId="6" fillId="57" borderId="169" applyNumberFormat="0" applyProtection="0">
      <alignment horizontal="left" vertical="center" indent="1"/>
    </xf>
    <xf numFmtId="169" fontId="6" fillId="0" borderId="0" applyFont="0" applyFill="0" applyBorder="0" applyAlignment="0" applyProtection="0"/>
    <xf numFmtId="0" fontId="35" fillId="31" borderId="162" applyNumberFormat="0" applyAlignment="0" applyProtection="0"/>
    <xf numFmtId="0" fontId="57" fillId="31" borderId="166" applyNumberFormat="0" applyAlignment="0" applyProtection="0"/>
    <xf numFmtId="0" fontId="6" fillId="59" borderId="169" applyNumberFormat="0" applyProtection="0">
      <alignment horizontal="left" vertical="center" indent="1"/>
    </xf>
    <xf numFmtId="0" fontId="6" fillId="54" borderId="168" applyNumberFormat="0" applyFont="0" applyAlignment="0" applyProtection="0"/>
    <xf numFmtId="0" fontId="6" fillId="54" borderId="163" applyNumberFormat="0" applyFont="0" applyAlignment="0" applyProtection="0"/>
    <xf numFmtId="0" fontId="6" fillId="54" borderId="153" applyNumberFormat="0" applyFont="0" applyAlignment="0" applyProtection="0"/>
    <xf numFmtId="0" fontId="6" fillId="54" borderId="153" applyNumberFormat="0" applyFont="0" applyAlignment="0" applyProtection="0"/>
    <xf numFmtId="0" fontId="6" fillId="54" borderId="163" applyNumberFormat="0" applyFont="0" applyAlignment="0" applyProtection="0"/>
    <xf numFmtId="0" fontId="35" fillId="31" borderId="152" applyNumberFormat="0" applyAlignment="0" applyProtection="0"/>
    <xf numFmtId="0" fontId="35" fillId="31" borderId="152" applyNumberFormat="0" applyAlignment="0" applyProtection="0"/>
    <xf numFmtId="4" fontId="48" fillId="27" borderId="154" applyNumberFormat="0" applyProtection="0">
      <alignment vertical="center"/>
    </xf>
    <xf numFmtId="4" fontId="48" fillId="55" borderId="154" applyNumberFormat="0" applyProtection="0">
      <alignment horizontal="left" vertical="center" indent="1"/>
    </xf>
    <xf numFmtId="0" fontId="6" fillId="57" borderId="154" applyNumberFormat="0" applyProtection="0">
      <alignment horizontal="left" vertical="center" indent="1"/>
    </xf>
    <xf numFmtId="0" fontId="6" fillId="56" borderId="154" applyNumberFormat="0" applyProtection="0">
      <alignment horizontal="left" vertical="center" indent="1"/>
    </xf>
    <xf numFmtId="0" fontId="6" fillId="58" borderId="154" applyNumberFormat="0" applyProtection="0">
      <alignment horizontal="left" vertical="center" indent="1"/>
    </xf>
    <xf numFmtId="0" fontId="6" fillId="59" borderId="154" applyNumberFormat="0" applyProtection="0">
      <alignment horizontal="left" vertical="center" indent="1"/>
    </xf>
    <xf numFmtId="4" fontId="14" fillId="60" borderId="154" applyNumberFormat="0" applyProtection="0">
      <alignment horizontal="right" vertical="center"/>
    </xf>
    <xf numFmtId="4" fontId="14" fillId="61" borderId="154" applyNumberFormat="0" applyProtection="0">
      <alignment horizontal="left" vertical="center" indent="1"/>
    </xf>
    <xf numFmtId="0" fontId="14" fillId="56" borderId="154" applyNumberFormat="0" applyProtection="0">
      <alignment horizontal="left" vertical="top" indent="1"/>
    </xf>
    <xf numFmtId="170" fontId="1" fillId="0" borderId="0" applyFont="0" applyFill="0" applyBorder="0" applyAlignment="0" applyProtection="0"/>
    <xf numFmtId="170" fontId="22" fillId="0" borderId="0" applyFont="0" applyFill="0" applyBorder="0" applyAlignment="0" applyProtection="0"/>
    <xf numFmtId="173" fontId="1" fillId="0" borderId="0" applyFont="0" applyFill="0" applyBorder="0" applyAlignment="0" applyProtection="0"/>
    <xf numFmtId="0" fontId="4" fillId="0" borderId="155" applyNumberFormat="0" applyFill="0" applyAlignment="0" applyProtection="0"/>
    <xf numFmtId="0" fontId="4" fillId="0" borderId="155" applyNumberFormat="0" applyFill="0" applyAlignment="0" applyProtection="0"/>
    <xf numFmtId="170" fontId="6" fillId="0" borderId="0" applyFont="0" applyFill="0" applyBorder="0" applyAlignment="0" applyProtection="0"/>
    <xf numFmtId="168" fontId="6" fillId="0" borderId="0" applyFont="0" applyFill="0" applyBorder="0" applyAlignment="0" applyProtection="0"/>
    <xf numFmtId="0" fontId="57" fillId="31" borderId="151" applyNumberFormat="0" applyAlignment="0" applyProtection="0"/>
    <xf numFmtId="0" fontId="57" fillId="31" borderId="151" applyNumberFormat="0" applyAlignment="0" applyProtection="0"/>
    <xf numFmtId="0" fontId="32" fillId="20" borderId="151" applyNumberFormat="0" applyAlignment="0" applyProtection="0"/>
    <xf numFmtId="0" fontId="32" fillId="20" borderId="151" applyNumberFormat="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9" fontId="6" fillId="0" borderId="0" applyFont="0" applyFill="0" applyBorder="0" applyAlignment="0" applyProtection="0"/>
    <xf numFmtId="0" fontId="6" fillId="54" borderId="153" applyNumberFormat="0" applyFont="0" applyAlignment="0" applyProtection="0"/>
    <xf numFmtId="0" fontId="6" fillId="54" borderId="153" applyNumberFormat="0" applyFont="0" applyAlignment="0" applyProtection="0"/>
    <xf numFmtId="0" fontId="35" fillId="31" borderId="152" applyNumberFormat="0" applyAlignment="0" applyProtection="0"/>
    <xf numFmtId="0" fontId="35" fillId="31" borderId="152" applyNumberFormat="0" applyAlignment="0" applyProtection="0"/>
    <xf numFmtId="4" fontId="48" fillId="27" borderId="154" applyNumberFormat="0" applyProtection="0">
      <alignment vertical="center"/>
    </xf>
    <xf numFmtId="4" fontId="48" fillId="55" borderId="154" applyNumberFormat="0" applyProtection="0">
      <alignment horizontal="left" vertical="center" indent="1"/>
    </xf>
    <xf numFmtId="0" fontId="6" fillId="57" borderId="154" applyNumberFormat="0" applyProtection="0">
      <alignment horizontal="left" vertical="center" indent="1"/>
    </xf>
    <xf numFmtId="0" fontId="6" fillId="56" borderId="154" applyNumberFormat="0" applyProtection="0">
      <alignment horizontal="left" vertical="center" indent="1"/>
    </xf>
    <xf numFmtId="0" fontId="6" fillId="58" borderId="154" applyNumberFormat="0" applyProtection="0">
      <alignment horizontal="left" vertical="center" indent="1"/>
    </xf>
    <xf numFmtId="0" fontId="6" fillId="59" borderId="154" applyNumberFormat="0" applyProtection="0">
      <alignment horizontal="left" vertical="center" indent="1"/>
    </xf>
    <xf numFmtId="4" fontId="14" fillId="60" borderId="154" applyNumberFormat="0" applyProtection="0">
      <alignment horizontal="right" vertical="center"/>
    </xf>
    <xf numFmtId="4" fontId="14" fillId="61" borderId="154" applyNumberFormat="0" applyProtection="0">
      <alignment horizontal="left" vertical="center" indent="1"/>
    </xf>
    <xf numFmtId="0" fontId="14" fillId="56" borderId="154" applyNumberFormat="0" applyProtection="0">
      <alignment horizontal="left" vertical="top" indent="1"/>
    </xf>
    <xf numFmtId="0" fontId="4" fillId="0" borderId="155" applyNumberFormat="0" applyFill="0" applyAlignment="0" applyProtection="0"/>
    <xf numFmtId="0" fontId="4" fillId="0" borderId="155" applyNumberFormat="0" applyFill="0" applyAlignment="0" applyProtection="0"/>
    <xf numFmtId="0" fontId="6" fillId="0" borderId="0"/>
    <xf numFmtId="0" fontId="4" fillId="0" borderId="165" applyNumberFormat="0" applyFill="0" applyAlignment="0" applyProtection="0"/>
    <xf numFmtId="173" fontId="1" fillId="0" borderId="0" applyFont="0" applyFill="0" applyBorder="0" applyAlignment="0" applyProtection="0"/>
    <xf numFmtId="0" fontId="14" fillId="56" borderId="164" applyNumberFormat="0" applyProtection="0">
      <alignment horizontal="left" vertical="top" indent="1"/>
    </xf>
    <xf numFmtId="0" fontId="6" fillId="58" borderId="164" applyNumberFormat="0" applyProtection="0">
      <alignment horizontal="left" vertical="center" indent="1"/>
    </xf>
    <xf numFmtId="0" fontId="32" fillId="20" borderId="161" applyNumberFormat="0" applyAlignment="0" applyProtection="0"/>
    <xf numFmtId="0" fontId="6" fillId="54" borderId="158" applyNumberFormat="0" applyFont="0" applyAlignment="0" applyProtection="0"/>
    <xf numFmtId="0" fontId="6" fillId="54" borderId="158" applyNumberFormat="0" applyFont="0" applyAlignment="0" applyProtection="0"/>
    <xf numFmtId="0" fontId="35" fillId="31" borderId="167" applyNumberFormat="0" applyAlignment="0" applyProtection="0"/>
    <xf numFmtId="4" fontId="48" fillId="55" borderId="164" applyNumberFormat="0" applyProtection="0">
      <alignment horizontal="left" vertical="center" indent="1"/>
    </xf>
    <xf numFmtId="0" fontId="35" fillId="31" borderId="157" applyNumberFormat="0" applyAlignment="0" applyProtection="0"/>
    <xf numFmtId="0" fontId="35" fillId="31" borderId="157" applyNumberFormat="0" applyAlignment="0" applyProtection="0"/>
    <xf numFmtId="4" fontId="48" fillId="27" borderId="159" applyNumberFormat="0" applyProtection="0">
      <alignment vertical="center"/>
    </xf>
    <xf numFmtId="4" fontId="48" fillId="55" borderId="159" applyNumberFormat="0" applyProtection="0">
      <alignment horizontal="left" vertical="center" indent="1"/>
    </xf>
    <xf numFmtId="0" fontId="6" fillId="57" borderId="159" applyNumberFormat="0" applyProtection="0">
      <alignment horizontal="left" vertical="center" indent="1"/>
    </xf>
    <xf numFmtId="0" fontId="6" fillId="56" borderId="159" applyNumberFormat="0" applyProtection="0">
      <alignment horizontal="left" vertical="center" indent="1"/>
    </xf>
    <xf numFmtId="0" fontId="6" fillId="58" borderId="159" applyNumberFormat="0" applyProtection="0">
      <alignment horizontal="left" vertical="center" indent="1"/>
    </xf>
    <xf numFmtId="0" fontId="6" fillId="59" borderId="159" applyNumberFormat="0" applyProtection="0">
      <alignment horizontal="left" vertical="center" indent="1"/>
    </xf>
    <xf numFmtId="4" fontId="14" fillId="60" borderId="159" applyNumberFormat="0" applyProtection="0">
      <alignment horizontal="right" vertical="center"/>
    </xf>
    <xf numFmtId="4" fontId="14" fillId="61" borderId="159" applyNumberFormat="0" applyProtection="0">
      <alignment horizontal="left" vertical="center" indent="1"/>
    </xf>
    <xf numFmtId="0" fontId="14" fillId="56" borderId="159" applyNumberFormat="0" applyProtection="0">
      <alignment horizontal="left" vertical="top" indent="1"/>
    </xf>
    <xf numFmtId="170" fontId="1" fillId="0" borderId="0" applyFont="0" applyFill="0" applyBorder="0" applyAlignment="0" applyProtection="0"/>
    <xf numFmtId="170" fontId="22" fillId="0" borderId="0" applyFont="0" applyFill="0" applyBorder="0" applyAlignment="0" applyProtection="0"/>
    <xf numFmtId="173" fontId="1" fillId="0" borderId="0" applyFont="0" applyFill="0" applyBorder="0" applyAlignment="0" applyProtection="0"/>
    <xf numFmtId="0" fontId="4" fillId="0" borderId="160" applyNumberFormat="0" applyFill="0" applyAlignment="0" applyProtection="0"/>
    <xf numFmtId="0" fontId="4" fillId="0" borderId="160" applyNumberFormat="0" applyFill="0" applyAlignment="0" applyProtection="0"/>
    <xf numFmtId="0" fontId="32" fillId="20" borderId="161" applyNumberFormat="0" applyAlignment="0" applyProtection="0"/>
    <xf numFmtId="0" fontId="57" fillId="31" borderId="156" applyNumberFormat="0" applyAlignment="0" applyProtection="0"/>
    <xf numFmtId="0" fontId="57" fillId="31" borderId="156" applyNumberFormat="0" applyAlignment="0" applyProtection="0"/>
    <xf numFmtId="0" fontId="32" fillId="20" borderId="156" applyNumberFormat="0" applyAlignment="0" applyProtection="0"/>
    <xf numFmtId="0" fontId="32" fillId="20" borderId="156" applyNumberFormat="0" applyAlignment="0" applyProtection="0"/>
    <xf numFmtId="0" fontId="6" fillId="54" borderId="158" applyNumberFormat="0" applyFont="0" applyAlignment="0" applyProtection="0"/>
    <xf numFmtId="0" fontId="6" fillId="54" borderId="158" applyNumberFormat="0" applyFont="0" applyAlignment="0" applyProtection="0"/>
    <xf numFmtId="0" fontId="35" fillId="31" borderId="157" applyNumberFormat="0" applyAlignment="0" applyProtection="0"/>
    <xf numFmtId="0" fontId="35" fillId="31" borderId="157" applyNumberFormat="0" applyAlignment="0" applyProtection="0"/>
    <xf numFmtId="4" fontId="48" fillId="27" borderId="159" applyNumberFormat="0" applyProtection="0">
      <alignment vertical="center"/>
    </xf>
    <xf numFmtId="4" fontId="48" fillId="55" borderId="159" applyNumberFormat="0" applyProtection="0">
      <alignment horizontal="left" vertical="center" indent="1"/>
    </xf>
    <xf numFmtId="0" fontId="6" fillId="57" borderId="159" applyNumberFormat="0" applyProtection="0">
      <alignment horizontal="left" vertical="center" indent="1"/>
    </xf>
    <xf numFmtId="0" fontId="6" fillId="56" borderId="159" applyNumberFormat="0" applyProtection="0">
      <alignment horizontal="left" vertical="center" indent="1"/>
    </xf>
    <xf numFmtId="0" fontId="6" fillId="58" borderId="159" applyNumberFormat="0" applyProtection="0">
      <alignment horizontal="left" vertical="center" indent="1"/>
    </xf>
    <xf numFmtId="0" fontId="6" fillId="59" borderId="159" applyNumberFormat="0" applyProtection="0">
      <alignment horizontal="left" vertical="center" indent="1"/>
    </xf>
    <xf numFmtId="4" fontId="14" fillId="60" borderId="159" applyNumberFormat="0" applyProtection="0">
      <alignment horizontal="right" vertical="center"/>
    </xf>
    <xf numFmtId="4" fontId="14" fillId="61" borderId="159" applyNumberFormat="0" applyProtection="0">
      <alignment horizontal="left" vertical="center" indent="1"/>
    </xf>
    <xf numFmtId="0" fontId="14" fillId="56" borderId="159" applyNumberFormat="0" applyProtection="0">
      <alignment horizontal="left" vertical="top" indent="1"/>
    </xf>
    <xf numFmtId="0" fontId="4" fillId="0" borderId="160" applyNumberFormat="0" applyFill="0" applyAlignment="0" applyProtection="0"/>
    <xf numFmtId="0" fontId="4" fillId="0" borderId="160" applyNumberFormat="0" applyFill="0" applyAlignment="0" applyProtection="0"/>
    <xf numFmtId="0" fontId="32" fillId="20" borderId="161" applyNumberFormat="0" applyAlignment="0" applyProtection="0"/>
    <xf numFmtId="0" fontId="6" fillId="54" borderId="163" applyNumberFormat="0" applyFont="0" applyAlignment="0" applyProtection="0"/>
    <xf numFmtId="0" fontId="32" fillId="20" borderId="166" applyNumberFormat="0" applyAlignment="0" applyProtection="0"/>
    <xf numFmtId="170" fontId="22" fillId="0" borderId="0" applyFont="0" applyFill="0" applyBorder="0" applyAlignment="0" applyProtection="0"/>
    <xf numFmtId="170" fontId="1" fillId="0" borderId="0" applyFont="0" applyFill="0" applyBorder="0" applyAlignment="0" applyProtection="0"/>
    <xf numFmtId="4" fontId="14" fillId="60" borderId="164" applyNumberFormat="0" applyProtection="0">
      <alignment horizontal="right" vertical="center"/>
    </xf>
    <xf numFmtId="0" fontId="57" fillId="31" borderId="161" applyNumberFormat="0" applyAlignment="0" applyProtection="0"/>
    <xf numFmtId="4" fontId="48" fillId="27" borderId="169" applyNumberFormat="0" applyProtection="0">
      <alignment vertical="center"/>
    </xf>
    <xf numFmtId="0" fontId="35" fillId="31" borderId="167" applyNumberFormat="0" applyAlignment="0" applyProtection="0"/>
    <xf numFmtId="4" fontId="48" fillId="55" borderId="169" applyNumberFormat="0" applyProtection="0">
      <alignment horizontal="left" vertical="center" indent="1"/>
    </xf>
    <xf numFmtId="0" fontId="6" fillId="56" borderId="169" applyNumberFormat="0" applyProtection="0">
      <alignment horizontal="left" vertical="center" indent="1"/>
    </xf>
    <xf numFmtId="0" fontId="6" fillId="58" borderId="169" applyNumberFormat="0" applyProtection="0">
      <alignment horizontal="left" vertical="center" indent="1"/>
    </xf>
    <xf numFmtId="0" fontId="32" fillId="20" borderId="161" applyNumberFormat="0" applyAlignment="0" applyProtection="0"/>
    <xf numFmtId="4" fontId="14" fillId="60" borderId="169" applyNumberFormat="0" applyProtection="0">
      <alignment horizontal="right" vertical="center"/>
    </xf>
    <xf numFmtId="4" fontId="14" fillId="61" borderId="169" applyNumberFormat="0" applyProtection="0">
      <alignment horizontal="left" vertical="center" indent="1"/>
    </xf>
    <xf numFmtId="0" fontId="14" fillId="56" borderId="169" applyNumberFormat="0" applyProtection="0">
      <alignment horizontal="left" vertical="top" indent="1"/>
    </xf>
    <xf numFmtId="0" fontId="4" fillId="0" borderId="170" applyNumberFormat="0" applyFill="0" applyAlignment="0" applyProtection="0"/>
    <xf numFmtId="0" fontId="4" fillId="0" borderId="170" applyNumberFormat="0" applyFill="0" applyAlignment="0" applyProtection="0"/>
    <xf numFmtId="0" fontId="57" fillId="31" borderId="166" applyNumberFormat="0" applyAlignment="0" applyProtection="0"/>
    <xf numFmtId="0" fontId="57" fillId="31" borderId="166" applyNumberFormat="0" applyAlignment="0" applyProtection="0"/>
    <xf numFmtId="0" fontId="32" fillId="20" borderId="166" applyNumberFormat="0" applyAlignment="0" applyProtection="0"/>
    <xf numFmtId="0" fontId="32" fillId="20" borderId="166" applyNumberFormat="0" applyAlignment="0" applyProtection="0"/>
    <xf numFmtId="0" fontId="6" fillId="54" borderId="168" applyNumberFormat="0" applyFont="0" applyAlignment="0" applyProtection="0"/>
    <xf numFmtId="0" fontId="6" fillId="54" borderId="168" applyNumberFormat="0" applyFont="0" applyAlignment="0" applyProtection="0"/>
    <xf numFmtId="0" fontId="35" fillId="31" borderId="167" applyNumberFormat="0" applyAlignment="0" applyProtection="0"/>
    <xf numFmtId="0" fontId="35" fillId="31" borderId="167" applyNumberFormat="0" applyAlignment="0" applyProtection="0"/>
    <xf numFmtId="4" fontId="48" fillId="27" borderId="169" applyNumberFormat="0" applyProtection="0">
      <alignment vertical="center"/>
    </xf>
    <xf numFmtId="4" fontId="48" fillId="55" borderId="169" applyNumberFormat="0" applyProtection="0">
      <alignment horizontal="left" vertical="center" indent="1"/>
    </xf>
    <xf numFmtId="0" fontId="6" fillId="57" borderId="169" applyNumberFormat="0" applyProtection="0">
      <alignment horizontal="left" vertical="center" indent="1"/>
    </xf>
    <xf numFmtId="0" fontId="6" fillId="56" borderId="169" applyNumberFormat="0" applyProtection="0">
      <alignment horizontal="left" vertical="center" indent="1"/>
    </xf>
    <xf numFmtId="0" fontId="6" fillId="58" borderId="169" applyNumberFormat="0" applyProtection="0">
      <alignment horizontal="left" vertical="center" indent="1"/>
    </xf>
    <xf numFmtId="0" fontId="6" fillId="59" borderId="169" applyNumberFormat="0" applyProtection="0">
      <alignment horizontal="left" vertical="center" indent="1"/>
    </xf>
    <xf numFmtId="4" fontId="14" fillId="60" borderId="169" applyNumberFormat="0" applyProtection="0">
      <alignment horizontal="right" vertical="center"/>
    </xf>
    <xf numFmtId="4" fontId="14" fillId="61" borderId="169" applyNumberFormat="0" applyProtection="0">
      <alignment horizontal="left" vertical="center" indent="1"/>
    </xf>
    <xf numFmtId="0" fontId="14" fillId="56" borderId="169" applyNumberFormat="0" applyProtection="0">
      <alignment horizontal="left" vertical="top" indent="1"/>
    </xf>
    <xf numFmtId="0" fontId="4" fillId="0" borderId="170" applyNumberFormat="0" applyFill="0" applyAlignment="0" applyProtection="0"/>
    <xf numFmtId="0" fontId="4" fillId="0" borderId="170" applyNumberFormat="0" applyFill="0" applyAlignment="0" applyProtection="0"/>
  </cellStyleXfs>
  <cellXfs count="1225">
    <xf numFmtId="0" fontId="0" fillId="0" borderId="0" xfId="0"/>
    <xf numFmtId="0" fontId="6" fillId="0" borderId="0" xfId="0" applyFont="1" applyAlignment="1">
      <alignment vertical="center"/>
    </xf>
    <xf numFmtId="4" fontId="6" fillId="0" borderId="0" xfId="0" applyNumberFormat="1" applyFont="1" applyAlignment="1">
      <alignment horizontal="right" vertical="center"/>
    </xf>
    <xf numFmtId="0" fontId="18" fillId="0" borderId="0" xfId="0" applyFont="1" applyAlignment="1">
      <alignment vertical="center"/>
    </xf>
    <xf numFmtId="0" fontId="0" fillId="0" borderId="0" xfId="0" applyAlignment="1">
      <alignment vertical="center"/>
    </xf>
    <xf numFmtId="0" fontId="8" fillId="4" borderId="49" xfId="0" applyFont="1" applyFill="1" applyBorder="1" applyAlignment="1">
      <alignment horizontal="center" vertical="center"/>
    </xf>
    <xf numFmtId="0" fontId="8" fillId="5" borderId="26" xfId="0" applyFont="1" applyFill="1" applyBorder="1" applyAlignment="1">
      <alignment horizontal="left" vertical="center" wrapText="1"/>
    </xf>
    <xf numFmtId="0" fontId="6" fillId="0" borderId="0" xfId="0" applyFont="1" applyAlignment="1">
      <alignment horizontal="center" vertical="center"/>
    </xf>
    <xf numFmtId="0" fontId="8" fillId="0" borderId="12" xfId="9" applyFont="1" applyBorder="1" applyAlignment="1">
      <alignment horizontal="center" vertical="center"/>
    </xf>
    <xf numFmtId="3" fontId="8" fillId="0" borderId="20" xfId="11" applyNumberFormat="1" applyFont="1" applyBorder="1" applyAlignment="1">
      <alignment horizontal="left" vertical="center"/>
    </xf>
    <xf numFmtId="0" fontId="8" fillId="39" borderId="5" xfId="0" applyFont="1" applyFill="1" applyBorder="1" applyAlignment="1">
      <alignment horizontal="center" vertical="center"/>
    </xf>
    <xf numFmtId="0" fontId="6" fillId="6" borderId="0" xfId="0" applyFont="1" applyFill="1" applyAlignment="1">
      <alignment horizontal="center" vertical="center"/>
    </xf>
    <xf numFmtId="0" fontId="6" fillId="0" borderId="0" xfId="8" applyFont="1" applyAlignment="1">
      <alignment vertical="center"/>
    </xf>
    <xf numFmtId="4" fontId="6" fillId="0" borderId="0" xfId="0" applyNumberFormat="1" applyFont="1" applyAlignment="1">
      <alignment horizontal="center" vertical="center"/>
    </xf>
    <xf numFmtId="4" fontId="8" fillId="4" borderId="26" xfId="0" applyNumberFormat="1" applyFont="1" applyFill="1" applyBorder="1" applyAlignment="1">
      <alignment horizontal="center" vertical="center" wrapText="1"/>
    </xf>
    <xf numFmtId="4" fontId="8" fillId="39" borderId="5" xfId="0" applyNumberFormat="1" applyFont="1" applyFill="1" applyBorder="1" applyAlignment="1">
      <alignment horizontal="center" vertical="center"/>
    </xf>
    <xf numFmtId="0" fontId="21" fillId="0" borderId="0" xfId="0" applyFont="1" applyAlignment="1">
      <alignment vertical="center"/>
    </xf>
    <xf numFmtId="0" fontId="6" fillId="39" borderId="7" xfId="0" applyFont="1" applyFill="1" applyBorder="1" applyAlignment="1">
      <alignment horizontal="center" vertical="center"/>
    </xf>
    <xf numFmtId="170" fontId="6" fillId="0" borderId="0" xfId="1" applyFont="1" applyFill="1" applyAlignment="1">
      <alignment vertical="center" wrapText="1"/>
    </xf>
    <xf numFmtId="4" fontId="8" fillId="0" borderId="11" xfId="9" applyNumberFormat="1" applyFont="1" applyBorder="1" applyAlignment="1">
      <alignment horizontal="center" vertical="center"/>
    </xf>
    <xf numFmtId="0" fontId="6" fillId="0" borderId="0" xfId="9" applyFont="1" applyAlignment="1">
      <alignment vertical="center"/>
    </xf>
    <xf numFmtId="4" fontId="8" fillId="0" borderId="13" xfId="9" applyNumberFormat="1" applyFont="1" applyBorder="1" applyAlignment="1">
      <alignment horizontal="centerContinuous" vertical="center"/>
    </xf>
    <xf numFmtId="0" fontId="8" fillId="0" borderId="0" xfId="9" applyFont="1" applyAlignment="1">
      <alignment horizontal="center" vertical="center"/>
    </xf>
    <xf numFmtId="4" fontId="8" fillId="0" borderId="0" xfId="9" applyNumberFormat="1" applyFont="1" applyAlignment="1">
      <alignment horizontal="center" vertical="center"/>
    </xf>
    <xf numFmtId="4" fontId="8" fillId="0" borderId="13" xfId="9" applyNumberFormat="1" applyFont="1" applyBorder="1" applyAlignment="1">
      <alignment horizontal="center" vertical="center"/>
    </xf>
    <xf numFmtId="4" fontId="6" fillId="0" borderId="13" xfId="11" applyNumberFormat="1" applyFont="1" applyBorder="1" applyAlignment="1">
      <alignment horizontal="left" vertical="center"/>
    </xf>
    <xf numFmtId="0" fontId="6" fillId="0" borderId="21" xfId="0" applyFont="1" applyBorder="1" applyAlignment="1">
      <alignment vertical="center" wrapText="1"/>
    </xf>
    <xf numFmtId="4" fontId="6" fillId="0" borderId="21" xfId="0" applyNumberFormat="1" applyFont="1" applyBorder="1" applyAlignment="1">
      <alignment vertical="center"/>
    </xf>
    <xf numFmtId="4" fontId="6" fillId="0" borderId="21" xfId="0" applyNumberFormat="1" applyFont="1" applyBorder="1" applyAlignment="1">
      <alignment horizontal="center" vertical="center"/>
    </xf>
    <xf numFmtId="4" fontId="6" fillId="0" borderId="22" xfId="0" applyNumberFormat="1" applyFont="1" applyBorder="1" applyAlignment="1">
      <alignment vertical="center"/>
    </xf>
    <xf numFmtId="170" fontId="6" fillId="0" borderId="0" xfId="1" applyFont="1" applyFill="1" applyAlignment="1">
      <alignment horizontal="center" vertical="center" wrapText="1"/>
    </xf>
    <xf numFmtId="0" fontId="8" fillId="4" borderId="26" xfId="0" applyFont="1" applyFill="1" applyBorder="1" applyAlignment="1">
      <alignment vertical="center" wrapText="1"/>
    </xf>
    <xf numFmtId="170" fontId="6" fillId="40" borderId="12" xfId="1" applyFont="1" applyFill="1" applyBorder="1" applyAlignment="1">
      <alignment vertical="center" wrapText="1"/>
    </xf>
    <xf numFmtId="170" fontId="6" fillId="40" borderId="13" xfId="1" applyFont="1" applyFill="1" applyBorder="1" applyAlignment="1">
      <alignment vertical="center" wrapText="1"/>
    </xf>
    <xf numFmtId="0" fontId="8" fillId="3" borderId="26" xfId="0" applyFont="1" applyFill="1" applyBorder="1" applyAlignment="1">
      <alignment vertical="center"/>
    </xf>
    <xf numFmtId="4" fontId="8" fillId="3" borderId="26" xfId="0" applyNumberFormat="1" applyFont="1" applyFill="1" applyBorder="1" applyAlignment="1">
      <alignment horizontal="center" vertical="center"/>
    </xf>
    <xf numFmtId="170" fontId="6" fillId="40" borderId="49" xfId="1" applyFont="1" applyFill="1" applyBorder="1" applyAlignment="1">
      <alignment vertical="center" wrapText="1"/>
    </xf>
    <xf numFmtId="170" fontId="8" fillId="40" borderId="13" xfId="1" applyFont="1" applyFill="1" applyBorder="1" applyAlignment="1">
      <alignment vertical="center" wrapText="1"/>
    </xf>
    <xf numFmtId="0" fontId="8" fillId="3" borderId="53" xfId="0" applyFont="1" applyFill="1" applyBorder="1" applyAlignment="1">
      <alignment vertical="center" wrapText="1"/>
    </xf>
    <xf numFmtId="0" fontId="8" fillId="3" borderId="53" xfId="0" applyFont="1" applyFill="1" applyBorder="1" applyAlignment="1">
      <alignment vertical="center"/>
    </xf>
    <xf numFmtId="4" fontId="8" fillId="3" borderId="53" xfId="0" applyNumberFormat="1" applyFont="1" applyFill="1" applyBorder="1" applyAlignment="1">
      <alignment horizontal="center" vertical="center"/>
    </xf>
    <xf numFmtId="170" fontId="6" fillId="40" borderId="20" xfId="1" applyFont="1" applyFill="1" applyBorder="1" applyAlignment="1">
      <alignment vertical="center" wrapText="1"/>
    </xf>
    <xf numFmtId="0" fontId="8" fillId="6" borderId="0" xfId="0" applyFont="1" applyFill="1" applyAlignment="1">
      <alignment vertical="center" wrapText="1"/>
    </xf>
    <xf numFmtId="0" fontId="8" fillId="6" borderId="0" xfId="0" applyFont="1" applyFill="1" applyAlignment="1">
      <alignment vertical="center"/>
    </xf>
    <xf numFmtId="4" fontId="8" fillId="6" borderId="0" xfId="0" applyNumberFormat="1" applyFont="1" applyFill="1" applyAlignment="1">
      <alignment horizontal="center" vertical="center"/>
    </xf>
    <xf numFmtId="4" fontId="8" fillId="6" borderId="0" xfId="3" applyNumberFormat="1" applyFont="1" applyFill="1" applyBorder="1" applyAlignment="1" applyProtection="1">
      <alignment horizontal="right" vertical="center"/>
    </xf>
    <xf numFmtId="4" fontId="6" fillId="0" borderId="0" xfId="8" applyNumberFormat="1" applyFont="1" applyAlignment="1">
      <alignment horizontal="center" vertical="center"/>
    </xf>
    <xf numFmtId="4" fontId="6" fillId="0" borderId="0" xfId="8" applyNumberFormat="1" applyFont="1" applyAlignment="1">
      <alignment vertical="center"/>
    </xf>
    <xf numFmtId="0" fontId="6" fillId="0" borderId="0" xfId="8" applyFont="1" applyAlignment="1">
      <alignment horizontal="center" vertical="center"/>
    </xf>
    <xf numFmtId="4" fontId="6" fillId="0" borderId="0" xfId="9" applyNumberFormat="1" applyFont="1" applyAlignment="1">
      <alignment vertical="center"/>
    </xf>
    <xf numFmtId="4" fontId="6" fillId="0" borderId="0" xfId="0" applyNumberFormat="1" applyFont="1" applyAlignment="1">
      <alignment vertical="center"/>
    </xf>
    <xf numFmtId="4" fontId="6" fillId="0" borderId="0" xfId="8" applyNumberFormat="1" applyFont="1" applyAlignment="1">
      <alignment horizontal="right" vertical="center"/>
    </xf>
    <xf numFmtId="4" fontId="6" fillId="0" borderId="0" xfId="9" applyNumberFormat="1" applyFont="1" applyAlignment="1">
      <alignment horizontal="right" vertical="center"/>
    </xf>
    <xf numFmtId="4" fontId="8" fillId="0" borderId="0" xfId="9" applyNumberFormat="1" applyFont="1" applyAlignment="1">
      <alignment horizontal="right" vertical="center"/>
    </xf>
    <xf numFmtId="4" fontId="8" fillId="0" borderId="0" xfId="8" applyNumberFormat="1" applyFont="1" applyAlignment="1">
      <alignment horizontal="right" vertical="center"/>
    </xf>
    <xf numFmtId="4" fontId="6" fillId="0" borderId="0" xfId="1" applyNumberFormat="1" applyFont="1" applyFill="1" applyAlignment="1">
      <alignment horizontal="right" vertical="center" wrapText="1"/>
    </xf>
    <xf numFmtId="4" fontId="8" fillId="0" borderId="0" xfId="8" applyNumberFormat="1" applyFont="1" applyAlignment="1">
      <alignment horizontal="center" vertical="center"/>
    </xf>
    <xf numFmtId="4" fontId="6" fillId="0" borderId="0" xfId="8" applyNumberFormat="1" applyFont="1" applyAlignment="1">
      <alignment horizontal="left" vertical="center"/>
    </xf>
    <xf numFmtId="4" fontId="6" fillId="7" borderId="0" xfId="8" applyNumberFormat="1" applyFont="1" applyFill="1" applyAlignment="1">
      <alignment horizontal="right" vertical="center"/>
    </xf>
    <xf numFmtId="0" fontId="6" fillId="0" borderId="0" xfId="8" applyFont="1" applyAlignment="1">
      <alignment horizontal="left" vertical="center" wrapText="1"/>
    </xf>
    <xf numFmtId="0" fontId="6" fillId="0" borderId="0" xfId="9" applyFont="1" applyAlignment="1">
      <alignment horizontal="left" vertical="center" wrapText="1"/>
    </xf>
    <xf numFmtId="0" fontId="8" fillId="0" borderId="0" xfId="8" applyFont="1" applyAlignment="1">
      <alignment horizontal="left" vertical="center" wrapText="1"/>
    </xf>
    <xf numFmtId="0" fontId="0" fillId="0" borderId="0" xfId="0" applyAlignment="1">
      <alignment horizontal="center" vertical="center"/>
    </xf>
    <xf numFmtId="4" fontId="0" fillId="0" borderId="0" xfId="0" applyNumberFormat="1" applyAlignment="1">
      <alignment vertical="center"/>
    </xf>
    <xf numFmtId="0" fontId="51" fillId="0" borderId="0" xfId="0" applyFont="1"/>
    <xf numFmtId="4" fontId="18" fillId="0" borderId="0" xfId="0" applyNumberFormat="1" applyFont="1"/>
    <xf numFmtId="0" fontId="18" fillId="0" borderId="0" xfId="0" applyFont="1"/>
    <xf numFmtId="4" fontId="6" fillId="0" borderId="21" xfId="18" applyNumberFormat="1" applyFont="1" applyBorder="1" applyAlignment="1">
      <alignment horizontal="right" vertical="center"/>
    </xf>
    <xf numFmtId="4" fontId="8" fillId="39" borderId="5" xfId="0" applyNumberFormat="1" applyFont="1" applyFill="1" applyBorder="1" applyAlignment="1">
      <alignment horizontal="center" vertical="center" wrapText="1"/>
    </xf>
    <xf numFmtId="4" fontId="44" fillId="3" borderId="26" xfId="0" applyNumberFormat="1" applyFont="1" applyFill="1" applyBorder="1" applyAlignment="1">
      <alignment horizontal="right" vertical="center" wrapText="1"/>
    </xf>
    <xf numFmtId="4" fontId="8" fillId="3" borderId="50" xfId="3" applyNumberFormat="1" applyFont="1" applyFill="1" applyBorder="1" applyAlignment="1" applyProtection="1">
      <alignment horizontal="right" vertical="center"/>
    </xf>
    <xf numFmtId="4" fontId="8" fillId="3" borderId="26" xfId="0" applyNumberFormat="1" applyFont="1" applyFill="1" applyBorder="1" applyAlignment="1">
      <alignment horizontal="right" vertical="center"/>
    </xf>
    <xf numFmtId="4" fontId="8" fillId="3" borderId="53" xfId="0" applyNumberFormat="1" applyFont="1" applyFill="1" applyBorder="1" applyAlignment="1">
      <alignment horizontal="right" vertical="center"/>
    </xf>
    <xf numFmtId="4" fontId="8" fillId="3" borderId="52" xfId="3" applyNumberFormat="1" applyFont="1" applyFill="1" applyBorder="1" applyAlignment="1" applyProtection="1">
      <alignment horizontal="right" vertical="center"/>
    </xf>
    <xf numFmtId="4" fontId="8" fillId="6" borderId="0" xfId="0" applyNumberFormat="1" applyFont="1" applyFill="1" applyAlignment="1">
      <alignment horizontal="right" vertical="center"/>
    </xf>
    <xf numFmtId="4" fontId="51" fillId="0" borderId="0" xfId="0" applyNumberFormat="1" applyFont="1"/>
    <xf numFmtId="0" fontId="51" fillId="0" borderId="0" xfId="0" applyFont="1" applyAlignment="1">
      <alignment vertical="center"/>
    </xf>
    <xf numFmtId="0" fontId="18" fillId="0" borderId="0" xfId="0" applyFont="1" applyAlignment="1">
      <alignment vertical="center" wrapText="1"/>
    </xf>
    <xf numFmtId="0" fontId="18" fillId="0" borderId="0" xfId="0" applyFont="1" applyAlignment="1">
      <alignment horizontal="center" vertical="center" wrapText="1"/>
    </xf>
    <xf numFmtId="4" fontId="18" fillId="0" borderId="0" xfId="0" applyNumberFormat="1" applyFont="1" applyAlignment="1">
      <alignment vertical="center" wrapText="1"/>
    </xf>
    <xf numFmtId="4" fontId="18" fillId="0" borderId="0" xfId="0" applyNumberFormat="1" applyFont="1" applyAlignment="1">
      <alignment horizontal="right" vertical="center"/>
    </xf>
    <xf numFmtId="4" fontId="18" fillId="0" borderId="0" xfId="0" applyNumberFormat="1" applyFont="1" applyAlignment="1">
      <alignment vertical="center"/>
    </xf>
    <xf numFmtId="0" fontId="18" fillId="0" borderId="29" xfId="0" applyFont="1" applyBorder="1" applyAlignment="1">
      <alignment vertical="center"/>
    </xf>
    <xf numFmtId="0" fontId="18" fillId="0" borderId="14" xfId="0" applyFont="1" applyBorder="1" applyAlignment="1">
      <alignment vertical="center" wrapText="1"/>
    </xf>
    <xf numFmtId="0" fontId="18" fillId="0" borderId="14" xfId="0" applyFont="1" applyBorder="1" applyAlignment="1">
      <alignment horizontal="center" vertical="center" wrapText="1"/>
    </xf>
    <xf numFmtId="4" fontId="18" fillId="0" borderId="15" xfId="0" applyNumberFormat="1" applyFont="1" applyBorder="1" applyAlignment="1">
      <alignment vertical="center" wrapText="1"/>
    </xf>
    <xf numFmtId="4" fontId="18" fillId="0" borderId="51" xfId="0" applyNumberFormat="1" applyFont="1" applyBorder="1" applyAlignment="1">
      <alignment vertical="center"/>
    </xf>
    <xf numFmtId="0" fontId="51" fillId="0" borderId="7" xfId="0" applyFont="1" applyBorder="1" applyAlignment="1">
      <alignment horizontal="center" vertical="center"/>
    </xf>
    <xf numFmtId="0" fontId="51" fillId="0" borderId="53" xfId="0" applyFont="1" applyBorder="1" applyAlignment="1">
      <alignment horizontal="center" vertical="center" wrapText="1"/>
    </xf>
    <xf numFmtId="4" fontId="51" fillId="0" borderId="52" xfId="0" applyNumberFormat="1" applyFont="1" applyBorder="1" applyAlignment="1">
      <alignment horizontal="center" vertical="center" wrapText="1"/>
    </xf>
    <xf numFmtId="4" fontId="51" fillId="0" borderId="7" xfId="0" applyNumberFormat="1" applyFont="1" applyBorder="1" applyAlignment="1">
      <alignment horizontal="center" vertical="center" wrapText="1"/>
    </xf>
    <xf numFmtId="4" fontId="51" fillId="0" borderId="53" xfId="0" applyNumberFormat="1" applyFont="1" applyBorder="1" applyAlignment="1">
      <alignment horizontal="center" vertical="center"/>
    </xf>
    <xf numFmtId="4" fontId="51" fillId="0" borderId="53" xfId="0" applyNumberFormat="1" applyFont="1" applyBorder="1" applyAlignment="1">
      <alignment horizontal="center" vertical="center" wrapText="1"/>
    </xf>
    <xf numFmtId="4" fontId="51" fillId="42" borderId="5" xfId="0" applyNumberFormat="1" applyFont="1" applyFill="1" applyBorder="1" applyAlignment="1">
      <alignment horizontal="center" vertical="center"/>
    </xf>
    <xf numFmtId="0" fontId="18" fillId="0" borderId="61" xfId="0" applyFont="1" applyBorder="1" applyAlignment="1">
      <alignment vertical="center"/>
    </xf>
    <xf numFmtId="0" fontId="18" fillId="0" borderId="62" xfId="0" applyFont="1" applyBorder="1" applyAlignment="1">
      <alignment vertical="center" wrapText="1"/>
    </xf>
    <xf numFmtId="0" fontId="18" fillId="0" borderId="62" xfId="0" applyFont="1" applyBorder="1" applyAlignment="1">
      <alignment horizontal="center" vertical="center" wrapText="1"/>
    </xf>
    <xf numFmtId="4" fontId="18" fillId="0" borderId="63" xfId="0" applyNumberFormat="1" applyFont="1" applyBorder="1" applyAlignment="1">
      <alignment vertical="center" wrapText="1"/>
    </xf>
    <xf numFmtId="4" fontId="18" fillId="0" borderId="61" xfId="0" applyNumberFormat="1" applyFont="1" applyBorder="1" applyAlignment="1">
      <alignment vertical="center" wrapText="1"/>
    </xf>
    <xf numFmtId="4" fontId="18" fillId="0" borderId="62" xfId="0" applyNumberFormat="1" applyFont="1" applyBorder="1" applyAlignment="1">
      <alignment horizontal="right" vertical="center"/>
    </xf>
    <xf numFmtId="4" fontId="18" fillId="0" borderId="62" xfId="0" applyNumberFormat="1" applyFont="1" applyBorder="1" applyAlignment="1">
      <alignment vertical="center"/>
    </xf>
    <xf numFmtId="4" fontId="18" fillId="0" borderId="63" xfId="0" applyNumberFormat="1" applyFont="1" applyBorder="1" applyAlignment="1">
      <alignment vertical="center"/>
    </xf>
    <xf numFmtId="4" fontId="18" fillId="0" borderId="61" xfId="0" applyNumberFormat="1" applyFont="1" applyBorder="1" applyAlignment="1">
      <alignment vertical="center"/>
    </xf>
    <xf numFmtId="4" fontId="18" fillId="0" borderId="33" xfId="0" applyNumberFormat="1" applyFont="1" applyBorder="1" applyAlignment="1">
      <alignment vertical="center"/>
    </xf>
    <xf numFmtId="4" fontId="18" fillId="0" borderId="60" xfId="0" applyNumberFormat="1" applyFont="1" applyBorder="1" applyAlignment="1">
      <alignment vertical="center"/>
    </xf>
    <xf numFmtId="0" fontId="18" fillId="0" borderId="37" xfId="0" applyFont="1" applyBorder="1" applyAlignment="1">
      <alignment vertical="center"/>
    </xf>
    <xf numFmtId="0" fontId="18" fillId="0" borderId="38" xfId="0" applyFont="1" applyBorder="1" applyAlignment="1">
      <alignment vertical="center" wrapText="1"/>
    </xf>
    <xf numFmtId="0" fontId="18" fillId="0" borderId="38" xfId="0" applyFont="1" applyBorder="1" applyAlignment="1">
      <alignment horizontal="center" vertical="center" wrapText="1"/>
    </xf>
    <xf numFmtId="4" fontId="18" fillId="0" borderId="56" xfId="0" applyNumberFormat="1" applyFont="1" applyBorder="1" applyAlignment="1">
      <alignment vertical="center" wrapText="1"/>
    </xf>
    <xf numFmtId="4" fontId="18" fillId="0" borderId="37" xfId="0" applyNumberFormat="1" applyFont="1" applyBorder="1" applyAlignment="1">
      <alignment vertical="center" wrapText="1"/>
    </xf>
    <xf numFmtId="4" fontId="18" fillId="0" borderId="38" xfId="0" applyNumberFormat="1" applyFont="1" applyBorder="1" applyAlignment="1">
      <alignment horizontal="right" vertical="center"/>
    </xf>
    <xf numFmtId="4" fontId="18" fillId="0" borderId="38" xfId="0" applyNumberFormat="1" applyFont="1" applyBorder="1" applyAlignment="1">
      <alignment vertical="center"/>
    </xf>
    <xf numFmtId="4" fontId="18" fillId="0" borderId="56" xfId="0" applyNumberFormat="1" applyFont="1" applyBorder="1" applyAlignment="1">
      <alignment vertical="center"/>
    </xf>
    <xf numFmtId="4" fontId="18" fillId="0" borderId="37" xfId="0" applyNumberFormat="1" applyFont="1" applyBorder="1" applyAlignment="1">
      <alignment vertical="center"/>
    </xf>
    <xf numFmtId="4" fontId="18" fillId="0" borderId="58" xfId="0" applyNumberFormat="1" applyFont="1" applyBorder="1" applyAlignment="1">
      <alignment vertical="center"/>
    </xf>
    <xf numFmtId="4" fontId="18" fillId="0" borderId="39" xfId="0" applyNumberFormat="1" applyFont="1" applyBorder="1" applyAlignment="1">
      <alignment vertical="center"/>
    </xf>
    <xf numFmtId="4" fontId="18" fillId="0" borderId="37" xfId="0" applyNumberFormat="1" applyFont="1" applyBorder="1" applyAlignment="1">
      <alignment horizontal="right" vertical="center"/>
    </xf>
    <xf numFmtId="0" fontId="51" fillId="0" borderId="38" xfId="0" applyFont="1" applyBorder="1" applyAlignment="1">
      <alignment vertical="center" wrapText="1"/>
    </xf>
    <xf numFmtId="4" fontId="51" fillId="0" borderId="38" xfId="0" applyNumberFormat="1" applyFont="1" applyBorder="1" applyAlignment="1">
      <alignment horizontal="right" vertical="center"/>
    </xf>
    <xf numFmtId="0" fontId="51" fillId="0" borderId="37" xfId="0" applyFont="1" applyBorder="1" applyAlignment="1">
      <alignment vertical="center"/>
    </xf>
    <xf numFmtId="0" fontId="51" fillId="0" borderId="38" xfId="0" applyFont="1" applyBorder="1" applyAlignment="1">
      <alignment horizontal="center" vertical="center" wrapText="1"/>
    </xf>
    <xf numFmtId="4" fontId="51" fillId="0" borderId="56" xfId="0" applyNumberFormat="1" applyFont="1" applyBorder="1" applyAlignment="1">
      <alignment vertical="center" wrapText="1"/>
    </xf>
    <xf numFmtId="4" fontId="51" fillId="0" borderId="37" xfId="0" applyNumberFormat="1" applyFont="1" applyBorder="1" applyAlignment="1">
      <alignment vertical="center" wrapText="1"/>
    </xf>
    <xf numFmtId="4" fontId="51" fillId="0" borderId="38" xfId="0" applyNumberFormat="1" applyFont="1" applyBorder="1" applyAlignment="1">
      <alignment vertical="center"/>
    </xf>
    <xf numFmtId="4" fontId="51" fillId="0" borderId="56" xfId="0" applyNumberFormat="1" applyFont="1" applyBorder="1" applyAlignment="1">
      <alignment vertical="center"/>
    </xf>
    <xf numFmtId="4" fontId="51" fillId="0" borderId="37" xfId="0" applyNumberFormat="1" applyFont="1" applyBorder="1" applyAlignment="1">
      <alignment vertical="center"/>
    </xf>
    <xf numFmtId="4" fontId="51" fillId="0" borderId="58" xfId="0" applyNumberFormat="1" applyFont="1" applyBorder="1" applyAlignment="1">
      <alignment vertical="center"/>
    </xf>
    <xf numFmtId="4" fontId="51" fillId="0" borderId="39" xfId="0" applyNumberFormat="1" applyFont="1" applyBorder="1" applyAlignment="1">
      <alignment vertical="center"/>
    </xf>
    <xf numFmtId="4" fontId="51" fillId="0" borderId="0" xfId="0" applyNumberFormat="1" applyFont="1" applyAlignment="1">
      <alignment vertical="center"/>
    </xf>
    <xf numFmtId="9" fontId="18" fillId="0" borderId="38" xfId="0" applyNumberFormat="1" applyFont="1" applyBorder="1" applyAlignment="1">
      <alignment horizontal="center" vertical="center" wrapText="1"/>
    </xf>
    <xf numFmtId="0" fontId="18" fillId="0" borderId="40" xfId="0" applyFont="1" applyBorder="1" applyAlignment="1">
      <alignment vertical="center"/>
    </xf>
    <xf numFmtId="0" fontId="18" fillId="0" borderId="41" xfId="0" applyFont="1" applyBorder="1" applyAlignment="1">
      <alignment vertical="center" wrapText="1"/>
    </xf>
    <xf numFmtId="0" fontId="18" fillId="0" borderId="41" xfId="0" applyFont="1" applyBorder="1" applyAlignment="1">
      <alignment horizontal="center" vertical="center" wrapText="1"/>
    </xf>
    <xf numFmtId="4" fontId="18" fillId="0" borderId="57" xfId="0" applyNumberFormat="1" applyFont="1" applyBorder="1" applyAlignment="1">
      <alignment vertical="center" wrapText="1"/>
    </xf>
    <xf numFmtId="4" fontId="18" fillId="0" borderId="40" xfId="0" applyNumberFormat="1" applyFont="1" applyBorder="1" applyAlignment="1">
      <alignment vertical="center" wrapText="1"/>
    </xf>
    <xf numFmtId="10" fontId="18" fillId="0" borderId="41" xfId="0" applyNumberFormat="1" applyFont="1" applyBorder="1" applyAlignment="1">
      <alignment horizontal="right" vertical="center"/>
    </xf>
    <xf numFmtId="4" fontId="18" fillId="0" borderId="41" xfId="0" applyNumberFormat="1" applyFont="1" applyBorder="1" applyAlignment="1">
      <alignment vertical="center"/>
    </xf>
    <xf numFmtId="4" fontId="18" fillId="0" borderId="57" xfId="0" applyNumberFormat="1" applyFont="1" applyBorder="1" applyAlignment="1">
      <alignment vertical="center"/>
    </xf>
    <xf numFmtId="4" fontId="18" fillId="0" borderId="40" xfId="0" applyNumberFormat="1" applyFont="1" applyBorder="1" applyAlignment="1">
      <alignment vertical="center"/>
    </xf>
    <xf numFmtId="4" fontId="18" fillId="0" borderId="59" xfId="0" applyNumberFormat="1" applyFont="1" applyBorder="1" applyAlignment="1">
      <alignment vertical="center"/>
    </xf>
    <xf numFmtId="4" fontId="18" fillId="0" borderId="42" xfId="0" applyNumberFormat="1" applyFont="1" applyBorder="1" applyAlignment="1">
      <alignment vertical="center"/>
    </xf>
    <xf numFmtId="0" fontId="51" fillId="0" borderId="1" xfId="0" applyFont="1" applyBorder="1" applyAlignment="1">
      <alignment horizontal="center" vertical="center"/>
    </xf>
    <xf numFmtId="0" fontId="18" fillId="0" borderId="64" xfId="0" applyFont="1" applyBorder="1" applyAlignment="1">
      <alignment vertical="center"/>
    </xf>
    <xf numFmtId="0" fontId="18" fillId="0" borderId="65" xfId="0" applyFont="1" applyBorder="1" applyAlignment="1">
      <alignment vertical="center" wrapText="1"/>
    </xf>
    <xf numFmtId="0" fontId="18" fillId="0" borderId="65" xfId="0" applyFont="1" applyBorder="1" applyAlignment="1">
      <alignment horizontal="center" vertical="center" wrapText="1"/>
    </xf>
    <xf numFmtId="4" fontId="18" fillId="0" borderId="66" xfId="0" applyNumberFormat="1" applyFont="1" applyBorder="1" applyAlignment="1">
      <alignment vertical="center" wrapText="1"/>
    </xf>
    <xf numFmtId="4" fontId="18" fillId="0" borderId="64" xfId="0" applyNumberFormat="1" applyFont="1" applyBorder="1" applyAlignment="1">
      <alignment vertical="center" wrapText="1"/>
    </xf>
    <xf numFmtId="4" fontId="18" fillId="0" borderId="65" xfId="0" applyNumberFormat="1" applyFont="1" applyBorder="1" applyAlignment="1">
      <alignment horizontal="right" vertical="center"/>
    </xf>
    <xf numFmtId="4" fontId="18" fillId="0" borderId="65" xfId="0" applyNumberFormat="1" applyFont="1" applyBorder="1" applyAlignment="1">
      <alignment vertical="center"/>
    </xf>
    <xf numFmtId="4" fontId="18" fillId="0" borderId="66" xfId="0" applyNumberFormat="1" applyFont="1" applyBorder="1" applyAlignment="1">
      <alignment vertical="center"/>
    </xf>
    <xf numFmtId="4" fontId="18" fillId="0" borderId="64" xfId="0" applyNumberFormat="1" applyFont="1" applyBorder="1" applyAlignment="1">
      <alignment vertical="center"/>
    </xf>
    <xf numFmtId="4" fontId="18" fillId="0" borderId="21" xfId="0" applyNumberFormat="1" applyFont="1" applyBorder="1" applyAlignment="1">
      <alignment vertical="center"/>
    </xf>
    <xf numFmtId="4" fontId="18" fillId="0" borderId="67" xfId="0" applyNumberFormat="1" applyFont="1" applyBorder="1" applyAlignment="1">
      <alignment vertical="center"/>
    </xf>
    <xf numFmtId="4" fontId="18" fillId="0" borderId="53" xfId="0" applyNumberFormat="1" applyFont="1" applyBorder="1" applyAlignment="1">
      <alignment horizontal="right" vertical="center"/>
    </xf>
    <xf numFmtId="4" fontId="18" fillId="0" borderId="53" xfId="0" applyNumberFormat="1" applyFont="1" applyBorder="1" applyAlignment="1">
      <alignment vertical="center"/>
    </xf>
    <xf numFmtId="4" fontId="18" fillId="0" borderId="4" xfId="0" applyNumberFormat="1" applyFont="1" applyBorder="1" applyAlignment="1">
      <alignment vertical="center"/>
    </xf>
    <xf numFmtId="4" fontId="18" fillId="0" borderId="1" xfId="0" applyNumberFormat="1" applyFont="1" applyBorder="1" applyAlignment="1">
      <alignment vertical="center"/>
    </xf>
    <xf numFmtId="4" fontId="18" fillId="0" borderId="5" xfId="0" applyNumberFormat="1" applyFont="1" applyBorder="1" applyAlignment="1">
      <alignment vertical="center"/>
    </xf>
    <xf numFmtId="0" fontId="21" fillId="0" borderId="0" xfId="0" applyFont="1" applyAlignment="1">
      <alignment horizontal="center" vertical="center"/>
    </xf>
    <xf numFmtId="4" fontId="6" fillId="0" borderId="0" xfId="9" applyNumberFormat="1" applyFont="1" applyAlignment="1">
      <alignment horizontal="center" vertical="center"/>
    </xf>
    <xf numFmtId="4" fontId="6" fillId="0" borderId="0" xfId="4" applyNumberFormat="1" applyFont="1" applyFill="1" applyAlignment="1">
      <alignment horizontal="center" vertical="center"/>
    </xf>
    <xf numFmtId="4" fontId="6" fillId="0" borderId="0" xfId="8" applyNumberFormat="1" applyFont="1" applyAlignment="1">
      <alignment vertical="center" wrapText="1"/>
    </xf>
    <xf numFmtId="4" fontId="6" fillId="0" borderId="0" xfId="8" applyNumberFormat="1" applyFont="1" applyAlignment="1">
      <alignment vertical="top"/>
    </xf>
    <xf numFmtId="4" fontId="6" fillId="0" borderId="0" xfId="9" applyNumberFormat="1" applyFont="1" applyAlignment="1">
      <alignment vertical="top"/>
    </xf>
    <xf numFmtId="4" fontId="6" fillId="0" borderId="0" xfId="0" applyNumberFormat="1" applyFont="1" applyAlignment="1">
      <alignment vertical="top"/>
    </xf>
    <xf numFmtId="0" fontId="6" fillId="0" borderId="0" xfId="143"/>
    <xf numFmtId="179" fontId="8" fillId="0" borderId="67" xfId="143" applyNumberFormat="1" applyFont="1" applyBorder="1" applyAlignment="1">
      <alignment horizontal="center"/>
    </xf>
    <xf numFmtId="179" fontId="6" fillId="0" borderId="5" xfId="143" applyNumberFormat="1" applyBorder="1" applyAlignment="1">
      <alignment horizontal="center"/>
    </xf>
    <xf numFmtId="179" fontId="6" fillId="0" borderId="51" xfId="143" applyNumberFormat="1" applyBorder="1" applyAlignment="1">
      <alignment horizontal="center"/>
    </xf>
    <xf numFmtId="179" fontId="6" fillId="0" borderId="5" xfId="143" applyNumberFormat="1" applyBorder="1" applyAlignment="1">
      <alignment horizontal="center" vertical="center" wrapText="1"/>
    </xf>
    <xf numFmtId="0" fontId="6" fillId="0" borderId="28" xfId="143" applyBorder="1" applyAlignment="1">
      <alignment horizontal="center" vertical="center" wrapText="1"/>
    </xf>
    <xf numFmtId="179" fontId="9" fillId="0" borderId="6" xfId="143" applyNumberFormat="1" applyFont="1" applyBorder="1" applyAlignment="1">
      <alignment horizontal="center" vertical="center" wrapText="1"/>
    </xf>
    <xf numFmtId="179" fontId="9" fillId="0" borderId="8" xfId="143" applyNumberFormat="1" applyFont="1" applyBorder="1" applyAlignment="1">
      <alignment horizontal="center" vertical="center" wrapText="1"/>
    </xf>
    <xf numFmtId="0" fontId="6" fillId="0" borderId="13" xfId="143" applyBorder="1" applyAlignment="1">
      <alignment horizontal="center" vertical="center" wrapText="1"/>
    </xf>
    <xf numFmtId="0" fontId="9" fillId="0" borderId="16" xfId="143" applyFont="1" applyBorder="1" applyAlignment="1">
      <alignment horizontal="center" vertical="center" wrapText="1"/>
    </xf>
    <xf numFmtId="0" fontId="9" fillId="0" borderId="0" xfId="143" applyFont="1" applyAlignment="1">
      <alignment vertical="center" wrapText="1"/>
    </xf>
    <xf numFmtId="0" fontId="6" fillId="7" borderId="16" xfId="143" applyFill="1" applyBorder="1" applyAlignment="1">
      <alignment horizontal="center" vertical="center" wrapText="1"/>
    </xf>
    <xf numFmtId="179" fontId="9" fillId="0" borderId="5" xfId="143" applyNumberFormat="1" applyFont="1" applyBorder="1" applyAlignment="1">
      <alignment horizontal="center" vertical="center" wrapText="1"/>
    </xf>
    <xf numFmtId="179" fontId="9" fillId="0" borderId="2" xfId="143" applyNumberFormat="1" applyFont="1" applyBorder="1" applyAlignment="1">
      <alignment horizontal="center" vertical="center" wrapText="1"/>
    </xf>
    <xf numFmtId="0" fontId="6" fillId="0" borderId="2" xfId="143" applyBorder="1" applyAlignment="1">
      <alignment horizontal="center" vertical="center" wrapText="1"/>
    </xf>
    <xf numFmtId="0" fontId="9" fillId="0" borderId="5" xfId="143" applyFont="1" applyBorder="1" applyAlignment="1">
      <alignment horizontal="center" vertical="center" wrapText="1"/>
    </xf>
    <xf numFmtId="0" fontId="9" fillId="0" borderId="28" xfId="143" applyFont="1" applyBorder="1" applyAlignment="1">
      <alignment vertical="center" wrapText="1"/>
    </xf>
    <xf numFmtId="0" fontId="6" fillId="0" borderId="5" xfId="143" applyBorder="1" applyAlignment="1">
      <alignment horizontal="center" vertical="center" wrapText="1"/>
    </xf>
    <xf numFmtId="0" fontId="6" fillId="7" borderId="5" xfId="143" applyFill="1" applyBorder="1" applyAlignment="1">
      <alignment horizontal="center" vertical="center" wrapText="1"/>
    </xf>
    <xf numFmtId="179" fontId="9" fillId="7" borderId="2" xfId="143" applyNumberFormat="1" applyFont="1" applyFill="1" applyBorder="1" applyAlignment="1">
      <alignment horizontal="center" vertical="center" wrapText="1"/>
    </xf>
    <xf numFmtId="0" fontId="18" fillId="0" borderId="2" xfId="143" applyFont="1" applyBorder="1" applyAlignment="1">
      <alignment horizontal="center" vertical="center" wrapText="1"/>
    </xf>
    <xf numFmtId="0" fontId="9" fillId="7" borderId="28" xfId="143" applyFont="1" applyFill="1" applyBorder="1" applyAlignment="1">
      <alignment vertical="center" wrapText="1"/>
    </xf>
    <xf numFmtId="0" fontId="9" fillId="0" borderId="1" xfId="143" applyFont="1" applyBorder="1" applyAlignment="1">
      <alignment vertical="center" wrapText="1"/>
    </xf>
    <xf numFmtId="179" fontId="6" fillId="0" borderId="2" xfId="143" applyNumberFormat="1" applyBorder="1" applyAlignment="1">
      <alignment horizontal="center" vertical="center" wrapText="1"/>
    </xf>
    <xf numFmtId="0" fontId="6" fillId="0" borderId="6" xfId="143" applyBorder="1" applyAlignment="1">
      <alignment horizontal="center" vertical="center" wrapText="1"/>
    </xf>
    <xf numFmtId="0" fontId="9" fillId="0" borderId="6" xfId="143" applyFont="1" applyBorder="1" applyAlignment="1">
      <alignment horizontal="center" vertical="center" wrapText="1"/>
    </xf>
    <xf numFmtId="0" fontId="9" fillId="0" borderId="6" xfId="143" applyFont="1" applyBorder="1" applyAlignment="1">
      <alignment vertical="center" wrapText="1"/>
    </xf>
    <xf numFmtId="0" fontId="6" fillId="7" borderId="12" xfId="143" applyFill="1" applyBorder="1" applyAlignment="1">
      <alignment horizontal="center" vertical="center" wrapText="1"/>
    </xf>
    <xf numFmtId="0" fontId="9" fillId="0" borderId="5" xfId="143" applyFont="1" applyBorder="1" applyAlignment="1">
      <alignment vertical="center" wrapText="1"/>
    </xf>
    <xf numFmtId="0" fontId="6" fillId="7" borderId="1" xfId="143" applyFill="1" applyBorder="1" applyAlignment="1">
      <alignment horizontal="center" vertical="center" wrapText="1"/>
    </xf>
    <xf numFmtId="179" fontId="9" fillId="0" borderId="67" xfId="143" applyNumberFormat="1" applyFont="1" applyBorder="1" applyAlignment="1">
      <alignment horizontal="center" vertical="center" wrapText="1"/>
    </xf>
    <xf numFmtId="0" fontId="6" fillId="0" borderId="67" xfId="143" applyBorder="1" applyAlignment="1">
      <alignment horizontal="center" vertical="center" wrapText="1"/>
    </xf>
    <xf numFmtId="0" fontId="9" fillId="0" borderId="67" xfId="143" applyFont="1" applyBorder="1" applyAlignment="1">
      <alignment horizontal="center" vertical="center" wrapText="1"/>
    </xf>
    <xf numFmtId="0" fontId="9" fillId="0" borderId="67" xfId="143" applyFont="1" applyBorder="1" applyAlignment="1">
      <alignment vertical="center" wrapText="1"/>
    </xf>
    <xf numFmtId="0" fontId="6" fillId="7" borderId="20" xfId="143" applyFill="1" applyBorder="1" applyAlignment="1">
      <alignment horizontal="center" vertical="center" wrapText="1"/>
    </xf>
    <xf numFmtId="0" fontId="6" fillId="0" borderId="1" xfId="143" applyBorder="1" applyAlignment="1">
      <alignment horizontal="center" vertical="center" wrapText="1"/>
    </xf>
    <xf numFmtId="0" fontId="9" fillId="7" borderId="5" xfId="143" applyFont="1" applyFill="1" applyBorder="1" applyAlignment="1">
      <alignment vertical="center" wrapText="1"/>
    </xf>
    <xf numFmtId="0" fontId="18" fillId="0" borderId="5" xfId="143" applyFont="1" applyBorder="1" applyAlignment="1">
      <alignment horizontal="center" vertical="center" wrapText="1"/>
    </xf>
    <xf numFmtId="0" fontId="18" fillId="0" borderId="28" xfId="143" applyFont="1" applyBorder="1" applyAlignment="1">
      <alignment horizontal="center" vertical="center" wrapText="1"/>
    </xf>
    <xf numFmtId="0" fontId="18" fillId="0" borderId="51" xfId="143" applyFont="1" applyBorder="1" applyAlignment="1">
      <alignment horizontal="center" vertical="center" wrapText="1"/>
    </xf>
    <xf numFmtId="0" fontId="8" fillId="0" borderId="0" xfId="143" applyFont="1" applyAlignment="1">
      <alignment horizontal="center" vertical="center" wrapText="1"/>
    </xf>
    <xf numFmtId="0" fontId="8" fillId="0" borderId="5" xfId="143" applyFont="1" applyBorder="1" applyAlignment="1">
      <alignment horizontal="center" vertical="center" wrapText="1"/>
    </xf>
    <xf numFmtId="0" fontId="8" fillId="0" borderId="28" xfId="143" applyFont="1" applyBorder="1" applyAlignment="1">
      <alignment horizontal="center" vertical="center" wrapText="1"/>
    </xf>
    <xf numFmtId="0" fontId="8" fillId="0" borderId="9" xfId="143" applyFont="1" applyBorder="1" applyAlignment="1">
      <alignment horizontal="center" vertical="center" wrapText="1"/>
    </xf>
    <xf numFmtId="0" fontId="8" fillId="0" borderId="0" xfId="143" applyFont="1" applyAlignment="1">
      <alignment horizontal="center" vertical="center"/>
    </xf>
    <xf numFmtId="4" fontId="6" fillId="0" borderId="0" xfId="143" applyNumberFormat="1" applyAlignment="1">
      <alignment horizontal="right"/>
    </xf>
    <xf numFmtId="4" fontId="8" fillId="46" borderId="5" xfId="143" applyNumberFormat="1" applyFont="1" applyFill="1" applyBorder="1" applyAlignment="1">
      <alignment horizontal="center" vertical="center" wrapText="1"/>
    </xf>
    <xf numFmtId="4" fontId="8" fillId="46" borderId="5" xfId="143" applyNumberFormat="1" applyFont="1" applyFill="1" applyBorder="1" applyAlignment="1">
      <alignment horizontal="right" vertical="center" wrapText="1"/>
    </xf>
    <xf numFmtId="4" fontId="9" fillId="0" borderId="5" xfId="143" applyNumberFormat="1" applyFont="1" applyBorder="1" applyAlignment="1">
      <alignment horizontal="right" vertical="center" wrapText="1"/>
    </xf>
    <xf numFmtId="4" fontId="9" fillId="0" borderId="67" xfId="143" applyNumberFormat="1" applyFont="1" applyBorder="1" applyAlignment="1">
      <alignment horizontal="right" vertical="center" wrapText="1"/>
    </xf>
    <xf numFmtId="4" fontId="9" fillId="0" borderId="6" xfId="143" applyNumberFormat="1" applyFont="1" applyBorder="1" applyAlignment="1">
      <alignment horizontal="right" vertical="center" wrapText="1"/>
    </xf>
    <xf numFmtId="4" fontId="6" fillId="0" borderId="2" xfId="143" applyNumberFormat="1" applyBorder="1" applyAlignment="1">
      <alignment horizontal="right" vertical="center" wrapText="1"/>
    </xf>
    <xf numFmtId="4" fontId="6" fillId="0" borderId="5" xfId="143" applyNumberFormat="1" applyBorder="1" applyAlignment="1">
      <alignment horizontal="right" vertical="center" wrapText="1"/>
    </xf>
    <xf numFmtId="4" fontId="6" fillId="0" borderId="51" xfId="143" applyNumberFormat="1" applyBorder="1" applyAlignment="1">
      <alignment horizontal="right"/>
    </xf>
    <xf numFmtId="4" fontId="6" fillId="0" borderId="5" xfId="143" applyNumberFormat="1" applyBorder="1" applyAlignment="1">
      <alignment horizontal="right"/>
    </xf>
    <xf numFmtId="4" fontId="8" fillId="0" borderId="67" xfId="143" applyNumberFormat="1" applyFont="1" applyBorder="1" applyAlignment="1">
      <alignment horizontal="right"/>
    </xf>
    <xf numFmtId="4" fontId="49" fillId="0" borderId="5" xfId="143" applyNumberFormat="1" applyFont="1" applyBorder="1" applyAlignment="1">
      <alignment horizontal="right" vertical="center" wrapText="1"/>
    </xf>
    <xf numFmtId="4" fontId="8" fillId="0" borderId="0" xfId="143" applyNumberFormat="1" applyFont="1" applyAlignment="1">
      <alignment horizontal="right"/>
    </xf>
    <xf numFmtId="4" fontId="6" fillId="0" borderId="0" xfId="143" applyNumberFormat="1"/>
    <xf numFmtId="4" fontId="8" fillId="0" borderId="5" xfId="143" applyNumberFormat="1" applyFont="1" applyBorder="1" applyAlignment="1">
      <alignment horizontal="center" vertical="center" wrapText="1"/>
    </xf>
    <xf numFmtId="4" fontId="9" fillId="0" borderId="5" xfId="143" applyNumberFormat="1" applyFont="1" applyBorder="1" applyAlignment="1">
      <alignment horizontal="center" vertical="center" wrapText="1"/>
    </xf>
    <xf numFmtId="4" fontId="9" fillId="0" borderId="67" xfId="143" applyNumberFormat="1" applyFont="1" applyBorder="1" applyAlignment="1">
      <alignment horizontal="center" vertical="center" wrapText="1"/>
    </xf>
    <xf numFmtId="4" fontId="9" fillId="0" borderId="6" xfId="143" applyNumberFormat="1" applyFont="1" applyBorder="1" applyAlignment="1">
      <alignment horizontal="center" vertical="center" wrapText="1"/>
    </xf>
    <xf numFmtId="4" fontId="6" fillId="0" borderId="2" xfId="143" applyNumberFormat="1" applyBorder="1" applyAlignment="1">
      <alignment horizontal="center" vertical="center" wrapText="1"/>
    </xf>
    <xf numFmtId="4" fontId="6" fillId="0" borderId="5" xfId="143" applyNumberFormat="1" applyBorder="1" applyAlignment="1">
      <alignment horizontal="center" vertical="center" wrapText="1"/>
    </xf>
    <xf numFmtId="4" fontId="6" fillId="0" borderId="51" xfId="143" applyNumberFormat="1" applyBorder="1" applyAlignment="1">
      <alignment horizontal="center"/>
    </xf>
    <xf numFmtId="4" fontId="6" fillId="0" borderId="5" xfId="143" applyNumberFormat="1" applyBorder="1" applyAlignment="1">
      <alignment horizontal="center"/>
    </xf>
    <xf numFmtId="4" fontId="8" fillId="0" borderId="67" xfId="143" applyNumberFormat="1" applyFont="1" applyBorder="1" applyAlignment="1">
      <alignment horizontal="center"/>
    </xf>
    <xf numFmtId="0" fontId="18" fillId="0" borderId="0" xfId="0" applyFont="1" applyAlignment="1">
      <alignment vertical="top"/>
    </xf>
    <xf numFmtId="0" fontId="8" fillId="0" borderId="10" xfId="9" applyFont="1" applyBorder="1" applyAlignment="1">
      <alignment horizontal="center" vertical="top"/>
    </xf>
    <xf numFmtId="0" fontId="18" fillId="0" borderId="11" xfId="0" applyFont="1" applyBorder="1" applyAlignment="1">
      <alignment vertical="top"/>
    </xf>
    <xf numFmtId="0" fontId="8" fillId="0" borderId="0" xfId="9" applyFont="1" applyAlignment="1">
      <alignment horizontal="center" vertical="top" wrapText="1"/>
    </xf>
    <xf numFmtId="0" fontId="18" fillId="0" borderId="13" xfId="0" applyFont="1" applyBorder="1" applyAlignment="1">
      <alignment vertical="top"/>
    </xf>
    <xf numFmtId="3" fontId="13" fillId="0" borderId="0" xfId="11" applyNumberFormat="1" applyFont="1" applyAlignment="1">
      <alignment horizontal="center" vertical="top" wrapText="1"/>
    </xf>
    <xf numFmtId="0" fontId="18" fillId="0" borderId="12" xfId="0" applyFont="1" applyBorder="1" applyAlignment="1">
      <alignment vertical="top"/>
    </xf>
    <xf numFmtId="0" fontId="8" fillId="44" borderId="49" xfId="0" applyFont="1" applyFill="1" applyBorder="1" applyAlignment="1">
      <alignment horizontal="center" vertical="top"/>
    </xf>
    <xf numFmtId="0" fontId="8" fillId="8" borderId="53" xfId="0" applyFont="1" applyFill="1" applyBorder="1" applyAlignment="1">
      <alignment horizontal="center" vertical="center" wrapText="1"/>
    </xf>
    <xf numFmtId="0" fontId="8" fillId="8" borderId="7" xfId="0" applyFont="1" applyFill="1" applyBorder="1" applyAlignment="1">
      <alignment horizontal="center" vertical="center"/>
    </xf>
    <xf numFmtId="0" fontId="8" fillId="8" borderId="53" xfId="0" applyFont="1" applyFill="1" applyBorder="1" applyAlignment="1">
      <alignment horizontal="center" vertical="center"/>
    </xf>
    <xf numFmtId="0" fontId="21" fillId="0" borderId="0" xfId="0" applyFont="1"/>
    <xf numFmtId="15" fontId="0" fillId="0" borderId="0" xfId="0" applyNumberFormat="1"/>
    <xf numFmtId="4" fontId="6" fillId="47" borderId="0" xfId="8" applyNumberFormat="1" applyFont="1" applyFill="1" applyAlignment="1">
      <alignment horizontal="right" vertical="center"/>
    </xf>
    <xf numFmtId="4" fontId="8" fillId="47" borderId="0" xfId="8" applyNumberFormat="1" applyFont="1" applyFill="1" applyAlignment="1">
      <alignment horizontal="right" vertical="center"/>
    </xf>
    <xf numFmtId="0" fontId="6" fillId="47" borderId="0" xfId="8" applyFont="1" applyFill="1" applyAlignment="1">
      <alignment horizontal="left" vertical="center" wrapText="1"/>
    </xf>
    <xf numFmtId="4" fontId="6" fillId="47" borderId="0" xfId="8" applyNumberFormat="1" applyFont="1" applyFill="1" applyAlignment="1">
      <alignment vertical="center"/>
    </xf>
    <xf numFmtId="0" fontId="6" fillId="47" borderId="0" xfId="8" applyFont="1" applyFill="1" applyAlignment="1">
      <alignment vertical="center"/>
    </xf>
    <xf numFmtId="0" fontId="8" fillId="47" borderId="0" xfId="8" applyFont="1" applyFill="1" applyAlignment="1">
      <alignment vertical="center"/>
    </xf>
    <xf numFmtId="2" fontId="8" fillId="47" borderId="0" xfId="8" applyNumberFormat="1" applyFont="1" applyFill="1" applyAlignment="1">
      <alignment vertical="center"/>
    </xf>
    <xf numFmtId="0" fontId="8" fillId="0" borderId="0" xfId="8" applyFont="1" applyAlignment="1">
      <alignment vertical="center"/>
    </xf>
    <xf numFmtId="0" fontId="14" fillId="0" borderId="26" xfId="0" applyFont="1" applyBorder="1" applyAlignment="1">
      <alignment horizontal="center" vertical="center"/>
    </xf>
    <xf numFmtId="15" fontId="6" fillId="0" borderId="0" xfId="0" applyNumberFormat="1" applyFont="1" applyAlignment="1">
      <alignment horizontal="center" vertical="center"/>
    </xf>
    <xf numFmtId="0" fontId="18" fillId="0" borderId="0" xfId="0" applyFont="1" applyAlignment="1">
      <alignment horizontal="justify" vertical="center" wrapText="1"/>
    </xf>
    <xf numFmtId="0" fontId="11" fillId="47" borderId="0" xfId="8" applyFont="1" applyFill="1" applyAlignment="1">
      <alignment horizontal="left" vertical="center" wrapText="1"/>
    </xf>
    <xf numFmtId="0" fontId="14" fillId="0" borderId="0" xfId="0" applyFont="1" applyAlignment="1">
      <alignment horizontal="center" vertical="center"/>
    </xf>
    <xf numFmtId="4" fontId="6" fillId="7" borderId="0" xfId="8" applyNumberFormat="1" applyFont="1" applyFill="1" applyAlignment="1">
      <alignment horizontal="left" vertical="center"/>
    </xf>
    <xf numFmtId="4" fontId="14" fillId="40" borderId="26" xfId="0" applyNumberFormat="1" applyFont="1" applyFill="1" applyBorder="1" applyAlignment="1">
      <alignment horizontal="center" vertical="center"/>
    </xf>
    <xf numFmtId="0" fontId="6" fillId="0" borderId="70" xfId="0" applyFont="1" applyBorder="1" applyAlignment="1">
      <alignment horizontal="justify" vertical="center"/>
    </xf>
    <xf numFmtId="0" fontId="0" fillId="39" borderId="21" xfId="0" applyFill="1" applyBorder="1" applyAlignment="1">
      <alignment vertical="center"/>
    </xf>
    <xf numFmtId="4" fontId="6" fillId="40" borderId="0" xfId="0" applyNumberFormat="1" applyFont="1" applyFill="1" applyAlignment="1">
      <alignment horizontal="center" vertical="center"/>
    </xf>
    <xf numFmtId="0" fontId="6" fillId="0" borderId="49" xfId="0" applyFont="1" applyBorder="1" applyAlignment="1">
      <alignment horizontal="center" vertical="top"/>
    </xf>
    <xf numFmtId="0" fontId="14" fillId="0" borderId="0" xfId="0" applyFont="1" applyAlignment="1">
      <alignment horizontal="center" vertical="top" wrapText="1"/>
    </xf>
    <xf numFmtId="0" fontId="6" fillId="0" borderId="0" xfId="0" applyFont="1" applyAlignment="1">
      <alignment vertical="top" wrapText="1"/>
    </xf>
    <xf numFmtId="0" fontId="14" fillId="0" borderId="0" xfId="0" applyFont="1" applyAlignment="1">
      <alignment horizontal="center" vertical="top"/>
    </xf>
    <xf numFmtId="4" fontId="18" fillId="0" borderId="0" xfId="0" applyNumberFormat="1" applyFont="1" applyAlignment="1">
      <alignment vertical="top"/>
    </xf>
    <xf numFmtId="0" fontId="51" fillId="0" borderId="0" xfId="0" applyFont="1" applyAlignment="1">
      <alignment vertical="top"/>
    </xf>
    <xf numFmtId="0" fontId="8" fillId="8" borderId="17" xfId="0" applyFont="1" applyFill="1" applyBorder="1" applyAlignment="1">
      <alignment horizontal="center" vertical="center"/>
    </xf>
    <xf numFmtId="0" fontId="8" fillId="8" borderId="45" xfId="0" applyFont="1" applyFill="1" applyBorder="1" applyAlignment="1">
      <alignment horizontal="center" vertical="center"/>
    </xf>
    <xf numFmtId="0" fontId="8" fillId="8" borderId="45" xfId="0" applyFont="1" applyFill="1" applyBorder="1" applyAlignment="1">
      <alignment horizontal="center" vertical="center" wrapText="1"/>
    </xf>
    <xf numFmtId="10" fontId="8" fillId="8" borderId="45" xfId="0" applyNumberFormat="1" applyFont="1" applyFill="1" applyBorder="1" applyAlignment="1">
      <alignment horizontal="center" vertical="center" wrapText="1"/>
    </xf>
    <xf numFmtId="10" fontId="8" fillId="8" borderId="68" xfId="0" applyNumberFormat="1" applyFont="1" applyFill="1" applyBorder="1" applyAlignment="1">
      <alignment horizontal="center" vertical="center" wrapText="1"/>
    </xf>
    <xf numFmtId="0" fontId="8" fillId="8" borderId="54" xfId="0" applyFont="1" applyFill="1" applyBorder="1" applyAlignment="1">
      <alignment horizontal="center" vertical="center" wrapText="1"/>
    </xf>
    <xf numFmtId="4" fontId="8" fillId="0" borderId="0" xfId="9" applyNumberFormat="1" applyFont="1" applyAlignment="1">
      <alignment horizontal="centerContinuous" vertical="center"/>
    </xf>
    <xf numFmtId="4" fontId="6" fillId="0" borderId="0" xfId="11" applyNumberFormat="1" applyFont="1" applyAlignment="1">
      <alignment horizontal="left" vertical="center"/>
    </xf>
    <xf numFmtId="4" fontId="8" fillId="39" borderId="0" xfId="0" applyNumberFormat="1" applyFont="1" applyFill="1" applyAlignment="1">
      <alignment horizontal="center" vertical="center" wrapText="1"/>
    </xf>
    <xf numFmtId="4" fontId="8" fillId="3" borderId="0" xfId="3" applyNumberFormat="1" applyFont="1" applyFill="1" applyBorder="1" applyAlignment="1" applyProtection="1">
      <alignment horizontal="right" vertical="center"/>
    </xf>
    <xf numFmtId="4" fontId="6" fillId="0" borderId="0" xfId="3" applyNumberFormat="1" applyFont="1" applyFill="1" applyBorder="1" applyAlignment="1" applyProtection="1">
      <alignment horizontal="right" vertical="center"/>
    </xf>
    <xf numFmtId="4" fontId="6" fillId="7" borderId="0" xfId="3" applyNumberFormat="1" applyFont="1" applyFill="1" applyBorder="1" applyAlignment="1" applyProtection="1">
      <alignment horizontal="right" vertical="center"/>
    </xf>
    <xf numFmtId="4" fontId="8" fillId="0" borderId="0" xfId="3" applyNumberFormat="1" applyFont="1" applyFill="1" applyBorder="1" applyAlignment="1" applyProtection="1">
      <alignment horizontal="right" vertical="center"/>
    </xf>
    <xf numFmtId="4" fontId="8" fillId="0" borderId="0" xfId="0" applyNumberFormat="1" applyFont="1" applyAlignment="1">
      <alignment horizontal="right" vertical="center"/>
    </xf>
    <xf numFmtId="4" fontId="8" fillId="3" borderId="2" xfId="3" applyNumberFormat="1" applyFont="1" applyFill="1" applyBorder="1" applyAlignment="1" applyProtection="1">
      <alignment horizontal="right" vertical="center"/>
    </xf>
    <xf numFmtId="4" fontId="8" fillId="38" borderId="2" xfId="0" applyNumberFormat="1" applyFont="1" applyFill="1" applyBorder="1" applyAlignment="1">
      <alignment horizontal="center" vertical="center" wrapText="1"/>
    </xf>
    <xf numFmtId="4" fontId="8" fillId="38" borderId="8" xfId="3" applyNumberFormat="1" applyFont="1" applyFill="1" applyBorder="1" applyAlignment="1" applyProtection="1">
      <alignment horizontal="right" vertical="center"/>
    </xf>
    <xf numFmtId="4" fontId="8" fillId="38" borderId="5" xfId="0" applyNumberFormat="1" applyFont="1" applyFill="1" applyBorder="1" applyAlignment="1">
      <alignment horizontal="center" vertical="center" wrapText="1"/>
    </xf>
    <xf numFmtId="4" fontId="8" fillId="38" borderId="6" xfId="3" applyNumberFormat="1" applyFont="1" applyFill="1" applyBorder="1" applyAlignment="1" applyProtection="1">
      <alignment horizontal="right" vertical="center"/>
    </xf>
    <xf numFmtId="4" fontId="8" fillId="3" borderId="5" xfId="3" applyNumberFormat="1" applyFont="1" applyFill="1" applyBorder="1" applyAlignment="1" applyProtection="1">
      <alignment horizontal="right" vertical="center"/>
    </xf>
    <xf numFmtId="0" fontId="53" fillId="49" borderId="53" xfId="0" applyFont="1" applyFill="1" applyBorder="1" applyAlignment="1">
      <alignment horizontal="center" vertical="center" wrapText="1"/>
    </xf>
    <xf numFmtId="0" fontId="53" fillId="50" borderId="53" xfId="0" applyFont="1" applyFill="1" applyBorder="1" applyAlignment="1">
      <alignment horizontal="center" vertical="center" wrapText="1"/>
    </xf>
    <xf numFmtId="3" fontId="53" fillId="50" borderId="2" xfId="0" applyNumberFormat="1" applyFont="1" applyFill="1" applyBorder="1" applyAlignment="1">
      <alignment horizontal="center" vertical="center" wrapText="1"/>
    </xf>
    <xf numFmtId="170" fontId="6" fillId="0" borderId="0" xfId="1" applyFont="1" applyFill="1" applyBorder="1" applyAlignment="1">
      <alignment vertical="center" wrapText="1"/>
    </xf>
    <xf numFmtId="0" fontId="15" fillId="0" borderId="0" xfId="198" applyFont="1"/>
    <xf numFmtId="0" fontId="15" fillId="0" borderId="0" xfId="198" applyFont="1" applyAlignment="1">
      <alignment horizontal="center"/>
    </xf>
    <xf numFmtId="0" fontId="15" fillId="0" borderId="0" xfId="0" applyFont="1" applyAlignment="1">
      <alignment vertical="center" wrapText="1"/>
    </xf>
    <xf numFmtId="0" fontId="15" fillId="0" borderId="21" xfId="0" applyFont="1" applyBorder="1" applyAlignment="1">
      <alignment vertical="center" wrapText="1"/>
    </xf>
    <xf numFmtId="0" fontId="15" fillId="0" borderId="18" xfId="145" applyFont="1" applyBorder="1" applyAlignment="1">
      <alignment horizontal="center" vertical="center"/>
    </xf>
    <xf numFmtId="2" fontId="15" fillId="0" borderId="45" xfId="145" applyNumberFormat="1" applyFont="1" applyBorder="1" applyAlignment="1">
      <alignment horizontal="center" vertical="center"/>
    </xf>
    <xf numFmtId="0" fontId="13" fillId="52" borderId="0" xfId="145" applyFont="1" applyFill="1" applyAlignment="1">
      <alignment vertical="center"/>
    </xf>
    <xf numFmtId="186" fontId="13" fillId="0" borderId="23" xfId="6" applyNumberFormat="1" applyFont="1" applyBorder="1" applyAlignment="1">
      <alignment horizontal="center" vertical="center"/>
    </xf>
    <xf numFmtId="0" fontId="15" fillId="0" borderId="24" xfId="145" applyFont="1" applyBorder="1" applyAlignment="1">
      <alignment horizontal="center" vertical="center"/>
    </xf>
    <xf numFmtId="186" fontId="13" fillId="7" borderId="55" xfId="145" applyNumberFormat="1" applyFont="1" applyFill="1" applyBorder="1" applyAlignment="1">
      <alignment horizontal="center" vertical="center"/>
    </xf>
    <xf numFmtId="186" fontId="13" fillId="7" borderId="6" xfId="145" applyNumberFormat="1" applyFont="1" applyFill="1" applyBorder="1" applyAlignment="1">
      <alignment horizontal="center" vertical="center"/>
    </xf>
    <xf numFmtId="186" fontId="13" fillId="0" borderId="55" xfId="145" applyNumberFormat="1" applyFont="1" applyBorder="1" applyAlignment="1">
      <alignment horizontal="center" vertical="center"/>
    </xf>
    <xf numFmtId="186" fontId="13" fillId="52" borderId="16" xfId="145" applyNumberFormat="1" applyFont="1" applyFill="1" applyBorder="1" applyAlignment="1">
      <alignment horizontal="center" vertical="center"/>
    </xf>
    <xf numFmtId="186" fontId="13" fillId="0" borderId="12" xfId="0" applyNumberFormat="1" applyFont="1" applyBorder="1" applyAlignment="1">
      <alignment horizontal="center" vertical="center" wrapText="1"/>
    </xf>
    <xf numFmtId="186" fontId="13" fillId="0" borderId="20" xfId="0" applyNumberFormat="1" applyFont="1" applyBorder="1" applyAlignment="1">
      <alignment horizontal="center" vertical="center" wrapText="1"/>
    </xf>
    <xf numFmtId="186" fontId="13" fillId="52" borderId="5" xfId="145" applyNumberFormat="1" applyFont="1" applyFill="1" applyBorder="1" applyAlignment="1">
      <alignment horizontal="center" vertical="center"/>
    </xf>
    <xf numFmtId="0" fontId="13" fillId="52" borderId="28" xfId="145" applyFont="1" applyFill="1" applyBorder="1" applyAlignment="1">
      <alignment vertical="center"/>
    </xf>
    <xf numFmtId="170" fontId="13" fillId="0" borderId="0" xfId="1" applyFont="1" applyAlignment="1">
      <alignment vertical="center"/>
    </xf>
    <xf numFmtId="170" fontId="13" fillId="52" borderId="2" xfId="1" applyFont="1" applyFill="1" applyBorder="1" applyAlignment="1">
      <alignment vertical="center"/>
    </xf>
    <xf numFmtId="4" fontId="15" fillId="0" borderId="0" xfId="198" applyNumberFormat="1" applyFont="1" applyAlignment="1">
      <alignment horizontal="center" vertical="center"/>
    </xf>
    <xf numFmtId="4" fontId="13" fillId="52" borderId="28" xfId="145" applyNumberFormat="1" applyFont="1" applyFill="1" applyBorder="1" applyAlignment="1">
      <alignment horizontal="center" vertical="center"/>
    </xf>
    <xf numFmtId="170" fontId="15" fillId="7" borderId="0" xfId="1" applyFont="1" applyFill="1" applyAlignment="1">
      <alignment horizontal="center" vertical="center"/>
    </xf>
    <xf numFmtId="0" fontId="13" fillId="52" borderId="3" xfId="145" applyFont="1" applyFill="1" applyBorder="1" applyAlignment="1">
      <alignment vertical="center"/>
    </xf>
    <xf numFmtId="0" fontId="13" fillId="52" borderId="53" xfId="145" applyFont="1" applyFill="1" applyBorder="1" applyAlignment="1">
      <alignment vertical="center"/>
    </xf>
    <xf numFmtId="4" fontId="13" fillId="52" borderId="53" xfId="145" applyNumberFormat="1" applyFont="1" applyFill="1" applyBorder="1" applyAlignment="1">
      <alignment horizontal="center" vertical="center"/>
    </xf>
    <xf numFmtId="170" fontId="13" fillId="52" borderId="52" xfId="1" applyFont="1" applyFill="1" applyBorder="1" applyAlignment="1">
      <alignment vertical="center"/>
    </xf>
    <xf numFmtId="170" fontId="15" fillId="0" borderId="0" xfId="1" applyFont="1"/>
    <xf numFmtId="170" fontId="15" fillId="0" borderId="26" xfId="1" applyFont="1" applyBorder="1" applyAlignment="1">
      <alignment horizontal="right" vertical="center" wrapText="1"/>
    </xf>
    <xf numFmtId="0" fontId="15" fillId="7" borderId="26" xfId="145" applyFont="1" applyFill="1" applyBorder="1" applyAlignment="1">
      <alignment horizontal="center" vertical="center"/>
    </xf>
    <xf numFmtId="170" fontId="15" fillId="7" borderId="26" xfId="1" applyFont="1" applyFill="1" applyBorder="1" applyAlignment="1">
      <alignment vertical="center"/>
    </xf>
    <xf numFmtId="2" fontId="15" fillId="7" borderId="47" xfId="145" applyNumberFormat="1" applyFont="1" applyFill="1" applyBorder="1" applyAlignment="1">
      <alignment horizontal="center" vertical="center"/>
    </xf>
    <xf numFmtId="2" fontId="15" fillId="7" borderId="26" xfId="145" applyNumberFormat="1" applyFont="1" applyFill="1" applyBorder="1" applyAlignment="1">
      <alignment horizontal="center" vertical="center"/>
    </xf>
    <xf numFmtId="4" fontId="15" fillId="7" borderId="26" xfId="18" applyNumberFormat="1" applyFont="1" applyFill="1" applyBorder="1" applyAlignment="1">
      <alignment horizontal="center" vertical="center" wrapText="1"/>
    </xf>
    <xf numFmtId="2" fontId="13" fillId="52" borderId="3" xfId="145" applyNumberFormat="1" applyFont="1" applyFill="1" applyBorder="1" applyAlignment="1">
      <alignment horizontal="center" vertical="center"/>
    </xf>
    <xf numFmtId="2" fontId="13" fillId="52" borderId="53" xfId="145" applyNumberFormat="1" applyFont="1" applyFill="1" applyBorder="1" applyAlignment="1">
      <alignment horizontal="center" vertical="center"/>
    </xf>
    <xf numFmtId="0" fontId="15" fillId="52" borderId="53" xfId="145" applyFont="1" applyFill="1" applyBorder="1" applyAlignment="1">
      <alignment horizontal="center" vertical="center"/>
    </xf>
    <xf numFmtId="4" fontId="15" fillId="52" borderId="53" xfId="18" applyNumberFormat="1" applyFont="1" applyFill="1" applyBorder="1" applyAlignment="1">
      <alignment horizontal="center" vertical="center" wrapText="1"/>
    </xf>
    <xf numFmtId="170" fontId="13" fillId="52" borderId="52" xfId="1" applyFont="1" applyFill="1" applyBorder="1" applyAlignment="1">
      <alignment horizontal="right" vertical="center"/>
    </xf>
    <xf numFmtId="0" fontId="15" fillId="0" borderId="26" xfId="145" applyFont="1" applyBorder="1" applyAlignment="1">
      <alignment horizontal="center" vertical="center"/>
    </xf>
    <xf numFmtId="2" fontId="15" fillId="52" borderId="3" xfId="145" applyNumberFormat="1" applyFont="1" applyFill="1" applyBorder="1" applyAlignment="1">
      <alignment horizontal="center" vertical="center"/>
    </xf>
    <xf numFmtId="2" fontId="15" fillId="52" borderId="53" xfId="145" applyNumberFormat="1" applyFont="1" applyFill="1" applyBorder="1" applyAlignment="1">
      <alignment horizontal="center" vertical="center"/>
    </xf>
    <xf numFmtId="0" fontId="15" fillId="52" borderId="28" xfId="145" applyFont="1" applyFill="1" applyBorder="1" applyAlignment="1">
      <alignment vertical="center"/>
    </xf>
    <xf numFmtId="4" fontId="15" fillId="52" borderId="28" xfId="145" applyNumberFormat="1" applyFont="1" applyFill="1" applyBorder="1" applyAlignment="1">
      <alignment horizontal="center" vertical="center"/>
    </xf>
    <xf numFmtId="170" fontId="15" fillId="52" borderId="2" xfId="1" applyFont="1" applyFill="1" applyBorder="1" applyAlignment="1">
      <alignment vertical="center"/>
    </xf>
    <xf numFmtId="170" fontId="15" fillId="52" borderId="52" xfId="1" applyFont="1" applyFill="1" applyBorder="1" applyAlignment="1">
      <alignment horizontal="right" vertical="center" wrapText="1"/>
    </xf>
    <xf numFmtId="170" fontId="15" fillId="0" borderId="50" xfId="1" applyFont="1" applyBorder="1" applyAlignment="1">
      <alignment horizontal="right" vertical="center" wrapText="1"/>
    </xf>
    <xf numFmtId="0" fontId="15" fillId="52" borderId="3" xfId="145" applyFont="1" applyFill="1" applyBorder="1" applyAlignment="1">
      <alignment horizontal="center" vertical="center"/>
    </xf>
    <xf numFmtId="0" fontId="13" fillId="7" borderId="24" xfId="145" applyFont="1" applyFill="1" applyBorder="1" applyAlignment="1">
      <alignment vertical="center"/>
    </xf>
    <xf numFmtId="0" fontId="13" fillId="7" borderId="18" xfId="145" applyFont="1" applyFill="1" applyBorder="1" applyAlignment="1">
      <alignment vertical="center"/>
    </xf>
    <xf numFmtId="170" fontId="13" fillId="52" borderId="10" xfId="1" applyFont="1" applyFill="1" applyBorder="1" applyAlignment="1">
      <alignment horizontal="center" vertical="center"/>
    </xf>
    <xf numFmtId="186" fontId="13" fillId="52" borderId="51" xfId="145" applyNumberFormat="1" applyFont="1" applyFill="1" applyBorder="1" applyAlignment="1">
      <alignment horizontal="center" vertical="center"/>
    </xf>
    <xf numFmtId="0" fontId="13" fillId="52" borderId="10" xfId="145" applyFont="1" applyFill="1" applyBorder="1" applyAlignment="1">
      <alignment vertical="center"/>
    </xf>
    <xf numFmtId="4" fontId="13" fillId="52" borderId="10" xfId="145" applyNumberFormat="1" applyFont="1" applyFill="1" applyBorder="1" applyAlignment="1">
      <alignment horizontal="center" vertical="center"/>
    </xf>
    <xf numFmtId="170" fontId="13" fillId="52" borderId="11" xfId="1" applyFont="1" applyFill="1" applyBorder="1" applyAlignment="1">
      <alignment vertical="center"/>
    </xf>
    <xf numFmtId="4" fontId="18" fillId="0" borderId="7" xfId="0" applyNumberFormat="1" applyFont="1" applyBorder="1" applyAlignment="1">
      <alignment vertical="center" wrapText="1"/>
    </xf>
    <xf numFmtId="4" fontId="18" fillId="0" borderId="7" xfId="0" applyNumberFormat="1" applyFont="1" applyBorder="1" applyAlignment="1">
      <alignment vertical="center"/>
    </xf>
    <xf numFmtId="0" fontId="15" fillId="0" borderId="0" xfId="7" applyFont="1"/>
    <xf numFmtId="0" fontId="15" fillId="0" borderId="36" xfId="7" applyFont="1" applyBorder="1"/>
    <xf numFmtId="0" fontId="15" fillId="7" borderId="0" xfId="7" applyFont="1" applyFill="1"/>
    <xf numFmtId="0" fontId="50" fillId="0" borderId="18" xfId="0" applyFont="1" applyBorder="1" applyAlignment="1">
      <alignment horizontal="justify" vertical="center"/>
    </xf>
    <xf numFmtId="0" fontId="13" fillId="52" borderId="1" xfId="145" applyFont="1" applyFill="1" applyBorder="1" applyAlignment="1">
      <alignment vertical="center"/>
    </xf>
    <xf numFmtId="0" fontId="50" fillId="0" borderId="26" xfId="0" applyFont="1" applyBorder="1" applyAlignment="1">
      <alignment horizontal="justify" vertical="center"/>
    </xf>
    <xf numFmtId="0" fontId="13" fillId="52" borderId="7" xfId="145" applyFont="1" applyFill="1" applyBorder="1" applyAlignment="1">
      <alignment horizontal="left" vertical="center" wrapText="1"/>
    </xf>
    <xf numFmtId="0" fontId="52" fillId="52" borderId="1" xfId="0" applyFont="1" applyFill="1" applyBorder="1" applyAlignment="1">
      <alignment horizontal="justify" vertical="center"/>
    </xf>
    <xf numFmtId="0" fontId="50" fillId="0" borderId="26" xfId="0" applyFont="1" applyBorder="1" applyAlignment="1">
      <alignment horizontal="justify" vertical="center" wrapText="1"/>
    </xf>
    <xf numFmtId="0" fontId="52" fillId="52" borderId="1" xfId="0" applyFont="1" applyFill="1" applyBorder="1" applyAlignment="1">
      <alignment vertical="center"/>
    </xf>
    <xf numFmtId="0" fontId="13" fillId="52" borderId="53" xfId="145" applyFont="1" applyFill="1" applyBorder="1" applyAlignment="1">
      <alignment horizontal="left" vertical="center" wrapText="1"/>
    </xf>
    <xf numFmtId="0" fontId="15" fillId="0" borderId="76" xfId="0" applyFont="1" applyBorder="1" applyAlignment="1">
      <alignment vertical="center" wrapText="1"/>
    </xf>
    <xf numFmtId="0" fontId="15" fillId="0" borderId="0" xfId="7" applyFont="1" applyAlignment="1">
      <alignment horizontal="center"/>
    </xf>
    <xf numFmtId="4" fontId="15" fillId="0" borderId="0" xfId="7" applyNumberFormat="1" applyFont="1" applyAlignment="1">
      <alignment horizontal="center" vertical="center"/>
    </xf>
    <xf numFmtId="0" fontId="15" fillId="0" borderId="72" xfId="7" applyFont="1" applyBorder="1"/>
    <xf numFmtId="0" fontId="15" fillId="0" borderId="36" xfId="7" applyFont="1" applyBorder="1" applyAlignment="1">
      <alignment horizontal="center"/>
    </xf>
    <xf numFmtId="4" fontId="15" fillId="0" borderId="36" xfId="7" applyNumberFormat="1" applyFont="1" applyBorder="1" applyAlignment="1">
      <alignment horizontal="center" vertical="center"/>
    </xf>
    <xf numFmtId="170" fontId="15" fillId="7" borderId="36" xfId="1" applyFont="1" applyFill="1" applyBorder="1" applyAlignment="1">
      <alignment horizontal="center" vertical="center"/>
    </xf>
    <xf numFmtId="170" fontId="15" fillId="0" borderId="36" xfId="1" applyFont="1" applyBorder="1"/>
    <xf numFmtId="0" fontId="15" fillId="0" borderId="73" xfId="7" applyFont="1" applyBorder="1"/>
    <xf numFmtId="186" fontId="13" fillId="0" borderId="74" xfId="0" applyNumberFormat="1" applyFont="1" applyBorder="1" applyAlignment="1">
      <alignment horizontal="center" vertical="center"/>
    </xf>
    <xf numFmtId="0" fontId="15" fillId="0" borderId="74" xfId="0" applyFont="1" applyBorder="1" applyAlignment="1">
      <alignment horizontal="left" vertical="center"/>
    </xf>
    <xf numFmtId="0" fontId="13" fillId="0" borderId="74" xfId="0" applyFont="1" applyBorder="1" applyAlignment="1">
      <alignment horizontal="left" vertical="center"/>
    </xf>
    <xf numFmtId="0" fontId="15" fillId="7" borderId="75" xfId="7" applyFont="1" applyFill="1" applyBorder="1"/>
    <xf numFmtId="0" fontId="15" fillId="0" borderId="75" xfId="7" applyFont="1" applyBorder="1"/>
    <xf numFmtId="0" fontId="15" fillId="7" borderId="73" xfId="7" applyFont="1" applyFill="1" applyBorder="1"/>
    <xf numFmtId="0" fontId="15" fillId="7" borderId="24" xfId="145" applyFont="1" applyFill="1" applyBorder="1" applyAlignment="1">
      <alignment horizontal="center" vertical="center"/>
    </xf>
    <xf numFmtId="4" fontId="64" fillId="7" borderId="18" xfId="0" applyNumberFormat="1" applyFont="1" applyFill="1" applyBorder="1" applyAlignment="1">
      <alignment horizontal="center" vertical="center"/>
    </xf>
    <xf numFmtId="170" fontId="64" fillId="7" borderId="18" xfId="1" applyFont="1" applyFill="1" applyBorder="1" applyAlignment="1">
      <alignment horizontal="center" vertical="center"/>
    </xf>
    <xf numFmtId="170" fontId="15" fillId="7" borderId="19" xfId="1" applyFont="1" applyFill="1" applyBorder="1" applyAlignment="1">
      <alignment horizontal="center" vertical="center"/>
    </xf>
    <xf numFmtId="4" fontId="64" fillId="7" borderId="45" xfId="1" applyNumberFormat="1" applyFont="1" applyFill="1" applyBorder="1" applyAlignment="1">
      <alignment horizontal="center" vertical="center"/>
    </xf>
    <xf numFmtId="170" fontId="65" fillId="7" borderId="45" xfId="1" applyFont="1" applyFill="1" applyBorder="1" applyAlignment="1">
      <alignment horizontal="center" vertical="center"/>
    </xf>
    <xf numFmtId="170" fontId="13" fillId="7" borderId="54" xfId="1" applyFont="1" applyFill="1" applyBorder="1" applyAlignment="1">
      <alignment vertical="center"/>
    </xf>
    <xf numFmtId="170" fontId="64" fillId="52" borderId="53" xfId="1" applyFont="1" applyFill="1" applyBorder="1" applyAlignment="1">
      <alignment horizontal="center" vertical="center"/>
    </xf>
    <xf numFmtId="0" fontId="15" fillId="7" borderId="18" xfId="145" applyFont="1" applyFill="1" applyBorder="1" applyAlignment="1">
      <alignment horizontal="center" vertical="center"/>
    </xf>
    <xf numFmtId="4" fontId="64" fillId="7" borderId="71" xfId="0" applyNumberFormat="1" applyFont="1" applyFill="1" applyBorder="1" applyAlignment="1">
      <alignment horizontal="center" vertical="center"/>
    </xf>
    <xf numFmtId="170" fontId="64" fillId="7" borderId="26" xfId="1" applyFont="1" applyFill="1" applyBorder="1" applyAlignment="1">
      <alignment horizontal="center" vertical="center"/>
    </xf>
    <xf numFmtId="170" fontId="15" fillId="7" borderId="50" xfId="1" applyFont="1" applyFill="1" applyBorder="1" applyAlignment="1">
      <alignment horizontal="center" vertical="center"/>
    </xf>
    <xf numFmtId="171" fontId="15" fillId="0" borderId="73" xfId="7" applyNumberFormat="1" applyFont="1" applyBorder="1"/>
    <xf numFmtId="0" fontId="15" fillId="0" borderId="0" xfId="150" applyFont="1"/>
    <xf numFmtId="0" fontId="15" fillId="0" borderId="73" xfId="150" applyFont="1" applyBorder="1"/>
    <xf numFmtId="170" fontId="13" fillId="7" borderId="15" xfId="1" applyFont="1" applyFill="1" applyBorder="1" applyAlignment="1">
      <alignment horizontal="center" vertical="center" wrapText="1"/>
    </xf>
    <xf numFmtId="186" fontId="13" fillId="7" borderId="51" xfId="145" applyNumberFormat="1" applyFont="1" applyFill="1" applyBorder="1" applyAlignment="1">
      <alignment horizontal="center" vertical="center" wrapText="1"/>
    </xf>
    <xf numFmtId="0" fontId="13" fillId="7" borderId="71" xfId="145" applyFont="1" applyFill="1" applyBorder="1" applyAlignment="1">
      <alignment horizontal="center" vertical="center" wrapText="1"/>
    </xf>
    <xf numFmtId="0" fontId="13" fillId="7" borderId="29" xfId="145" applyFont="1" applyFill="1" applyBorder="1" applyAlignment="1">
      <alignment horizontal="center" vertical="center" wrapText="1"/>
    </xf>
    <xf numFmtId="0" fontId="13" fillId="7" borderId="14" xfId="145" applyFont="1" applyFill="1" applyBorder="1" applyAlignment="1">
      <alignment horizontal="center" vertical="center" wrapText="1"/>
    </xf>
    <xf numFmtId="4" fontId="13" fillId="7" borderId="14" xfId="145" applyNumberFormat="1" applyFont="1" applyFill="1" applyBorder="1" applyAlignment="1">
      <alignment horizontal="center" vertical="center" wrapText="1"/>
    </xf>
    <xf numFmtId="170" fontId="13" fillId="7" borderId="14" xfId="1" applyFont="1" applyFill="1" applyBorder="1" applyAlignment="1">
      <alignment horizontal="center" vertical="center" wrapText="1"/>
    </xf>
    <xf numFmtId="0" fontId="49" fillId="0" borderId="27" xfId="196" applyFont="1" applyBorder="1" applyAlignment="1">
      <alignment horizontal="center" vertical="center" wrapText="1"/>
    </xf>
    <xf numFmtId="0" fontId="6" fillId="39" borderId="94" xfId="0" applyFont="1" applyFill="1" applyBorder="1" applyAlignment="1">
      <alignment horizontal="center" vertical="center"/>
    </xf>
    <xf numFmtId="4" fontId="8" fillId="3" borderId="95" xfId="3" applyNumberFormat="1" applyFont="1" applyFill="1" applyBorder="1" applyAlignment="1" applyProtection="1">
      <alignment horizontal="right" vertical="center"/>
    </xf>
    <xf numFmtId="0" fontId="0" fillId="0" borderId="93" xfId="0" applyBorder="1" applyAlignment="1">
      <alignment vertical="center"/>
    </xf>
    <xf numFmtId="4" fontId="0" fillId="0" borderId="93" xfId="0" applyNumberFormat="1" applyBorder="1" applyAlignment="1">
      <alignment vertical="center"/>
    </xf>
    <xf numFmtId="0" fontId="13" fillId="7" borderId="101" xfId="145" applyFont="1" applyFill="1" applyBorder="1" applyAlignment="1">
      <alignment vertical="center"/>
    </xf>
    <xf numFmtId="0" fontId="15" fillId="7" borderId="101" xfId="145" applyFont="1" applyFill="1" applyBorder="1" applyAlignment="1">
      <alignment horizontal="center" vertical="center"/>
    </xf>
    <xf numFmtId="170" fontId="13" fillId="0" borderId="95" xfId="1" applyFont="1" applyBorder="1" applyAlignment="1">
      <alignment horizontal="right" vertical="center"/>
    </xf>
    <xf numFmtId="0" fontId="15" fillId="0" borderId="101" xfId="145" applyFont="1" applyBorder="1" applyAlignment="1">
      <alignment horizontal="center" vertical="center"/>
    </xf>
    <xf numFmtId="0" fontId="15" fillId="0" borderId="101" xfId="7" applyFont="1" applyBorder="1"/>
    <xf numFmtId="170" fontId="13" fillId="0" borderId="95" xfId="1" applyFont="1" applyBorder="1" applyAlignment="1">
      <alignment vertical="center"/>
    </xf>
    <xf numFmtId="2" fontId="15" fillId="0" borderId="101" xfId="145" applyNumberFormat="1" applyFont="1" applyBorder="1" applyAlignment="1">
      <alignment horizontal="center" vertical="center"/>
    </xf>
    <xf numFmtId="2" fontId="15" fillId="7" borderId="101" xfId="145" applyNumberFormat="1" applyFont="1" applyFill="1" applyBorder="1" applyAlignment="1">
      <alignment horizontal="center" vertical="center"/>
    </xf>
    <xf numFmtId="186" fontId="13" fillId="0" borderId="98" xfId="0" applyNumberFormat="1" applyFont="1" applyBorder="1" applyAlignment="1">
      <alignment horizontal="center" vertical="center" wrapText="1"/>
    </xf>
    <xf numFmtId="0" fontId="21" fillId="0" borderId="93" xfId="0" applyFont="1" applyBorder="1" applyAlignment="1">
      <alignment horizontal="center" vertical="center" textRotation="90" wrapText="1"/>
    </xf>
    <xf numFmtId="0" fontId="21" fillId="0" borderId="96" xfId="0" applyFont="1" applyBorder="1" applyAlignment="1">
      <alignment horizontal="center" vertical="center" textRotation="90" wrapText="1"/>
    </xf>
    <xf numFmtId="0" fontId="0" fillId="0" borderId="101" xfId="0" applyBorder="1" applyAlignment="1">
      <alignment horizontal="center" vertical="center" textRotation="90" wrapText="1"/>
    </xf>
    <xf numFmtId="0" fontId="46" fillId="0" borderId="93" xfId="0" applyFont="1" applyBorder="1" applyAlignment="1">
      <alignment vertical="center"/>
    </xf>
    <xf numFmtId="0" fontId="45" fillId="0" borderId="93" xfId="0" applyFont="1" applyBorder="1" applyAlignment="1">
      <alignment vertical="center"/>
    </xf>
    <xf numFmtId="4" fontId="0" fillId="0" borderId="101" xfId="0" applyNumberFormat="1" applyBorder="1" applyAlignment="1">
      <alignment vertical="center"/>
    </xf>
    <xf numFmtId="0" fontId="14" fillId="0" borderId="93" xfId="0" applyFont="1" applyBorder="1" applyAlignment="1">
      <alignment horizontal="center" vertical="center"/>
    </xf>
    <xf numFmtId="0" fontId="45" fillId="0" borderId="96" xfId="0" applyFont="1" applyBorder="1" applyAlignment="1">
      <alignment vertical="center"/>
    </xf>
    <xf numFmtId="0" fontId="45" fillId="0" borderId="101" xfId="0" applyFont="1" applyBorder="1" applyAlignment="1">
      <alignment vertical="center"/>
    </xf>
    <xf numFmtId="4" fontId="0" fillId="7" borderId="101" xfId="0" applyNumberFormat="1" applyFill="1" applyBorder="1" applyAlignment="1">
      <alignment vertical="center"/>
    </xf>
    <xf numFmtId="4" fontId="0" fillId="7" borderId="93" xfId="0" applyNumberFormat="1" applyFill="1" applyBorder="1" applyAlignment="1">
      <alignment vertical="center"/>
    </xf>
    <xf numFmtId="4" fontId="0" fillId="0" borderId="94" xfId="0" applyNumberFormat="1" applyBorder="1" applyAlignment="1">
      <alignment vertical="center"/>
    </xf>
    <xf numFmtId="4" fontId="0" fillId="0" borderId="98" xfId="0" applyNumberFormat="1" applyBorder="1" applyAlignment="1">
      <alignment vertical="center"/>
    </xf>
    <xf numFmtId="4" fontId="0" fillId="0" borderId="95" xfId="0" applyNumberFormat="1" applyBorder="1" applyAlignment="1">
      <alignment vertical="center"/>
    </xf>
    <xf numFmtId="0" fontId="0" fillId="39" borderId="100" xfId="0" applyFill="1" applyBorder="1" applyAlignment="1">
      <alignment vertical="center"/>
    </xf>
    <xf numFmtId="0" fontId="0" fillId="39" borderId="100" xfId="0" applyFill="1" applyBorder="1" applyAlignment="1">
      <alignment horizontal="center" vertical="center"/>
    </xf>
    <xf numFmtId="2" fontId="0" fillId="39" borderId="100" xfId="0" applyNumberFormat="1" applyFill="1" applyBorder="1" applyAlignment="1">
      <alignment vertical="center"/>
    </xf>
    <xf numFmtId="4" fontId="0" fillId="0" borderId="97" xfId="0" applyNumberFormat="1" applyBorder="1" applyAlignment="1">
      <alignment vertical="center"/>
    </xf>
    <xf numFmtId="4" fontId="6" fillId="0" borderId="96" xfId="3" applyNumberFormat="1" applyFont="1" applyFill="1" applyBorder="1" applyAlignment="1" applyProtection="1">
      <alignment horizontal="right" vertical="center"/>
    </xf>
    <xf numFmtId="4" fontId="6" fillId="7" borderId="96" xfId="3" applyNumberFormat="1" applyFont="1" applyFill="1" applyBorder="1" applyAlignment="1" applyProtection="1">
      <alignment horizontal="right" vertical="center"/>
    </xf>
    <xf numFmtId="4" fontId="8" fillId="3" borderId="96" xfId="3" applyNumberFormat="1" applyFont="1" applyFill="1" applyBorder="1" applyAlignment="1" applyProtection="1">
      <alignment horizontal="right" vertical="center"/>
    </xf>
    <xf numFmtId="0" fontId="7" fillId="0" borderId="93" xfId="8" applyFont="1" applyBorder="1" applyAlignment="1">
      <alignment horizontal="center" vertical="center"/>
    </xf>
    <xf numFmtId="0" fontId="6" fillId="0" borderId="93" xfId="8" applyFont="1" applyBorder="1" applyAlignment="1">
      <alignment vertical="center"/>
    </xf>
    <xf numFmtId="0" fontId="8" fillId="0" borderId="101" xfId="8" applyFont="1" applyBorder="1" applyAlignment="1">
      <alignment horizontal="center" vertical="center"/>
    </xf>
    <xf numFmtId="4" fontId="6" fillId="0" borderId="93" xfId="8" applyNumberFormat="1" applyFont="1" applyBorder="1" applyAlignment="1">
      <alignment horizontal="right" vertical="top"/>
    </xf>
    <xf numFmtId="0" fontId="6" fillId="0" borderId="93" xfId="8" applyFont="1" applyBorder="1" applyAlignment="1">
      <alignment horizontal="center" vertical="center"/>
    </xf>
    <xf numFmtId="4" fontId="6" fillId="0" borderId="101" xfId="8" applyNumberFormat="1" applyFont="1" applyBorder="1" applyAlignment="1">
      <alignment vertical="center"/>
    </xf>
    <xf numFmtId="4" fontId="6" fillId="40" borderId="93" xfId="0" applyNumberFormat="1" applyFont="1" applyFill="1" applyBorder="1" applyAlignment="1">
      <alignment horizontal="center" vertical="center"/>
    </xf>
    <xf numFmtId="4" fontId="8" fillId="0" borderId="96" xfId="3" applyNumberFormat="1" applyFont="1" applyFill="1" applyBorder="1" applyAlignment="1" applyProtection="1">
      <alignment horizontal="right" vertical="center"/>
    </xf>
    <xf numFmtId="4" fontId="8" fillId="3" borderId="99" xfId="3" applyNumberFormat="1" applyFont="1" applyFill="1" applyBorder="1" applyAlignment="1" applyProtection="1">
      <alignment horizontal="right" vertical="center"/>
    </xf>
    <xf numFmtId="0" fontId="8" fillId="0" borderId="93" xfId="0" applyFont="1" applyBorder="1" applyAlignment="1">
      <alignment vertical="center"/>
    </xf>
    <xf numFmtId="4" fontId="8" fillId="0" borderId="93" xfId="0" applyNumberFormat="1" applyFont="1" applyBorder="1" applyAlignment="1">
      <alignment horizontal="right" vertical="center"/>
    </xf>
    <xf numFmtId="4" fontId="8" fillId="0" borderId="101" xfId="0" applyNumberFormat="1" applyFont="1" applyBorder="1" applyAlignment="1">
      <alignment horizontal="right" vertical="center"/>
    </xf>
    <xf numFmtId="0" fontId="48" fillId="8" borderId="94" xfId="0" applyFont="1" applyFill="1" applyBorder="1" applyAlignment="1">
      <alignment horizontal="center" vertical="top" wrapText="1"/>
    </xf>
    <xf numFmtId="4" fontId="15" fillId="7" borderId="102" xfId="145" applyNumberFormat="1" applyFont="1" applyFill="1" applyBorder="1" applyAlignment="1">
      <alignment horizontal="center" vertical="center"/>
    </xf>
    <xf numFmtId="170" fontId="64" fillId="7" borderId="102" xfId="1" applyFont="1" applyFill="1" applyBorder="1" applyAlignment="1">
      <alignment horizontal="center" vertical="center"/>
    </xf>
    <xf numFmtId="2" fontId="15" fillId="0" borderId="103" xfId="145" applyNumberFormat="1" applyFont="1" applyBorder="1" applyAlignment="1">
      <alignment horizontal="center" vertical="center"/>
    </xf>
    <xf numFmtId="0" fontId="15" fillId="0" borderId="103" xfId="0" applyFont="1" applyBorder="1" applyAlignment="1">
      <alignment vertical="center" wrapText="1"/>
    </xf>
    <xf numFmtId="0" fontId="6" fillId="0" borderId="103" xfId="8" applyFont="1" applyBorder="1" applyAlignment="1">
      <alignment horizontal="center" vertical="center"/>
    </xf>
    <xf numFmtId="0" fontId="47" fillId="0" borderId="103" xfId="0" applyFont="1" applyBorder="1" applyAlignment="1" applyProtection="1">
      <alignment horizontal="center" vertical="center"/>
      <protection locked="0"/>
    </xf>
    <xf numFmtId="0" fontId="15" fillId="0" borderId="0" xfId="7" applyFont="1" applyAlignment="1">
      <alignment vertical="center"/>
    </xf>
    <xf numFmtId="0" fontId="15" fillId="0" borderId="36" xfId="7" applyFont="1" applyBorder="1" applyAlignment="1">
      <alignment vertical="center"/>
    </xf>
    <xf numFmtId="0" fontId="15" fillId="0" borderId="26" xfId="145" applyFont="1" applyBorder="1" applyAlignment="1">
      <alignment horizontal="justify" vertical="center" wrapText="1"/>
    </xf>
    <xf numFmtId="0" fontId="15" fillId="7" borderId="26" xfId="145" applyFont="1" applyFill="1" applyBorder="1" applyAlignment="1">
      <alignment horizontal="justify" vertical="center" wrapText="1"/>
    </xf>
    <xf numFmtId="0" fontId="15" fillId="0" borderId="0" xfId="198" applyFont="1" applyAlignment="1">
      <alignment vertical="center"/>
    </xf>
    <xf numFmtId="169" fontId="71" fillId="0" borderId="0" xfId="333" applyFont="1" applyAlignment="1">
      <alignment horizontal="left"/>
    </xf>
    <xf numFmtId="169" fontId="9" fillId="0" borderId="0" xfId="333" applyFont="1" applyAlignment="1">
      <alignment horizontal="left"/>
    </xf>
    <xf numFmtId="0" fontId="71" fillId="0" borderId="0" xfId="308" applyFont="1" applyAlignment="1">
      <alignment horizontal="left"/>
    </xf>
    <xf numFmtId="0" fontId="72" fillId="0" borderId="0" xfId="308" applyFont="1" applyAlignment="1">
      <alignment horizontal="right"/>
    </xf>
    <xf numFmtId="0" fontId="73" fillId="0" borderId="0" xfId="308" applyFont="1" applyAlignment="1">
      <alignment horizontal="left"/>
    </xf>
    <xf numFmtId="205" fontId="73" fillId="0" borderId="0" xfId="308" applyNumberFormat="1" applyFont="1" applyAlignment="1">
      <alignment horizontal="left"/>
    </xf>
    <xf numFmtId="0" fontId="9" fillId="0" borderId="0" xfId="308" applyFont="1"/>
    <xf numFmtId="0" fontId="72" fillId="0" borderId="0" xfId="308" applyFont="1" applyAlignment="1">
      <alignment horizontal="left"/>
    </xf>
    <xf numFmtId="0" fontId="74" fillId="0" borderId="0" xfId="308" applyFont="1"/>
    <xf numFmtId="0" fontId="71" fillId="51" borderId="104" xfId="308" applyFont="1" applyFill="1" applyBorder="1" applyAlignment="1">
      <alignment horizontal="centerContinuous"/>
    </xf>
    <xf numFmtId="0" fontId="16" fillId="51" borderId="105" xfId="308" applyFont="1" applyFill="1" applyBorder="1" applyAlignment="1">
      <alignment horizontal="centerContinuous"/>
    </xf>
    <xf numFmtId="0" fontId="73" fillId="51" borderId="105" xfId="308" applyFont="1" applyFill="1" applyBorder="1" applyAlignment="1">
      <alignment horizontal="centerContinuous"/>
    </xf>
    <xf numFmtId="0" fontId="73" fillId="51" borderId="105" xfId="308" applyFont="1" applyFill="1" applyBorder="1" applyAlignment="1">
      <alignment horizontal="center"/>
    </xf>
    <xf numFmtId="205" fontId="73" fillId="51" borderId="105" xfId="308" applyNumberFormat="1" applyFont="1" applyFill="1" applyBorder="1" applyAlignment="1">
      <alignment horizontal="center"/>
    </xf>
    <xf numFmtId="0" fontId="73" fillId="51" borderId="106" xfId="308" applyFont="1" applyFill="1" applyBorder="1" applyAlignment="1">
      <alignment horizontal="center"/>
    </xf>
    <xf numFmtId="0" fontId="75" fillId="51" borderId="107" xfId="308" applyFont="1" applyFill="1" applyBorder="1" applyAlignment="1">
      <alignment horizontal="left"/>
    </xf>
    <xf numFmtId="0" fontId="73" fillId="51" borderId="108" xfId="308" applyFont="1" applyFill="1" applyBorder="1" applyAlignment="1">
      <alignment horizontal="center"/>
    </xf>
    <xf numFmtId="205" fontId="73" fillId="51" borderId="108" xfId="308" applyNumberFormat="1" applyFont="1" applyFill="1" applyBorder="1" applyAlignment="1">
      <alignment horizontal="center"/>
    </xf>
    <xf numFmtId="0" fontId="73" fillId="51" borderId="109" xfId="308" applyFont="1" applyFill="1" applyBorder="1" applyAlignment="1">
      <alignment horizontal="center"/>
    </xf>
    <xf numFmtId="0" fontId="9" fillId="0" borderId="0" xfId="308" applyFont="1" applyAlignment="1">
      <alignment horizontal="center"/>
    </xf>
    <xf numFmtId="0" fontId="73" fillId="8" borderId="110" xfId="308" applyFont="1" applyFill="1" applyBorder="1" applyAlignment="1">
      <alignment horizontal="center"/>
    </xf>
    <xf numFmtId="0" fontId="73" fillId="8" borderId="111" xfId="308" applyFont="1" applyFill="1" applyBorder="1" applyAlignment="1">
      <alignment horizontal="left"/>
    </xf>
    <xf numFmtId="0" fontId="73" fillId="8" borderId="111" xfId="308" applyFont="1" applyFill="1" applyBorder="1" applyAlignment="1">
      <alignment horizontal="center"/>
    </xf>
    <xf numFmtId="205" fontId="73" fillId="8" borderId="111" xfId="308" applyNumberFormat="1" applyFont="1" applyFill="1" applyBorder="1" applyAlignment="1">
      <alignment horizontal="center"/>
    </xf>
    <xf numFmtId="0" fontId="73" fillId="8" borderId="112" xfId="308" applyFont="1" applyFill="1" applyBorder="1" applyAlignment="1">
      <alignment horizontal="center"/>
    </xf>
    <xf numFmtId="0" fontId="73" fillId="8" borderId="113" xfId="308" applyFont="1" applyFill="1" applyBorder="1" applyAlignment="1">
      <alignment horizontal="center"/>
    </xf>
    <xf numFmtId="0" fontId="73" fillId="8" borderId="65" xfId="308" applyFont="1" applyFill="1" applyBorder="1" applyAlignment="1">
      <alignment horizontal="left"/>
    </xf>
    <xf numFmtId="0" fontId="73" fillId="8" borderId="65" xfId="308" applyFont="1" applyFill="1" applyBorder="1" applyAlignment="1">
      <alignment horizontal="center"/>
    </xf>
    <xf numFmtId="205" fontId="73" fillId="8" borderId="65" xfId="308" applyNumberFormat="1" applyFont="1" applyFill="1" applyBorder="1" applyAlignment="1">
      <alignment horizontal="center"/>
    </xf>
    <xf numFmtId="0" fontId="73" fillId="8" borderId="114" xfId="308" applyFont="1" applyFill="1" applyBorder="1" applyAlignment="1">
      <alignment horizontal="center"/>
    </xf>
    <xf numFmtId="0" fontId="73" fillId="62" borderId="115" xfId="308" applyFont="1" applyFill="1" applyBorder="1" applyAlignment="1">
      <alignment horizontal="center"/>
    </xf>
    <xf numFmtId="0" fontId="73" fillId="62" borderId="18" xfId="308" applyFont="1" applyFill="1" applyBorder="1" applyAlignment="1">
      <alignment horizontal="left"/>
    </xf>
    <xf numFmtId="0" fontId="73" fillId="62" borderId="18" xfId="308" applyFont="1" applyFill="1" applyBorder="1" applyAlignment="1">
      <alignment horizontal="center"/>
    </xf>
    <xf numFmtId="205" fontId="73" fillId="62" borderId="18" xfId="308" applyNumberFormat="1" applyFont="1" applyFill="1" applyBorder="1" applyAlignment="1">
      <alignment horizontal="center"/>
    </xf>
    <xf numFmtId="0" fontId="73" fillId="62" borderId="116" xfId="308" applyFont="1" applyFill="1" applyBorder="1" applyAlignment="1">
      <alignment horizontal="center"/>
    </xf>
    <xf numFmtId="0" fontId="76" fillId="0" borderId="117" xfId="308" applyFont="1" applyBorder="1" applyAlignment="1">
      <alignment horizontal="center" vertical="center"/>
    </xf>
    <xf numFmtId="0" fontId="76" fillId="0" borderId="62" xfId="308" applyFont="1" applyBorder="1" applyAlignment="1">
      <alignment horizontal="justify" vertical="center" wrapText="1"/>
    </xf>
    <xf numFmtId="4" fontId="76" fillId="0" borderId="118" xfId="308" applyNumberFormat="1" applyFont="1" applyBorder="1" applyAlignment="1">
      <alignment horizontal="right" vertical="center"/>
    </xf>
    <xf numFmtId="0" fontId="63" fillId="0" borderId="0" xfId="308" applyFont="1"/>
    <xf numFmtId="0" fontId="6" fillId="0" borderId="0" xfId="308"/>
    <xf numFmtId="0" fontId="74" fillId="0" borderId="62" xfId="308" applyFont="1" applyBorder="1" applyAlignment="1">
      <alignment horizontal="justify" vertical="center" wrapText="1"/>
    </xf>
    <xf numFmtId="0" fontId="74" fillId="0" borderId="62" xfId="308" applyFont="1" applyBorder="1" applyAlignment="1">
      <alignment horizontal="center" vertical="center"/>
    </xf>
    <xf numFmtId="205" fontId="77" fillId="0" borderId="62" xfId="308" applyNumberFormat="1" applyFont="1" applyBorder="1" applyAlignment="1">
      <alignment horizontal="center" vertical="center"/>
    </xf>
    <xf numFmtId="4" fontId="74" fillId="0" borderId="118" xfId="308" applyNumberFormat="1" applyFont="1" applyBorder="1" applyAlignment="1">
      <alignment horizontal="right" vertical="center"/>
    </xf>
    <xf numFmtId="0" fontId="9" fillId="0" borderId="0" xfId="308" applyFont="1" applyAlignment="1">
      <alignment horizontal="left" vertical="center"/>
    </xf>
    <xf numFmtId="0" fontId="74" fillId="0" borderId="38" xfId="308" applyFont="1" applyBorder="1" applyAlignment="1">
      <alignment horizontal="justify" vertical="center" wrapText="1"/>
    </xf>
    <xf numFmtId="0" fontId="74" fillId="0" borderId="38" xfId="308" applyFont="1" applyBorder="1" applyAlignment="1">
      <alignment horizontal="center" vertical="center"/>
    </xf>
    <xf numFmtId="205" fontId="77" fillId="0" borderId="38" xfId="308" applyNumberFormat="1" applyFont="1" applyBorder="1" applyAlignment="1">
      <alignment horizontal="center" vertical="center"/>
    </xf>
    <xf numFmtId="0" fontId="74" fillId="7" borderId="62" xfId="308" applyFont="1" applyFill="1" applyBorder="1" applyAlignment="1">
      <alignment horizontal="justify" vertical="center" wrapText="1"/>
    </xf>
    <xf numFmtId="205" fontId="74" fillId="0" borderId="62" xfId="308" applyNumberFormat="1" applyFont="1" applyBorder="1" applyAlignment="1">
      <alignment horizontal="center" vertical="center"/>
    </xf>
    <xf numFmtId="0" fontId="9" fillId="0" borderId="0" xfId="308" applyFont="1" applyAlignment="1">
      <alignment vertical="center"/>
    </xf>
    <xf numFmtId="0" fontId="74" fillId="7" borderId="62" xfId="308" applyFont="1" applyFill="1" applyBorder="1" applyAlignment="1">
      <alignment horizontal="center" vertical="center"/>
    </xf>
    <xf numFmtId="205" fontId="77" fillId="7" borderId="62" xfId="308" applyNumberFormat="1" applyFont="1" applyFill="1" applyBorder="1" applyAlignment="1">
      <alignment horizontal="center" vertical="center"/>
    </xf>
    <xf numFmtId="4" fontId="74" fillId="7" borderId="118" xfId="308" applyNumberFormat="1" applyFont="1" applyFill="1" applyBorder="1" applyAlignment="1">
      <alignment horizontal="right" vertical="center"/>
    </xf>
    <xf numFmtId="0" fontId="74" fillId="0" borderId="62" xfId="308" applyFont="1" applyBorder="1" applyAlignment="1">
      <alignment horizontal="justify" vertical="center"/>
    </xf>
    <xf numFmtId="0" fontId="9" fillId="0" borderId="0" xfId="308" applyFont="1" applyAlignment="1">
      <alignment horizontal="justify" vertical="center"/>
    </xf>
    <xf numFmtId="0" fontId="74" fillId="0" borderId="45" xfId="308" applyFont="1" applyBorder="1" applyAlignment="1">
      <alignment horizontal="center" vertical="center"/>
    </xf>
    <xf numFmtId="205" fontId="74" fillId="0" borderId="45" xfId="308" applyNumberFormat="1" applyFont="1" applyBorder="1" applyAlignment="1">
      <alignment horizontal="center" vertical="center"/>
    </xf>
    <xf numFmtId="4" fontId="74" fillId="0" borderId="119" xfId="308" applyNumberFormat="1" applyFont="1" applyBorder="1" applyAlignment="1">
      <alignment horizontal="right" vertical="center"/>
    </xf>
    <xf numFmtId="0" fontId="49" fillId="0" borderId="120" xfId="308" applyFont="1" applyBorder="1" applyProtection="1">
      <protection locked="0"/>
    </xf>
    <xf numFmtId="0" fontId="73" fillId="0" borderId="121" xfId="308" applyFont="1" applyBorder="1" applyProtection="1">
      <protection locked="0"/>
    </xf>
    <xf numFmtId="0" fontId="74" fillId="0" borderId="121" xfId="308" applyFont="1" applyBorder="1" applyProtection="1">
      <protection locked="0"/>
    </xf>
    <xf numFmtId="205" fontId="74" fillId="0" borderId="121" xfId="308" applyNumberFormat="1" applyFont="1" applyBorder="1" applyAlignment="1" applyProtection="1">
      <alignment horizontal="center" vertical="center"/>
      <protection locked="0"/>
    </xf>
    <xf numFmtId="4" fontId="73" fillId="0" borderId="122" xfId="308" applyNumberFormat="1" applyFont="1" applyBorder="1" applyAlignment="1">
      <alignment horizontal="right" vertical="center"/>
    </xf>
    <xf numFmtId="0" fontId="73" fillId="62" borderId="123" xfId="308" applyFont="1" applyFill="1" applyBorder="1" applyAlignment="1">
      <alignment horizontal="center"/>
    </xf>
    <xf numFmtId="0" fontId="73" fillId="62" borderId="26" xfId="308" applyFont="1" applyFill="1" applyBorder="1" applyAlignment="1">
      <alignment horizontal="left"/>
    </xf>
    <xf numFmtId="0" fontId="73" fillId="62" borderId="26" xfId="308" applyFont="1" applyFill="1" applyBorder="1" applyAlignment="1">
      <alignment horizontal="center"/>
    </xf>
    <xf numFmtId="205" fontId="73" fillId="62" borderId="26" xfId="308" applyNumberFormat="1" applyFont="1" applyFill="1" applyBorder="1" applyAlignment="1">
      <alignment horizontal="center" vertical="center"/>
    </xf>
    <xf numFmtId="4" fontId="73" fillId="62" borderId="124" xfId="308" applyNumberFormat="1" applyFont="1" applyFill="1" applyBorder="1" applyAlignment="1">
      <alignment horizontal="right" vertical="center"/>
    </xf>
    <xf numFmtId="0" fontId="9" fillId="0" borderId="0" xfId="308" applyFont="1" applyAlignment="1">
      <alignment horizontal="left"/>
    </xf>
    <xf numFmtId="0" fontId="74" fillId="0" borderId="117" xfId="308" applyFont="1" applyBorder="1" applyAlignment="1">
      <alignment horizontal="center" vertical="center"/>
    </xf>
    <xf numFmtId="0" fontId="73" fillId="0" borderId="62" xfId="308" applyFont="1" applyBorder="1" applyAlignment="1">
      <alignment horizontal="justify" vertical="center" wrapText="1"/>
    </xf>
    <xf numFmtId="0" fontId="74" fillId="0" borderId="62" xfId="308" applyFont="1" applyBorder="1" applyAlignment="1">
      <alignment horizontal="center" vertical="center" wrapText="1"/>
    </xf>
    <xf numFmtId="0" fontId="74" fillId="7" borderId="125" xfId="308" applyFont="1" applyFill="1" applyBorder="1" applyAlignment="1">
      <alignment horizontal="center" vertical="center"/>
    </xf>
    <xf numFmtId="205" fontId="74" fillId="7" borderId="62" xfId="308" applyNumberFormat="1" applyFont="1" applyFill="1" applyBorder="1" applyAlignment="1">
      <alignment horizontal="center" vertical="center"/>
    </xf>
    <xf numFmtId="4" fontId="74" fillId="0" borderId="62" xfId="308" applyNumberFormat="1" applyFont="1" applyBorder="1" applyAlignment="1">
      <alignment horizontal="center" vertical="center"/>
    </xf>
    <xf numFmtId="0" fontId="74" fillId="0" borderId="45" xfId="308" applyFont="1" applyBorder="1" applyAlignment="1">
      <alignment horizontal="justify" vertical="center" wrapText="1"/>
    </xf>
    <xf numFmtId="4" fontId="74" fillId="7" borderId="62" xfId="308" applyNumberFormat="1" applyFont="1" applyFill="1" applyBorder="1" applyAlignment="1">
      <alignment horizontal="center" vertical="center"/>
    </xf>
    <xf numFmtId="0" fontId="74" fillId="0" borderId="126" xfId="308" applyFont="1" applyBorder="1" applyAlignment="1">
      <alignment horizontal="center" vertical="center"/>
    </xf>
    <xf numFmtId="49" fontId="74" fillId="7" borderId="62" xfId="308" applyNumberFormat="1" applyFont="1" applyFill="1" applyBorder="1" applyAlignment="1">
      <alignment horizontal="justify"/>
    </xf>
    <xf numFmtId="0" fontId="74" fillId="0" borderId="38" xfId="308" applyFont="1" applyBorder="1" applyAlignment="1">
      <alignment horizontal="center" vertical="center" wrapText="1"/>
    </xf>
    <xf numFmtId="0" fontId="76" fillId="0" borderId="92" xfId="308" applyFont="1" applyBorder="1" applyAlignment="1">
      <alignment wrapText="1"/>
    </xf>
    <xf numFmtId="0" fontId="74" fillId="0" borderId="92" xfId="308" applyFont="1" applyBorder="1" applyAlignment="1">
      <alignment horizontal="center" vertical="center" wrapText="1" indent="1"/>
    </xf>
    <xf numFmtId="4" fontId="74" fillId="0" borderId="92" xfId="308" applyNumberFormat="1" applyFont="1" applyBorder="1" applyAlignment="1">
      <alignment horizontal="center" vertical="center" wrapText="1" indent="1"/>
    </xf>
    <xf numFmtId="0" fontId="74" fillId="7" borderId="62" xfId="143" applyFont="1" applyFill="1" applyBorder="1" applyAlignment="1">
      <alignment horizontal="justify" vertical="center" wrapText="1"/>
    </xf>
    <xf numFmtId="0" fontId="74" fillId="0" borderId="62" xfId="143" applyFont="1" applyBorder="1" applyAlignment="1">
      <alignment horizontal="center" vertical="center"/>
    </xf>
    <xf numFmtId="205" fontId="74" fillId="0" borderId="62" xfId="143" applyNumberFormat="1" applyFont="1" applyBorder="1" applyAlignment="1">
      <alignment horizontal="center" vertical="center"/>
    </xf>
    <xf numFmtId="4" fontId="74" fillId="0" borderId="118" xfId="143" applyNumberFormat="1" applyFont="1" applyBorder="1" applyAlignment="1">
      <alignment horizontal="right" vertical="center"/>
    </xf>
    <xf numFmtId="0" fontId="9" fillId="0" borderId="127" xfId="308" applyFont="1" applyBorder="1"/>
    <xf numFmtId="0" fontId="73" fillId="0" borderId="4" xfId="308" applyFont="1" applyBorder="1" applyAlignment="1">
      <alignment horizontal="justify"/>
    </xf>
    <xf numFmtId="0" fontId="73" fillId="0" borderId="53" xfId="308" applyFont="1" applyBorder="1"/>
    <xf numFmtId="204" fontId="73" fillId="0" borderId="53" xfId="308" applyNumberFormat="1" applyFont="1" applyBorder="1"/>
    <xf numFmtId="205" fontId="73" fillId="0" borderId="128" xfId="242" applyNumberFormat="1" applyFont="1" applyFill="1" applyBorder="1" applyAlignment="1">
      <alignment vertical="center"/>
    </xf>
    <xf numFmtId="4" fontId="9" fillId="0" borderId="0" xfId="308" applyNumberFormat="1" applyFont="1"/>
    <xf numFmtId="4" fontId="78" fillId="0" borderId="0" xfId="308" applyNumberFormat="1" applyFont="1"/>
    <xf numFmtId="0" fontId="9" fillId="0" borderId="68" xfId="308" applyFont="1" applyBorder="1"/>
    <xf numFmtId="0" fontId="79" fillId="0" borderId="0" xfId="308" applyFont="1"/>
    <xf numFmtId="205" fontId="74" fillId="0" borderId="0" xfId="308" applyNumberFormat="1" applyFont="1"/>
    <xf numFmtId="205" fontId="74" fillId="0" borderId="10" xfId="308" applyNumberFormat="1" applyFont="1" applyBorder="1"/>
    <xf numFmtId="0" fontId="16" fillId="0" borderId="0" xfId="308" applyFont="1" applyAlignment="1">
      <alignment horizontal="left"/>
    </xf>
    <xf numFmtId="205" fontId="9" fillId="0" borderId="0" xfId="308" applyNumberFormat="1" applyFont="1"/>
    <xf numFmtId="0" fontId="6" fillId="0" borderId="0" xfId="308" applyAlignment="1" applyProtection="1">
      <alignment vertical="center"/>
      <protection hidden="1"/>
    </xf>
    <xf numFmtId="0" fontId="6" fillId="2" borderId="0" xfId="308" applyFill="1" applyAlignment="1" applyProtection="1">
      <alignment vertical="center"/>
      <protection hidden="1"/>
    </xf>
    <xf numFmtId="180" fontId="6" fillId="2" borderId="0" xfId="308" applyNumberFormat="1" applyFill="1" applyAlignment="1" applyProtection="1">
      <alignment vertical="center"/>
      <protection hidden="1"/>
    </xf>
    <xf numFmtId="0" fontId="8" fillId="0" borderId="14" xfId="308" applyFont="1" applyBorder="1" applyAlignment="1" applyProtection="1">
      <alignment horizontal="center" vertical="center"/>
      <protection hidden="1"/>
    </xf>
    <xf numFmtId="0" fontId="8" fillId="0" borderId="15" xfId="308" applyFont="1" applyBorder="1" applyAlignment="1" applyProtection="1">
      <alignment horizontal="center" vertical="center"/>
      <protection hidden="1"/>
    </xf>
    <xf numFmtId="181" fontId="0" fillId="0" borderId="0" xfId="242" applyNumberFormat="1" applyFont="1" applyBorder="1" applyAlignment="1" applyProtection="1">
      <alignment vertical="center"/>
      <protection hidden="1"/>
    </xf>
    <xf numFmtId="0" fontId="21" fillId="2" borderId="0" xfId="308" applyFont="1" applyFill="1" applyAlignment="1" applyProtection="1">
      <alignment vertical="center"/>
      <protection hidden="1"/>
    </xf>
    <xf numFmtId="178" fontId="6" fillId="0" borderId="0" xfId="308" applyNumberFormat="1" applyAlignment="1" applyProtection="1">
      <alignment vertical="center"/>
      <protection hidden="1"/>
    </xf>
    <xf numFmtId="175" fontId="6" fillId="2" borderId="0" xfId="308" applyNumberFormat="1" applyFill="1" applyAlignment="1" applyProtection="1">
      <alignment vertical="center"/>
      <protection hidden="1"/>
    </xf>
    <xf numFmtId="0" fontId="21" fillId="2" borderId="0" xfId="308" applyFont="1" applyFill="1" applyAlignment="1" applyProtection="1">
      <alignment horizontal="center" vertical="center" wrapText="1"/>
      <protection hidden="1"/>
    </xf>
    <xf numFmtId="0" fontId="9" fillId="0" borderId="101" xfId="12" applyFont="1" applyBorder="1" applyAlignment="1" applyProtection="1">
      <alignment vertical="center"/>
      <protection hidden="1"/>
    </xf>
    <xf numFmtId="0" fontId="9" fillId="0" borderId="101" xfId="12" applyFont="1" applyBorder="1" applyAlignment="1" applyProtection="1">
      <alignment horizontal="left" vertical="center" indent="1"/>
      <protection hidden="1"/>
    </xf>
    <xf numFmtId="180" fontId="6" fillId="2" borderId="0" xfId="242" applyNumberFormat="1" applyFill="1" applyBorder="1" applyAlignment="1" applyProtection="1">
      <alignment vertical="center"/>
      <protection hidden="1"/>
    </xf>
    <xf numFmtId="180" fontId="6" fillId="2" borderId="0" xfId="242" applyNumberFormat="1" applyFont="1" applyFill="1" applyBorder="1" applyAlignment="1" applyProtection="1">
      <alignment horizontal="left" vertical="center"/>
      <protection hidden="1"/>
    </xf>
    <xf numFmtId="0" fontId="80" fillId="0" borderId="0" xfId="143" applyFont="1" applyAlignment="1" applyProtection="1">
      <alignment horizontal="center"/>
      <protection hidden="1"/>
    </xf>
    <xf numFmtId="0" fontId="81" fillId="0" borderId="0" xfId="143" applyFont="1" applyProtection="1">
      <protection hidden="1"/>
    </xf>
    <xf numFmtId="10" fontId="81" fillId="0" borderId="0" xfId="166" applyNumberFormat="1" applyFont="1" applyAlignment="1" applyProtection="1">
      <alignment horizontal="center"/>
      <protection hidden="1"/>
    </xf>
    <xf numFmtId="4" fontId="81" fillId="0" borderId="0" xfId="143" applyNumberFormat="1" applyFont="1" applyProtection="1">
      <protection hidden="1"/>
    </xf>
    <xf numFmtId="4" fontId="81" fillId="0" borderId="0" xfId="166" applyNumberFormat="1" applyFont="1" applyAlignment="1" applyProtection="1">
      <alignment horizontal="center"/>
      <protection hidden="1"/>
    </xf>
    <xf numFmtId="4" fontId="81" fillId="0" borderId="0" xfId="82" applyNumberFormat="1" applyFont="1" applyBorder="1" applyProtection="1">
      <protection hidden="1"/>
    </xf>
    <xf numFmtId="4" fontId="81" fillId="0" borderId="0" xfId="82" applyNumberFormat="1" applyFont="1" applyProtection="1">
      <protection hidden="1"/>
    </xf>
    <xf numFmtId="0" fontId="81" fillId="0" borderId="0" xfId="143" applyFont="1" applyAlignment="1" applyProtection="1">
      <alignment horizontal="center"/>
      <protection hidden="1"/>
    </xf>
    <xf numFmtId="4" fontId="81" fillId="0" borderId="0" xfId="143" applyNumberFormat="1" applyFont="1" applyAlignment="1" applyProtection="1">
      <alignment horizontal="center"/>
      <protection hidden="1"/>
    </xf>
    <xf numFmtId="0" fontId="80" fillId="0" borderId="93" xfId="143" applyFont="1" applyBorder="1" applyProtection="1">
      <protection hidden="1"/>
    </xf>
    <xf numFmtId="10" fontId="80" fillId="0" borderId="93" xfId="166" applyNumberFormat="1" applyFont="1" applyFill="1" applyBorder="1" applyAlignment="1" applyProtection="1">
      <alignment horizontal="center"/>
      <protection hidden="1"/>
    </xf>
    <xf numFmtId="4" fontId="80" fillId="0" borderId="93" xfId="143" applyNumberFormat="1" applyFont="1" applyBorder="1" applyProtection="1">
      <protection hidden="1"/>
    </xf>
    <xf numFmtId="0" fontId="11" fillId="0" borderId="0" xfId="143" applyFont="1"/>
    <xf numFmtId="177" fontId="11" fillId="0" borderId="0" xfId="91" applyNumberFormat="1" applyFont="1" applyFill="1" applyBorder="1"/>
    <xf numFmtId="9" fontId="11" fillId="0" borderId="0" xfId="166" applyFont="1" applyFill="1" applyBorder="1"/>
    <xf numFmtId="0" fontId="74" fillId="48" borderId="38" xfId="145" applyFont="1" applyFill="1" applyBorder="1" applyAlignment="1">
      <alignment horizontal="center" vertical="center"/>
    </xf>
    <xf numFmtId="205" fontId="83" fillId="55" borderId="136" xfId="242" applyNumberFormat="1" applyFont="1" applyFill="1" applyBorder="1"/>
    <xf numFmtId="4" fontId="15" fillId="7" borderId="45" xfId="18" applyNumberFormat="1" applyFont="1" applyFill="1" applyBorder="1" applyAlignment="1">
      <alignment horizontal="center" vertical="center" wrapText="1"/>
    </xf>
    <xf numFmtId="170" fontId="15" fillId="0" borderId="0" xfId="150" applyNumberFormat="1" applyFont="1"/>
    <xf numFmtId="0" fontId="13" fillId="7" borderId="26" xfId="145" applyFont="1" applyFill="1" applyBorder="1" applyAlignment="1">
      <alignment horizontal="justify" vertical="center" wrapText="1"/>
    </xf>
    <xf numFmtId="170" fontId="65" fillId="7" borderId="26" xfId="1" applyFont="1" applyFill="1" applyBorder="1" applyAlignment="1">
      <alignment horizontal="center" vertical="center"/>
    </xf>
    <xf numFmtId="0" fontId="15" fillId="0" borderId="0" xfId="7" applyFont="1" applyAlignment="1">
      <alignment horizontal="center" vertical="center"/>
    </xf>
    <xf numFmtId="186" fontId="13" fillId="0" borderId="36" xfId="7" applyNumberFormat="1" applyFont="1" applyBorder="1" applyAlignment="1">
      <alignment horizontal="center" vertical="center"/>
    </xf>
    <xf numFmtId="186" fontId="13" fillId="0" borderId="0" xfId="198" applyNumberFormat="1" applyFont="1" applyAlignment="1">
      <alignment horizontal="center" vertical="center"/>
    </xf>
    <xf numFmtId="186" fontId="13" fillId="0" borderId="0" xfId="7" applyNumberFormat="1" applyFont="1" applyAlignment="1">
      <alignment horizontal="center" vertical="center"/>
    </xf>
    <xf numFmtId="0" fontId="13" fillId="8" borderId="26" xfId="145" applyFont="1" applyFill="1" applyBorder="1" applyAlignment="1">
      <alignment horizontal="right" vertical="center" wrapText="1"/>
    </xf>
    <xf numFmtId="170" fontId="65" fillId="8" borderId="26" xfId="1" applyFont="1" applyFill="1" applyBorder="1" applyAlignment="1">
      <alignment horizontal="center" vertical="center"/>
    </xf>
    <xf numFmtId="170" fontId="85" fillId="52" borderId="2" xfId="1" applyFont="1" applyFill="1" applyBorder="1" applyAlignment="1">
      <alignment horizontal="left" vertical="center" indent="1"/>
    </xf>
    <xf numFmtId="170" fontId="13" fillId="8" borderId="2" xfId="1" applyFont="1" applyFill="1" applyBorder="1" applyAlignment="1">
      <alignment horizontal="left" vertical="center" indent="1"/>
    </xf>
    <xf numFmtId="186" fontId="15" fillId="0" borderId="45" xfId="145" applyNumberFormat="1" applyFont="1" applyBorder="1" applyAlignment="1">
      <alignment vertical="center"/>
    </xf>
    <xf numFmtId="186" fontId="15" fillId="0" borderId="98" xfId="145" applyNumberFormat="1" applyFont="1" applyBorder="1" applyAlignment="1">
      <alignment vertical="center"/>
    </xf>
    <xf numFmtId="170" fontId="13" fillId="52" borderId="46" xfId="1" applyFont="1" applyFill="1" applyBorder="1" applyAlignment="1">
      <alignment horizontal="center" vertical="center"/>
    </xf>
    <xf numFmtId="186" fontId="13" fillId="7" borderId="49" xfId="145" applyNumberFormat="1" applyFont="1" applyFill="1" applyBorder="1" applyAlignment="1">
      <alignment horizontal="center" vertical="center"/>
    </xf>
    <xf numFmtId="170" fontId="15" fillId="7" borderId="26" xfId="1" applyFont="1" applyFill="1" applyBorder="1" applyAlignment="1">
      <alignment horizontal="center" vertical="center"/>
    </xf>
    <xf numFmtId="1" fontId="13" fillId="52" borderId="55" xfId="145" applyNumberFormat="1" applyFont="1" applyFill="1" applyBorder="1" applyAlignment="1">
      <alignment horizontal="center" vertical="center"/>
    </xf>
    <xf numFmtId="0" fontId="13" fillId="52" borderId="46" xfId="145" applyFont="1" applyFill="1" applyBorder="1" applyAlignment="1">
      <alignment vertical="center"/>
    </xf>
    <xf numFmtId="4" fontId="13" fillId="52" borderId="46" xfId="145" applyNumberFormat="1" applyFont="1" applyFill="1" applyBorder="1" applyAlignment="1">
      <alignment horizontal="center" vertical="center"/>
    </xf>
    <xf numFmtId="170" fontId="13" fillId="52" borderId="25" xfId="1" applyFont="1" applyFill="1" applyBorder="1" applyAlignment="1">
      <alignment vertical="center"/>
    </xf>
    <xf numFmtId="170" fontId="64" fillId="8" borderId="26" xfId="1" applyFont="1" applyFill="1" applyBorder="1" applyAlignment="1">
      <alignment horizontal="center" vertical="center"/>
    </xf>
    <xf numFmtId="0" fontId="13" fillId="52" borderId="26" xfId="145" applyFont="1" applyFill="1" applyBorder="1" applyAlignment="1">
      <alignment horizontal="justify" vertical="center" wrapText="1"/>
    </xf>
    <xf numFmtId="0" fontId="13" fillId="8" borderId="1" xfId="145" applyFont="1" applyFill="1" applyBorder="1" applyAlignment="1">
      <alignment horizontal="right" vertical="center"/>
    </xf>
    <xf numFmtId="0" fontId="13" fillId="8" borderId="28" xfId="145" applyFont="1" applyFill="1" applyBorder="1" applyAlignment="1">
      <alignment horizontal="right" vertical="center"/>
    </xf>
    <xf numFmtId="0" fontId="13" fillId="8" borderId="3" xfId="145" applyFont="1" applyFill="1" applyBorder="1" applyAlignment="1">
      <alignment horizontal="right" vertical="center"/>
    </xf>
    <xf numFmtId="170" fontId="13" fillId="48" borderId="50" xfId="1" applyFont="1" applyFill="1" applyBorder="1" applyAlignment="1">
      <alignment horizontal="center" vertical="center" wrapText="1"/>
    </xf>
    <xf numFmtId="4" fontId="86" fillId="0" borderId="0" xfId="0" applyNumberFormat="1" applyFont="1" applyAlignment="1">
      <alignment vertical="center" wrapText="1"/>
    </xf>
    <xf numFmtId="4" fontId="15" fillId="0" borderId="0" xfId="150" applyNumberFormat="1" applyFont="1"/>
    <xf numFmtId="4" fontId="6" fillId="0" borderId="0" xfId="308" applyNumberFormat="1"/>
    <xf numFmtId="4" fontId="9" fillId="0" borderId="0" xfId="308" applyNumberFormat="1" applyFont="1" applyAlignment="1">
      <alignment horizontal="center"/>
    </xf>
    <xf numFmtId="4" fontId="9" fillId="0" borderId="0" xfId="308" applyNumberFormat="1" applyFont="1" applyAlignment="1">
      <alignment horizontal="left" vertical="center"/>
    </xf>
    <xf numFmtId="169" fontId="71" fillId="41" borderId="0" xfId="333" applyFont="1" applyFill="1" applyAlignment="1">
      <alignment horizontal="left"/>
    </xf>
    <xf numFmtId="186" fontId="13" fillId="7" borderId="137" xfId="145" applyNumberFormat="1" applyFont="1" applyFill="1" applyBorder="1" applyAlignment="1">
      <alignment horizontal="center" vertical="center"/>
    </xf>
    <xf numFmtId="170" fontId="15" fillId="7" borderId="138" xfId="1" applyFont="1" applyFill="1" applyBorder="1" applyAlignment="1">
      <alignment horizontal="center" vertical="center"/>
    </xf>
    <xf numFmtId="2" fontId="13" fillId="7" borderId="137" xfId="145" applyNumberFormat="1" applyFont="1" applyFill="1" applyBorder="1" applyAlignment="1">
      <alignment horizontal="center" vertical="center"/>
    </xf>
    <xf numFmtId="186" fontId="13" fillId="0" borderId="36" xfId="7" applyNumberFormat="1" applyFont="1" applyBorder="1" applyAlignment="1">
      <alignment horizontal="center"/>
    </xf>
    <xf numFmtId="170" fontId="15" fillId="7" borderId="36" xfId="193" applyFont="1" applyFill="1" applyBorder="1" applyAlignment="1">
      <alignment horizontal="center" vertical="center"/>
    </xf>
    <xf numFmtId="170" fontId="15" fillId="0" borderId="36" xfId="193" applyFont="1" applyBorder="1"/>
    <xf numFmtId="0" fontId="15" fillId="0" borderId="129" xfId="7" applyFont="1" applyBorder="1"/>
    <xf numFmtId="170" fontId="15" fillId="7" borderId="0" xfId="193" applyFont="1" applyFill="1" applyAlignment="1">
      <alignment horizontal="center" vertical="center"/>
    </xf>
    <xf numFmtId="170" fontId="15" fillId="0" borderId="0" xfId="193" applyFont="1"/>
    <xf numFmtId="0" fontId="15" fillId="0" borderId="130" xfId="7" applyFont="1" applyBorder="1"/>
    <xf numFmtId="0" fontId="15" fillId="7" borderId="130" xfId="7" applyFont="1" applyFill="1" applyBorder="1"/>
    <xf numFmtId="0" fontId="13" fillId="0" borderId="27" xfId="196" applyFont="1" applyBorder="1" applyAlignment="1">
      <alignment horizontal="center" vertical="center" wrapText="1"/>
    </xf>
    <xf numFmtId="0" fontId="13" fillId="0" borderId="140" xfId="196" applyFont="1" applyBorder="1" applyAlignment="1">
      <alignment horizontal="center" vertical="center" wrapText="1"/>
    </xf>
    <xf numFmtId="170" fontId="13" fillId="52" borderId="10" xfId="193" applyFont="1" applyFill="1" applyBorder="1" applyAlignment="1">
      <alignment horizontal="center" vertical="center"/>
    </xf>
    <xf numFmtId="170" fontId="13" fillId="52" borderId="11" xfId="193" applyFont="1" applyFill="1" applyBorder="1" applyAlignment="1">
      <alignment vertical="center"/>
    </xf>
    <xf numFmtId="170" fontId="64" fillId="7" borderId="18" xfId="193" applyFont="1" applyFill="1" applyBorder="1" applyAlignment="1">
      <alignment horizontal="center" vertical="center"/>
    </xf>
    <xf numFmtId="186" fontId="13" fillId="7" borderId="142" xfId="145" applyNumberFormat="1" applyFont="1" applyFill="1" applyBorder="1" applyAlignment="1">
      <alignment horizontal="center" vertical="center"/>
    </xf>
    <xf numFmtId="170" fontId="64" fillId="52" borderId="53" xfId="193" applyFont="1" applyFill="1" applyBorder="1" applyAlignment="1">
      <alignment horizontal="center" vertical="center"/>
    </xf>
    <xf numFmtId="170" fontId="13" fillId="52" borderId="2" xfId="193" applyFont="1" applyFill="1" applyBorder="1" applyAlignment="1">
      <alignment vertical="center"/>
    </xf>
    <xf numFmtId="170" fontId="64" fillId="7" borderId="26" xfId="193" applyFont="1" applyFill="1" applyBorder="1" applyAlignment="1">
      <alignment horizontal="center" vertical="center"/>
    </xf>
    <xf numFmtId="0" fontId="15" fillId="0" borderId="26" xfId="145" applyFont="1" applyBorder="1" applyAlignment="1">
      <alignment horizontal="justify" vertical="justify" wrapText="1"/>
    </xf>
    <xf numFmtId="170" fontId="15" fillId="52" borderId="52" xfId="193" applyFont="1" applyFill="1" applyBorder="1" applyAlignment="1">
      <alignment horizontal="right" vertical="center" wrapText="1"/>
    </xf>
    <xf numFmtId="170" fontId="15" fillId="52" borderId="2" xfId="193" applyFont="1" applyFill="1" applyBorder="1" applyAlignment="1">
      <alignment vertical="center"/>
    </xf>
    <xf numFmtId="2" fontId="15" fillId="0" borderId="47" xfId="145" applyNumberFormat="1" applyFont="1" applyBorder="1" applyAlignment="1">
      <alignment horizontal="center" vertical="center"/>
    </xf>
    <xf numFmtId="2" fontId="15" fillId="0" borderId="26" xfId="145" applyNumberFormat="1" applyFont="1" applyBorder="1" applyAlignment="1">
      <alignment horizontal="center" vertical="center"/>
    </xf>
    <xf numFmtId="186" fontId="13" fillId="0" borderId="142" xfId="145" applyNumberFormat="1" applyFont="1" applyBorder="1" applyAlignment="1">
      <alignment horizontal="center" vertical="center"/>
    </xf>
    <xf numFmtId="0" fontId="13" fillId="7" borderId="47" xfId="145" applyFont="1" applyFill="1" applyBorder="1" applyAlignment="1">
      <alignment vertical="center"/>
    </xf>
    <xf numFmtId="0" fontId="13" fillId="7" borderId="26" xfId="145" applyFont="1" applyFill="1" applyBorder="1" applyAlignment="1">
      <alignment vertical="center"/>
    </xf>
    <xf numFmtId="170" fontId="13" fillId="52" borderId="52" xfId="193" applyFont="1" applyFill="1" applyBorder="1" applyAlignment="1">
      <alignment horizontal="right" vertical="center"/>
    </xf>
    <xf numFmtId="0" fontId="15" fillId="7" borderId="26" xfId="145" applyFont="1" applyFill="1" applyBorder="1" applyAlignment="1">
      <alignment horizontal="justify" vertical="justify" wrapText="1"/>
    </xf>
    <xf numFmtId="170" fontId="13" fillId="52" borderId="2" xfId="193" applyFont="1" applyFill="1" applyBorder="1" applyAlignment="1">
      <alignment horizontal="left" vertical="center" indent="1"/>
    </xf>
    <xf numFmtId="0" fontId="15" fillId="0" borderId="130" xfId="150" applyFont="1" applyBorder="1"/>
    <xf numFmtId="186" fontId="13" fillId="0" borderId="0" xfId="198" applyNumberFormat="1" applyFont="1" applyAlignment="1">
      <alignment horizontal="center"/>
    </xf>
    <xf numFmtId="0" fontId="13" fillId="0" borderId="144" xfId="198" applyFont="1" applyBorder="1" applyAlignment="1">
      <alignment horizontal="left" vertical="center"/>
    </xf>
    <xf numFmtId="9" fontId="15" fillId="0" borderId="145" xfId="199" applyNumberFormat="1" applyFont="1" applyBorder="1" applyAlignment="1">
      <alignment horizontal="center" vertical="center"/>
    </xf>
    <xf numFmtId="4" fontId="13" fillId="0" borderId="145" xfId="199" applyNumberFormat="1" applyFont="1" applyBorder="1" applyAlignment="1">
      <alignment horizontal="center" vertical="center"/>
    </xf>
    <xf numFmtId="170" fontId="15" fillId="7" borderId="147" xfId="193" applyFont="1" applyFill="1" applyBorder="1" applyAlignment="1">
      <alignment horizontal="center" vertical="center"/>
    </xf>
    <xf numFmtId="170" fontId="13" fillId="0" borderId="0" xfId="193" applyFont="1" applyAlignment="1">
      <alignment vertical="center"/>
    </xf>
    <xf numFmtId="208" fontId="15" fillId="0" borderId="130" xfId="150" applyNumberFormat="1" applyFont="1" applyBorder="1"/>
    <xf numFmtId="170" fontId="13" fillId="41" borderId="50" xfId="193" applyFont="1" applyFill="1" applyBorder="1" applyAlignment="1">
      <alignment horizontal="center" vertical="center" wrapText="1"/>
    </xf>
    <xf numFmtId="209" fontId="15" fillId="0" borderId="130" xfId="150" applyNumberFormat="1" applyFont="1" applyBorder="1"/>
    <xf numFmtId="9" fontId="15" fillId="39" borderId="138" xfId="193" applyNumberFormat="1" applyFont="1" applyFill="1" applyBorder="1" applyAlignment="1">
      <alignment horizontal="center" vertical="center"/>
    </xf>
    <xf numFmtId="0" fontId="15" fillId="0" borderId="131" xfId="150" applyFont="1" applyBorder="1"/>
    <xf numFmtId="186" fontId="13" fillId="0" borderId="132" xfId="7" applyNumberFormat="1" applyFont="1" applyBorder="1" applyAlignment="1">
      <alignment horizontal="center"/>
    </xf>
    <xf numFmtId="0" fontId="15" fillId="0" borderId="132" xfId="7" applyFont="1" applyBorder="1"/>
    <xf numFmtId="0" fontId="15" fillId="0" borderId="132" xfId="7" applyFont="1" applyBorder="1" applyAlignment="1">
      <alignment horizontal="center"/>
    </xf>
    <xf numFmtId="187" fontId="15" fillId="0" borderId="132" xfId="85" applyNumberFormat="1" applyFont="1" applyBorder="1"/>
    <xf numFmtId="4" fontId="15" fillId="0" borderId="132" xfId="7" applyNumberFormat="1" applyFont="1" applyBorder="1" applyAlignment="1">
      <alignment horizontal="center" vertical="center"/>
    </xf>
    <xf numFmtId="170" fontId="15" fillId="7" borderId="132" xfId="193" applyFont="1" applyFill="1" applyBorder="1" applyAlignment="1">
      <alignment horizontal="center" vertical="center"/>
    </xf>
    <xf numFmtId="170" fontId="15" fillId="0" borderId="132" xfId="193" applyFont="1" applyBorder="1"/>
    <xf numFmtId="0" fontId="15" fillId="0" borderId="133" xfId="7" applyFont="1" applyBorder="1"/>
    <xf numFmtId="186" fontId="13" fillId="0" borderId="0" xfId="7" applyNumberFormat="1" applyFont="1" applyAlignment="1">
      <alignment horizontal="center"/>
    </xf>
    <xf numFmtId="2" fontId="13" fillId="52" borderId="103" xfId="145" applyNumberFormat="1" applyFont="1" applyFill="1" applyBorder="1" applyAlignment="1">
      <alignment horizontal="center" vertical="center"/>
    </xf>
    <xf numFmtId="2" fontId="13" fillId="52" borderId="45" xfId="145" applyNumberFormat="1" applyFont="1" applyFill="1" applyBorder="1" applyAlignment="1">
      <alignment horizontal="center" vertical="center"/>
    </xf>
    <xf numFmtId="0" fontId="13" fillId="52" borderId="45" xfId="145" applyFont="1" applyFill="1" applyBorder="1" applyAlignment="1">
      <alignment horizontal="left" vertical="center" wrapText="1"/>
    </xf>
    <xf numFmtId="0" fontId="15" fillId="52" borderId="45" xfId="145" applyFont="1" applyFill="1" applyBorder="1" applyAlignment="1">
      <alignment horizontal="center" vertical="center"/>
    </xf>
    <xf numFmtId="4" fontId="15" fillId="52" borderId="45" xfId="18" applyNumberFormat="1" applyFont="1" applyFill="1" applyBorder="1" applyAlignment="1">
      <alignment horizontal="center" vertical="center" wrapText="1"/>
    </xf>
    <xf numFmtId="170" fontId="64" fillId="52" borderId="45" xfId="193" applyFont="1" applyFill="1" applyBorder="1" applyAlignment="1">
      <alignment horizontal="center" vertical="center"/>
    </xf>
    <xf numFmtId="170" fontId="13" fillId="52" borderId="68" xfId="193" applyFont="1" applyFill="1" applyBorder="1" applyAlignment="1">
      <alignment horizontal="right" vertical="center"/>
    </xf>
    <xf numFmtId="0" fontId="74" fillId="41" borderId="62" xfId="308" applyFont="1" applyFill="1" applyBorder="1" applyAlignment="1">
      <alignment horizontal="justify" vertical="center" wrapText="1"/>
    </xf>
    <xf numFmtId="1" fontId="13" fillId="52" borderId="16" xfId="145" applyNumberFormat="1" applyFont="1" applyFill="1" applyBorder="1" applyAlignment="1">
      <alignment horizontal="center" vertical="center"/>
    </xf>
    <xf numFmtId="0" fontId="9" fillId="0" borderId="0" xfId="335" applyFont="1"/>
    <xf numFmtId="205" fontId="9" fillId="0" borderId="0" xfId="335" applyNumberFormat="1" applyFont="1"/>
    <xf numFmtId="0" fontId="74" fillId="0" borderId="0" xfId="335" applyFont="1"/>
    <xf numFmtId="205" fontId="74" fillId="0" borderId="0" xfId="335" applyNumberFormat="1" applyFont="1"/>
    <xf numFmtId="0" fontId="79" fillId="0" borderId="0" xfId="335" applyFont="1"/>
    <xf numFmtId="204" fontId="74" fillId="59" borderId="0" xfId="335" applyNumberFormat="1" applyFont="1" applyFill="1"/>
    <xf numFmtId="0" fontId="74" fillId="59" borderId="0" xfId="335" applyFont="1" applyFill="1"/>
    <xf numFmtId="0" fontId="9" fillId="59" borderId="0" xfId="335" applyFont="1" applyFill="1"/>
    <xf numFmtId="205" fontId="74" fillId="0" borderId="0" xfId="335" applyNumberFormat="1" applyFont="1" applyAlignment="1">
      <alignment horizontal="right"/>
    </xf>
    <xf numFmtId="205" fontId="74" fillId="0" borderId="0" xfId="335" applyNumberFormat="1" applyFont="1" applyAlignment="1">
      <alignment horizontal="right" vertical="center"/>
    </xf>
    <xf numFmtId="205" fontId="73" fillId="0" borderId="0" xfId="335" applyNumberFormat="1" applyFont="1" applyAlignment="1">
      <alignment horizontal="right"/>
    </xf>
    <xf numFmtId="205" fontId="73" fillId="0" borderId="0" xfId="335" applyNumberFormat="1" applyFont="1" applyAlignment="1">
      <alignment horizontal="right" vertical="center"/>
    </xf>
    <xf numFmtId="0" fontId="72" fillId="0" borderId="0" xfId="335" applyFont="1" applyAlignment="1">
      <alignment horizontal="left"/>
    </xf>
    <xf numFmtId="0" fontId="16" fillId="0" borderId="0" xfId="335" applyFont="1" applyAlignment="1">
      <alignment horizontal="left"/>
    </xf>
    <xf numFmtId="205" fontId="74" fillId="0" borderId="10" xfId="335" applyNumberFormat="1" applyFont="1" applyBorder="1"/>
    <xf numFmtId="0" fontId="9" fillId="0" borderId="68" xfId="335" applyFont="1" applyBorder="1"/>
    <xf numFmtId="4" fontId="9" fillId="0" borderId="0" xfId="335" applyNumberFormat="1" applyFont="1"/>
    <xf numFmtId="4" fontId="78" fillId="0" borderId="0" xfId="335" applyNumberFormat="1" applyFont="1"/>
    <xf numFmtId="0" fontId="9" fillId="0" borderId="0" xfId="335" applyFont="1" applyAlignment="1">
      <alignment horizontal="justify" vertical="center"/>
    </xf>
    <xf numFmtId="204" fontId="73" fillId="0" borderId="53" xfId="335" applyNumberFormat="1" applyFont="1" applyBorder="1"/>
    <xf numFmtId="0" fontId="73" fillId="0" borderId="53" xfId="335" applyFont="1" applyBorder="1"/>
    <xf numFmtId="0" fontId="73" fillId="0" borderId="4" xfId="335" applyFont="1" applyBorder="1" applyAlignment="1">
      <alignment horizontal="justify"/>
    </xf>
    <xf numFmtId="0" fontId="9" fillId="0" borderId="127" xfId="335" applyFont="1" applyBorder="1"/>
    <xf numFmtId="0" fontId="9" fillId="0" borderId="0" xfId="335" applyFont="1" applyAlignment="1">
      <alignment horizontal="center"/>
    </xf>
    <xf numFmtId="0" fontId="9" fillId="0" borderId="0" xfId="335" applyFont="1" applyAlignment="1">
      <alignment horizontal="left"/>
    </xf>
    <xf numFmtId="205" fontId="73" fillId="0" borderId="119" xfId="335" applyNumberFormat="1" applyFont="1" applyBorder="1"/>
    <xf numFmtId="205" fontId="74" fillId="0" borderId="45" xfId="335" applyNumberFormat="1" applyFont="1" applyBorder="1" applyProtection="1">
      <protection locked="0"/>
    </xf>
    <xf numFmtId="0" fontId="74" fillId="0" borderId="45" xfId="335" applyFont="1" applyBorder="1" applyProtection="1">
      <protection locked="0"/>
    </xf>
    <xf numFmtId="0" fontId="73" fillId="0" borderId="68" xfId="335" applyFont="1" applyBorder="1" applyProtection="1">
      <protection locked="0"/>
    </xf>
    <xf numFmtId="0" fontId="49" fillId="0" borderId="135" xfId="335" applyFont="1" applyBorder="1" applyProtection="1">
      <protection locked="0"/>
    </xf>
    <xf numFmtId="0" fontId="9" fillId="0" borderId="0" xfId="335" applyFont="1" applyAlignment="1">
      <alignment horizontal="left" vertical="center"/>
    </xf>
    <xf numFmtId="4" fontId="73" fillId="0" borderId="122" xfId="335" applyNumberFormat="1" applyFont="1" applyBorder="1" applyAlignment="1">
      <alignment horizontal="right" vertical="center"/>
    </xf>
    <xf numFmtId="205" fontId="74" fillId="0" borderId="121" xfId="335" applyNumberFormat="1" applyFont="1" applyBorder="1" applyAlignment="1" applyProtection="1">
      <alignment horizontal="center" vertical="center"/>
      <protection locked="0"/>
    </xf>
    <xf numFmtId="0" fontId="74" fillId="0" borderId="121" xfId="335" applyFont="1" applyBorder="1" applyProtection="1">
      <protection locked="0"/>
    </xf>
    <xf numFmtId="0" fontId="73" fillId="0" borderId="121" xfId="335" applyFont="1" applyBorder="1" applyProtection="1">
      <protection locked="0"/>
    </xf>
    <xf numFmtId="0" fontId="49" fillId="0" borderId="120" xfId="335" applyFont="1" applyBorder="1" applyProtection="1">
      <protection locked="0"/>
    </xf>
    <xf numFmtId="4" fontId="74" fillId="0" borderId="119" xfId="335" applyNumberFormat="1" applyFont="1" applyBorder="1" applyAlignment="1">
      <alignment horizontal="right" vertical="center"/>
    </xf>
    <xf numFmtId="205" fontId="74" fillId="0" borderId="45" xfId="335" applyNumberFormat="1" applyFont="1" applyBorder="1" applyAlignment="1">
      <alignment horizontal="center" vertical="center"/>
    </xf>
    <xf numFmtId="0" fontId="74" fillId="48" borderId="45" xfId="335" applyFont="1" applyFill="1" applyBorder="1" applyAlignment="1">
      <alignment horizontal="center" vertical="center"/>
    </xf>
    <xf numFmtId="0" fontId="74" fillId="48" borderId="45" xfId="335" applyFont="1" applyFill="1" applyBorder="1" applyAlignment="1">
      <alignment horizontal="center" vertical="center" wrapText="1"/>
    </xf>
    <xf numFmtId="0" fontId="74" fillId="48" borderId="45" xfId="335" applyFont="1" applyFill="1" applyBorder="1" applyAlignment="1">
      <alignment horizontal="justify" vertical="center" wrapText="1"/>
    </xf>
    <xf numFmtId="0" fontId="74" fillId="48" borderId="125" xfId="335" applyFont="1" applyFill="1" applyBorder="1" applyAlignment="1">
      <alignment horizontal="center" vertical="center"/>
    </xf>
    <xf numFmtId="4" fontId="74" fillId="0" borderId="134" xfId="335" applyNumberFormat="1" applyFont="1" applyBorder="1" applyAlignment="1">
      <alignment horizontal="right" vertical="center"/>
    </xf>
    <xf numFmtId="205" fontId="74" fillId="0" borderId="38" xfId="335" applyNumberFormat="1" applyFont="1" applyBorder="1" applyAlignment="1">
      <alignment horizontal="center" vertical="center"/>
    </xf>
    <xf numFmtId="0" fontId="74" fillId="48" borderId="62" xfId="335" applyFont="1" applyFill="1" applyBorder="1" applyAlignment="1">
      <alignment horizontal="center" vertical="center"/>
    </xf>
    <xf numFmtId="0" fontId="74" fillId="48" borderId="38" xfId="335" applyFont="1" applyFill="1" applyBorder="1" applyAlignment="1">
      <alignment horizontal="center" vertical="center"/>
    </xf>
    <xf numFmtId="0" fontId="74" fillId="48" borderId="38" xfId="335" applyFont="1" applyFill="1" applyBorder="1" applyAlignment="1">
      <alignment horizontal="justify" vertical="center" wrapText="1"/>
    </xf>
    <xf numFmtId="0" fontId="74" fillId="48" borderId="62" xfId="335" applyFont="1" applyFill="1" applyBorder="1" applyAlignment="1">
      <alignment horizontal="center" vertical="center" wrapText="1"/>
    </xf>
    <xf numFmtId="0" fontId="74" fillId="48" borderId="38" xfId="335" applyFont="1" applyFill="1" applyBorder="1" applyAlignment="1">
      <alignment horizontal="justify" vertical="center"/>
    </xf>
    <xf numFmtId="4" fontId="74" fillId="0" borderId="118" xfId="335" applyNumberFormat="1" applyFont="1" applyBorder="1" applyAlignment="1">
      <alignment horizontal="right" vertical="center"/>
    </xf>
    <xf numFmtId="205" fontId="74" fillId="0" borderId="62" xfId="335" applyNumberFormat="1" applyFont="1" applyBorder="1" applyAlignment="1">
      <alignment horizontal="center" vertical="center"/>
    </xf>
    <xf numFmtId="0" fontId="74" fillId="0" borderId="62" xfId="335" applyFont="1" applyBorder="1" applyAlignment="1">
      <alignment horizontal="center" vertical="center"/>
    </xf>
    <xf numFmtId="0" fontId="74" fillId="0" borderId="62" xfId="335" applyFont="1" applyBorder="1" applyAlignment="1">
      <alignment horizontal="center" vertical="center" wrapText="1"/>
    </xf>
    <xf numFmtId="0" fontId="73" fillId="0" borderId="62" xfId="335" applyFont="1" applyBorder="1" applyAlignment="1">
      <alignment horizontal="justify" vertical="center" wrapText="1"/>
    </xf>
    <xf numFmtId="0" fontId="74" fillId="0" borderId="117" xfId="335" applyFont="1" applyBorder="1" applyAlignment="1">
      <alignment horizontal="center" vertical="center"/>
    </xf>
    <xf numFmtId="205" fontId="74" fillId="0" borderId="44" xfId="335" applyNumberFormat="1" applyFont="1" applyBorder="1" applyAlignment="1">
      <alignment horizontal="center" vertical="center"/>
    </xf>
    <xf numFmtId="0" fontId="74" fillId="48" borderId="44" xfId="335" applyFont="1" applyFill="1" applyBorder="1" applyAlignment="1">
      <alignment horizontal="center" vertical="center"/>
    </xf>
    <xf numFmtId="0" fontId="74" fillId="48" borderId="44" xfId="335" applyFont="1" applyFill="1" applyBorder="1" applyAlignment="1">
      <alignment horizontal="justify" vertical="center" wrapText="1"/>
    </xf>
    <xf numFmtId="0" fontId="74" fillId="48" borderId="135" xfId="335" applyFont="1" applyFill="1" applyBorder="1" applyAlignment="1">
      <alignment horizontal="center" vertical="center"/>
    </xf>
    <xf numFmtId="2" fontId="74" fillId="48" borderId="38" xfId="335" applyNumberFormat="1" applyFont="1" applyFill="1" applyBorder="1" applyAlignment="1">
      <alignment horizontal="center" vertical="center"/>
    </xf>
    <xf numFmtId="0" fontId="74" fillId="0" borderId="38" xfId="335" applyFont="1" applyBorder="1" applyAlignment="1">
      <alignment horizontal="center" vertical="center"/>
    </xf>
    <xf numFmtId="0" fontId="73" fillId="0" borderId="38" xfId="335" applyFont="1" applyBorder="1" applyAlignment="1">
      <alignment horizontal="justify" vertical="center" wrapText="1"/>
    </xf>
    <xf numFmtId="0" fontId="74" fillId="0" borderId="125" xfId="335" applyFont="1" applyBorder="1" applyAlignment="1">
      <alignment horizontal="center" vertical="center"/>
    </xf>
    <xf numFmtId="0" fontId="73" fillId="8" borderId="114" xfId="335" applyFont="1" applyFill="1" applyBorder="1" applyAlignment="1">
      <alignment horizontal="center"/>
    </xf>
    <xf numFmtId="205" fontId="73" fillId="8" borderId="65" xfId="335" applyNumberFormat="1" applyFont="1" applyFill="1" applyBorder="1" applyAlignment="1">
      <alignment horizontal="center"/>
    </xf>
    <xf numFmtId="0" fontId="73" fillId="8" borderId="65" xfId="335" applyFont="1" applyFill="1" applyBorder="1" applyAlignment="1">
      <alignment horizontal="center"/>
    </xf>
    <xf numFmtId="0" fontId="73" fillId="8" borderId="65" xfId="335" applyFont="1" applyFill="1" applyBorder="1" applyAlignment="1">
      <alignment horizontal="left"/>
    </xf>
    <xf numFmtId="0" fontId="73" fillId="8" borderId="113" xfId="335" applyFont="1" applyFill="1" applyBorder="1" applyAlignment="1">
      <alignment horizontal="center"/>
    </xf>
    <xf numFmtId="0" fontId="73" fillId="8" borderId="112" xfId="335" applyFont="1" applyFill="1" applyBorder="1" applyAlignment="1">
      <alignment horizontal="center"/>
    </xf>
    <xf numFmtId="205" fontId="73" fillId="8" borderId="111" xfId="335" applyNumberFormat="1" applyFont="1" applyFill="1" applyBorder="1" applyAlignment="1">
      <alignment horizontal="center"/>
    </xf>
    <xf numFmtId="0" fontId="73" fillId="8" borderId="111" xfId="335" applyFont="1" applyFill="1" applyBorder="1" applyAlignment="1">
      <alignment horizontal="center"/>
    </xf>
    <xf numFmtId="0" fontId="73" fillId="8" borderId="111" xfId="335" applyFont="1" applyFill="1" applyBorder="1" applyAlignment="1">
      <alignment horizontal="left"/>
    </xf>
    <xf numFmtId="0" fontId="73" fillId="8" borderId="110" xfId="335" applyFont="1" applyFill="1" applyBorder="1" applyAlignment="1">
      <alignment horizontal="center"/>
    </xf>
    <xf numFmtId="0" fontId="73" fillId="51" borderId="109" xfId="335" applyFont="1" applyFill="1" applyBorder="1" applyAlignment="1">
      <alignment horizontal="center"/>
    </xf>
    <xf numFmtId="205" fontId="73" fillId="51" borderId="108" xfId="335" applyNumberFormat="1" applyFont="1" applyFill="1" applyBorder="1" applyAlignment="1">
      <alignment horizontal="center"/>
    </xf>
    <xf numFmtId="0" fontId="73" fillId="51" borderId="108" xfId="335" applyFont="1" applyFill="1" applyBorder="1" applyAlignment="1">
      <alignment horizontal="center"/>
    </xf>
    <xf numFmtId="0" fontId="75" fillId="51" borderId="107" xfId="335" applyFont="1" applyFill="1" applyBorder="1" applyAlignment="1">
      <alignment horizontal="left"/>
    </xf>
    <xf numFmtId="0" fontId="73" fillId="51" borderId="106" xfId="335" applyFont="1" applyFill="1" applyBorder="1" applyAlignment="1">
      <alignment horizontal="center"/>
    </xf>
    <xf numFmtId="205" fontId="73" fillId="51" borderId="105" xfId="335" applyNumberFormat="1" applyFont="1" applyFill="1" applyBorder="1" applyAlignment="1">
      <alignment horizontal="center"/>
    </xf>
    <xf numFmtId="0" fontId="73" fillId="51" borderId="105" xfId="335" applyFont="1" applyFill="1" applyBorder="1" applyAlignment="1">
      <alignment horizontal="center"/>
    </xf>
    <xf numFmtId="0" fontId="73" fillId="51" borderId="105" xfId="335" applyFont="1" applyFill="1" applyBorder="1" applyAlignment="1">
      <alignment horizontal="centerContinuous"/>
    </xf>
    <xf numFmtId="0" fontId="16" fillId="51" borderId="105" xfId="335" applyFont="1" applyFill="1" applyBorder="1" applyAlignment="1">
      <alignment horizontal="centerContinuous"/>
    </xf>
    <xf numFmtId="0" fontId="71" fillId="51" borderId="104" xfId="335" applyFont="1" applyFill="1" applyBorder="1" applyAlignment="1">
      <alignment horizontal="centerContinuous"/>
    </xf>
    <xf numFmtId="0" fontId="73" fillId="0" borderId="0" xfId="335" applyFont="1" applyAlignment="1">
      <alignment horizontal="left"/>
    </xf>
    <xf numFmtId="205" fontId="73" fillId="0" borderId="0" xfId="335" applyNumberFormat="1" applyFont="1" applyAlignment="1">
      <alignment horizontal="left"/>
    </xf>
    <xf numFmtId="0" fontId="71" fillId="0" borderId="0" xfId="335" applyFont="1" applyAlignment="1">
      <alignment horizontal="left"/>
    </xf>
    <xf numFmtId="0" fontId="72" fillId="0" borderId="0" xfId="335" applyFont="1" applyAlignment="1">
      <alignment horizontal="right"/>
    </xf>
    <xf numFmtId="0" fontId="11" fillId="7" borderId="0" xfId="7" applyFont="1" applyFill="1"/>
    <xf numFmtId="0" fontId="0" fillId="0" borderId="149" xfId="0" applyBorder="1" applyAlignment="1">
      <alignment horizontal="center" vertical="center" wrapText="1"/>
    </xf>
    <xf numFmtId="0" fontId="0" fillId="0" borderId="138" xfId="0" applyBorder="1" applyAlignment="1">
      <alignment horizontal="center" vertical="center" wrapText="1"/>
    </xf>
    <xf numFmtId="0" fontId="0" fillId="0" borderId="137" xfId="0" applyBorder="1" applyAlignment="1">
      <alignment horizontal="center" vertical="center" textRotation="90" wrapText="1"/>
    </xf>
    <xf numFmtId="0" fontId="0" fillId="0" borderId="149" xfId="0" applyBorder="1" applyAlignment="1">
      <alignment horizontal="center" vertical="center" textRotation="90" wrapText="1"/>
    </xf>
    <xf numFmtId="0" fontId="21" fillId="0" borderId="149" xfId="0" applyFont="1" applyBorder="1" applyAlignment="1">
      <alignment horizontal="center" vertical="center" textRotation="90" wrapText="1"/>
    </xf>
    <xf numFmtId="0" fontId="21" fillId="0" borderId="138" xfId="0" applyFont="1" applyBorder="1" applyAlignment="1">
      <alignment horizontal="center" vertical="center" textRotation="90" wrapText="1"/>
    </xf>
    <xf numFmtId="0" fontId="46" fillId="0" borderId="149" xfId="0" applyFont="1" applyBorder="1" applyAlignment="1">
      <alignment vertical="center"/>
    </xf>
    <xf numFmtId="0" fontId="46" fillId="0" borderId="138" xfId="0" applyFont="1" applyBorder="1" applyAlignment="1">
      <alignment vertical="center"/>
    </xf>
    <xf numFmtId="0" fontId="0" fillId="0" borderId="137" xfId="0" applyBorder="1" applyAlignment="1">
      <alignment vertical="center"/>
    </xf>
    <xf numFmtId="0" fontId="0" fillId="0" borderId="149" xfId="0" applyBorder="1" applyAlignment="1">
      <alignment vertical="center"/>
    </xf>
    <xf numFmtId="0" fontId="0" fillId="0" borderId="150" xfId="0" applyBorder="1" applyAlignment="1">
      <alignment vertical="center"/>
    </xf>
    <xf numFmtId="0" fontId="0" fillId="0" borderId="138" xfId="0" applyBorder="1" applyAlignment="1">
      <alignment vertical="center"/>
    </xf>
    <xf numFmtId="4" fontId="0" fillId="0" borderId="142" xfId="0" applyNumberFormat="1" applyBorder="1" applyAlignment="1">
      <alignment vertical="center"/>
    </xf>
    <xf numFmtId="0" fontId="14" fillId="0" borderId="137" xfId="0" applyFont="1" applyBorder="1" applyAlignment="1">
      <alignment horizontal="center" vertical="center"/>
    </xf>
    <xf numFmtId="0" fontId="6" fillId="0" borderId="149" xfId="0" applyFont="1" applyBorder="1" applyAlignment="1">
      <alignment horizontal="justify" vertical="center"/>
    </xf>
    <xf numFmtId="0" fontId="6" fillId="0" borderId="138" xfId="0" applyFont="1" applyBorder="1" applyAlignment="1">
      <alignment horizontal="center" vertical="center"/>
    </xf>
    <xf numFmtId="4" fontId="0" fillId="0" borderId="137" xfId="0" applyNumberFormat="1" applyBorder="1" applyAlignment="1">
      <alignment vertical="center"/>
    </xf>
    <xf numFmtId="4" fontId="0" fillId="0" borderId="149" xfId="0" applyNumberFormat="1" applyBorder="1" applyAlignment="1">
      <alignment vertical="center"/>
    </xf>
    <xf numFmtId="4" fontId="0" fillId="0" borderId="150" xfId="0" applyNumberFormat="1" applyBorder="1" applyAlignment="1">
      <alignment vertical="center"/>
    </xf>
    <xf numFmtId="4" fontId="0" fillId="0" borderId="138" xfId="0" applyNumberFormat="1" applyBorder="1" applyAlignment="1">
      <alignment vertical="center"/>
    </xf>
    <xf numFmtId="4" fontId="6" fillId="0" borderId="149" xfId="0" applyNumberFormat="1" applyFont="1" applyBorder="1" applyAlignment="1">
      <alignment horizontal="justify" vertical="center"/>
    </xf>
    <xf numFmtId="0" fontId="13" fillId="7" borderId="150" xfId="145" applyFont="1" applyFill="1" applyBorder="1" applyAlignment="1">
      <alignment vertical="center"/>
    </xf>
    <xf numFmtId="0" fontId="50" fillId="0" borderId="150" xfId="0" applyFont="1" applyBorder="1" applyAlignment="1">
      <alignment horizontal="justify" vertical="center"/>
    </xf>
    <xf numFmtId="4" fontId="64" fillId="7" borderId="150" xfId="0" applyNumberFormat="1" applyFont="1" applyFill="1" applyBorder="1" applyAlignment="1">
      <alignment horizontal="center" vertical="center"/>
    </xf>
    <xf numFmtId="170" fontId="64" fillId="7" borderId="150" xfId="193" applyFont="1" applyFill="1" applyBorder="1" applyAlignment="1">
      <alignment horizontal="center" vertical="center"/>
    </xf>
    <xf numFmtId="0" fontId="15" fillId="0" borderId="150" xfId="145" applyFont="1" applyBorder="1" applyAlignment="1">
      <alignment horizontal="center" vertical="center"/>
    </xf>
    <xf numFmtId="4" fontId="15" fillId="7" borderId="150" xfId="18" applyNumberFormat="1" applyFont="1" applyFill="1" applyBorder="1" applyAlignment="1">
      <alignment horizontal="center" vertical="center" wrapText="1"/>
    </xf>
    <xf numFmtId="4" fontId="50" fillId="0" borderId="150" xfId="0" applyNumberFormat="1" applyFont="1" applyBorder="1" applyAlignment="1">
      <alignment horizontal="justify" vertical="center"/>
    </xf>
    <xf numFmtId="2" fontId="15" fillId="0" borderId="150" xfId="145" applyNumberFormat="1" applyFont="1" applyBorder="1" applyAlignment="1">
      <alignment horizontal="center" vertical="center"/>
    </xf>
    <xf numFmtId="0" fontId="50" fillId="0" borderId="150" xfId="0" applyFont="1" applyBorder="1" applyAlignment="1">
      <alignment horizontal="justify" vertical="center" wrapText="1"/>
    </xf>
    <xf numFmtId="0" fontId="50" fillId="7" borderId="150" xfId="0" applyFont="1" applyFill="1" applyBorder="1" applyAlignment="1">
      <alignment horizontal="justify" vertical="center" wrapText="1"/>
    </xf>
    <xf numFmtId="0" fontId="50" fillId="7" borderId="150" xfId="0" applyFont="1" applyFill="1" applyBorder="1" applyAlignment="1">
      <alignment horizontal="justify" vertical="center"/>
    </xf>
    <xf numFmtId="0" fontId="70" fillId="0" borderId="150" xfId="0" applyFont="1" applyBorder="1" applyAlignment="1">
      <alignment horizontal="justify" vertical="center"/>
    </xf>
    <xf numFmtId="0" fontId="15" fillId="0" borderId="150" xfId="0" applyFont="1" applyBorder="1" applyAlignment="1">
      <alignment horizontal="justify" vertical="center"/>
    </xf>
    <xf numFmtId="170" fontId="13" fillId="7" borderId="150" xfId="193" applyFont="1" applyFill="1" applyBorder="1" applyAlignment="1">
      <alignment horizontal="center" vertical="center"/>
    </xf>
    <xf numFmtId="0" fontId="15" fillId="7" borderId="150" xfId="145" applyFont="1" applyFill="1" applyBorder="1" applyAlignment="1">
      <alignment horizontal="center" vertical="center"/>
    </xf>
    <xf numFmtId="170" fontId="15" fillId="7" borderId="150" xfId="1" applyFont="1" applyFill="1" applyBorder="1" applyAlignment="1">
      <alignment horizontal="center" vertical="center"/>
    </xf>
    <xf numFmtId="0" fontId="15" fillId="0" borderId="150" xfId="7" applyFont="1" applyBorder="1" applyAlignment="1">
      <alignment horizontal="center" vertical="center"/>
    </xf>
    <xf numFmtId="0" fontId="15" fillId="0" borderId="150" xfId="145" applyFont="1" applyBorder="1" applyAlignment="1">
      <alignment horizontal="justify" vertical="center" wrapText="1"/>
    </xf>
    <xf numFmtId="0" fontId="15" fillId="52" borderId="150" xfId="145" applyFont="1" applyFill="1" applyBorder="1" applyAlignment="1">
      <alignment horizontal="center" vertical="center"/>
    </xf>
    <xf numFmtId="0" fontId="15" fillId="7" borderId="150" xfId="145" applyFont="1" applyFill="1" applyBorder="1" applyAlignment="1">
      <alignment horizontal="justify" vertical="center" wrapText="1"/>
    </xf>
    <xf numFmtId="0" fontId="14" fillId="0" borderId="150" xfId="0" applyFont="1" applyBorder="1" applyAlignment="1">
      <alignment horizontal="center" vertical="center"/>
    </xf>
    <xf numFmtId="0" fontId="46" fillId="0" borderId="149" xfId="0" applyFont="1" applyBorder="1" applyAlignment="1">
      <alignment horizontal="center" vertical="center"/>
    </xf>
    <xf numFmtId="0" fontId="6" fillId="0" borderId="149" xfId="0" applyFont="1" applyBorder="1" applyAlignment="1">
      <alignment horizontal="center" vertical="center"/>
    </xf>
    <xf numFmtId="4" fontId="0" fillId="0" borderId="143" xfId="0" applyNumberFormat="1" applyBorder="1" applyAlignment="1">
      <alignment vertical="center"/>
    </xf>
    <xf numFmtId="0" fontId="6" fillId="0" borderId="150" xfId="0" applyFont="1" applyBorder="1" applyAlignment="1">
      <alignment horizontal="justify" vertical="center"/>
    </xf>
    <xf numFmtId="0" fontId="0" fillId="0" borderId="143" xfId="0" applyBorder="1" applyAlignment="1">
      <alignment vertical="center"/>
    </xf>
    <xf numFmtId="0" fontId="45" fillId="0" borderId="143" xfId="0" applyFont="1" applyBorder="1" applyAlignment="1">
      <alignment vertical="center"/>
    </xf>
    <xf numFmtId="0" fontId="45" fillId="0" borderId="150" xfId="0" applyFont="1" applyBorder="1" applyAlignment="1">
      <alignment vertical="center"/>
    </xf>
    <xf numFmtId="0" fontId="45" fillId="0" borderId="138" xfId="0" applyFont="1" applyBorder="1" applyAlignment="1">
      <alignment vertical="center"/>
    </xf>
    <xf numFmtId="0" fontId="6" fillId="0" borderId="137" xfId="0" applyFont="1" applyBorder="1" applyAlignment="1">
      <alignment horizontal="center" vertical="center"/>
    </xf>
    <xf numFmtId="4" fontId="0" fillId="0" borderId="137" xfId="0" applyNumberFormat="1" applyBorder="1" applyAlignment="1">
      <alignment vertical="center" wrapText="1"/>
    </xf>
    <xf numFmtId="4" fontId="0" fillId="0" borderId="150" xfId="0" applyNumberFormat="1" applyBorder="1" applyAlignment="1">
      <alignment vertical="center" wrapText="1"/>
    </xf>
    <xf numFmtId="4" fontId="0" fillId="0" borderId="149" xfId="0" applyNumberFormat="1" applyBorder="1" applyAlignment="1">
      <alignment vertical="center" wrapText="1"/>
    </xf>
    <xf numFmtId="4" fontId="0" fillId="0" borderId="138" xfId="0" applyNumberFormat="1" applyBorder="1" applyAlignment="1">
      <alignment vertical="center" wrapText="1"/>
    </xf>
    <xf numFmtId="4" fontId="0" fillId="7" borderId="138" xfId="0" applyNumberFormat="1" applyFill="1" applyBorder="1" applyAlignment="1">
      <alignment vertical="center"/>
    </xf>
    <xf numFmtId="4" fontId="0" fillId="7" borderId="150" xfId="0" applyNumberFormat="1" applyFill="1" applyBorder="1" applyAlignment="1">
      <alignment vertical="center"/>
    </xf>
    <xf numFmtId="4" fontId="0" fillId="7" borderId="149" xfId="0" applyNumberFormat="1" applyFill="1" applyBorder="1" applyAlignment="1">
      <alignment vertical="center"/>
    </xf>
    <xf numFmtId="4" fontId="0" fillId="7" borderId="137" xfId="0" applyNumberFormat="1" applyFill="1" applyBorder="1" applyAlignment="1">
      <alignment vertical="center"/>
    </xf>
    <xf numFmtId="2" fontId="0" fillId="39" borderId="139" xfId="0" applyNumberFormat="1" applyFill="1" applyBorder="1" applyAlignment="1">
      <alignment vertical="center"/>
    </xf>
    <xf numFmtId="2" fontId="0" fillId="39" borderId="145" xfId="0" applyNumberFormat="1" applyFill="1" applyBorder="1" applyAlignment="1">
      <alignment vertical="center"/>
    </xf>
    <xf numFmtId="0" fontId="0" fillId="39" borderId="139" xfId="0" applyFill="1" applyBorder="1" applyAlignment="1">
      <alignment vertical="center"/>
    </xf>
    <xf numFmtId="0" fontId="0" fillId="39" borderId="140" xfId="0" applyFill="1" applyBorder="1" applyAlignment="1">
      <alignment vertical="center"/>
    </xf>
    <xf numFmtId="0" fontId="0" fillId="39" borderId="141" xfId="0" applyFill="1" applyBorder="1" applyAlignment="1">
      <alignment vertical="center"/>
    </xf>
    <xf numFmtId="2" fontId="0" fillId="39" borderId="144" xfId="0" applyNumberFormat="1" applyFill="1" applyBorder="1" applyAlignment="1">
      <alignment vertical="center"/>
    </xf>
    <xf numFmtId="2" fontId="0" fillId="39" borderId="140" xfId="0" applyNumberFormat="1" applyFill="1" applyBorder="1" applyAlignment="1">
      <alignment vertical="center"/>
    </xf>
    <xf numFmtId="2" fontId="0" fillId="39" borderId="141" xfId="0" applyNumberFormat="1" applyFill="1" applyBorder="1" applyAlignment="1">
      <alignment vertical="center"/>
    </xf>
    <xf numFmtId="2" fontId="0" fillId="39" borderId="147" xfId="0" applyNumberFormat="1" applyFill="1" applyBorder="1" applyAlignment="1">
      <alignment vertical="center"/>
    </xf>
    <xf numFmtId="0" fontId="21" fillId="0" borderId="150" xfId="0" applyFont="1" applyBorder="1" applyAlignment="1">
      <alignment horizontal="center"/>
    </xf>
    <xf numFmtId="0" fontId="0" fillId="0" borderId="150" xfId="0" applyBorder="1"/>
    <xf numFmtId="4" fontId="0" fillId="0" borderId="150" xfId="0" applyNumberFormat="1" applyBorder="1"/>
    <xf numFmtId="0" fontId="0" fillId="48" borderId="150" xfId="0" applyFill="1" applyBorder="1"/>
    <xf numFmtId="4" fontId="0" fillId="48" borderId="150" xfId="0" applyNumberFormat="1" applyFill="1" applyBorder="1"/>
    <xf numFmtId="0" fontId="14" fillId="0" borderId="137" xfId="0" applyFont="1" applyBorder="1" applyAlignment="1">
      <alignment horizontal="center" vertical="center" wrapText="1"/>
    </xf>
    <xf numFmtId="0" fontId="6" fillId="0" borderId="150" xfId="0" applyFont="1" applyBorder="1" applyAlignment="1">
      <alignment vertical="center" wrapText="1"/>
    </xf>
    <xf numFmtId="4" fontId="6" fillId="40" borderId="150" xfId="3" applyNumberFormat="1" applyFont="1" applyFill="1" applyBorder="1" applyAlignment="1" applyProtection="1">
      <alignment horizontal="center" vertical="center"/>
    </xf>
    <xf numFmtId="4" fontId="6" fillId="0" borderId="150" xfId="3" applyNumberFormat="1" applyFont="1" applyFill="1" applyBorder="1" applyAlignment="1" applyProtection="1">
      <alignment horizontal="right" vertical="center"/>
    </xf>
    <xf numFmtId="4" fontId="6" fillId="0" borderId="138" xfId="3" applyNumberFormat="1" applyFont="1" applyFill="1" applyBorder="1" applyAlignment="1" applyProtection="1">
      <alignment horizontal="right" vertical="center"/>
    </xf>
    <xf numFmtId="4" fontId="6" fillId="0" borderId="142" xfId="3" applyNumberFormat="1" applyFont="1" applyFill="1" applyBorder="1" applyAlignment="1" applyProtection="1">
      <alignment horizontal="right" vertical="center"/>
    </xf>
    <xf numFmtId="170" fontId="6" fillId="40" borderId="137" xfId="1" applyFont="1" applyFill="1" applyBorder="1" applyAlignment="1">
      <alignment vertical="center" wrapText="1"/>
    </xf>
    <xf numFmtId="170" fontId="6" fillId="40" borderId="138" xfId="1" applyFont="1" applyFill="1" applyBorder="1" applyAlignment="1">
      <alignment vertical="center" wrapText="1"/>
    </xf>
    <xf numFmtId="0" fontId="14" fillId="0" borderId="150" xfId="0" applyFont="1" applyBorder="1" applyAlignment="1">
      <alignment horizontal="justify" vertical="center" wrapText="1"/>
    </xf>
    <xf numFmtId="4" fontId="6" fillId="0" borderId="150" xfId="0" applyNumberFormat="1" applyFont="1" applyBorder="1" applyAlignment="1">
      <alignment horizontal="left" vertical="center" wrapText="1"/>
    </xf>
    <xf numFmtId="0" fontId="6" fillId="0" borderId="150" xfId="0" applyFont="1" applyBorder="1" applyAlignment="1">
      <alignment horizontal="center" vertical="center"/>
    </xf>
    <xf numFmtId="0" fontId="14" fillId="7" borderId="137" xfId="0" applyFont="1" applyFill="1" applyBorder="1" applyAlignment="1">
      <alignment horizontal="center" vertical="center" wrapText="1"/>
    </xf>
    <xf numFmtId="0" fontId="14" fillId="7" borderId="150" xfId="0" applyFont="1" applyFill="1" applyBorder="1" applyAlignment="1">
      <alignment horizontal="justify" vertical="center" wrapText="1"/>
    </xf>
    <xf numFmtId="0" fontId="6" fillId="7" borderId="150" xfId="0" applyFont="1" applyFill="1" applyBorder="1" applyAlignment="1">
      <alignment horizontal="center" vertical="center"/>
    </xf>
    <xf numFmtId="4" fontId="6" fillId="7" borderId="150" xfId="3" applyNumberFormat="1" applyFont="1" applyFill="1" applyBorder="1" applyAlignment="1" applyProtection="1">
      <alignment horizontal="right" vertical="center"/>
    </xf>
    <xf numFmtId="4" fontId="6" fillId="7" borderId="138" xfId="3" applyNumberFormat="1" applyFont="1" applyFill="1" applyBorder="1" applyAlignment="1" applyProtection="1">
      <alignment horizontal="right" vertical="center"/>
    </xf>
    <xf numFmtId="4" fontId="6" fillId="7" borderId="142" xfId="3" applyNumberFormat="1" applyFont="1" applyFill="1" applyBorder="1" applyAlignment="1" applyProtection="1">
      <alignment horizontal="right" vertical="center"/>
    </xf>
    <xf numFmtId="0" fontId="8" fillId="4" borderId="137" xfId="0" applyFont="1" applyFill="1" applyBorder="1" applyAlignment="1">
      <alignment horizontal="center" vertical="center"/>
    </xf>
    <xf numFmtId="0" fontId="8" fillId="5" borderId="150" xfId="0" applyFont="1" applyFill="1" applyBorder="1" applyAlignment="1">
      <alignment horizontal="left" vertical="center" wrapText="1"/>
    </xf>
    <xf numFmtId="0" fontId="8" fillId="4" borderId="150" xfId="0" applyFont="1" applyFill="1" applyBorder="1" applyAlignment="1">
      <alignment vertical="center" wrapText="1"/>
    </xf>
    <xf numFmtId="4" fontId="8" fillId="4" borderId="150" xfId="0" applyNumberFormat="1" applyFont="1" applyFill="1" applyBorder="1" applyAlignment="1">
      <alignment horizontal="center" vertical="center" wrapText="1"/>
    </xf>
    <xf numFmtId="4" fontId="44" fillId="3" borderId="150" xfId="0" applyNumberFormat="1" applyFont="1" applyFill="1" applyBorder="1" applyAlignment="1">
      <alignment horizontal="right" vertical="center" wrapText="1"/>
    </xf>
    <xf numFmtId="4" fontId="8" fillId="3" borderId="138" xfId="3" applyNumberFormat="1" applyFont="1" applyFill="1" applyBorder="1" applyAlignment="1" applyProtection="1">
      <alignment horizontal="right" vertical="center"/>
    </xf>
    <xf numFmtId="4" fontId="8" fillId="3" borderId="142" xfId="3" applyNumberFormat="1" applyFont="1" applyFill="1" applyBorder="1" applyAlignment="1" applyProtection="1">
      <alignment horizontal="right" vertical="center"/>
    </xf>
    <xf numFmtId="0" fontId="6" fillId="0" borderId="150" xfId="0" applyFont="1" applyBorder="1" applyAlignment="1">
      <alignment horizontal="justify" vertical="center" wrapText="1"/>
    </xf>
    <xf numFmtId="49" fontId="6" fillId="0" borderId="150" xfId="0" applyNumberFormat="1" applyFont="1" applyBorder="1" applyAlignment="1">
      <alignment vertical="center" wrapText="1"/>
    </xf>
    <xf numFmtId="0" fontId="7" fillId="0" borderId="149" xfId="8" applyFont="1" applyBorder="1" applyAlignment="1">
      <alignment horizontal="center" vertical="center"/>
    </xf>
    <xf numFmtId="0" fontId="8" fillId="0" borderId="150" xfId="8" applyFont="1" applyBorder="1" applyAlignment="1">
      <alignment horizontal="center" vertical="center"/>
    </xf>
    <xf numFmtId="0" fontId="6" fillId="7" borderId="150" xfId="0" applyFont="1" applyFill="1" applyBorder="1" applyAlignment="1">
      <alignment horizontal="justify" vertical="center"/>
    </xf>
    <xf numFmtId="4" fontId="6" fillId="0" borderId="149" xfId="8" applyNumberFormat="1" applyFont="1" applyBorder="1" applyAlignment="1">
      <alignment horizontal="center" vertical="center"/>
    </xf>
    <xf numFmtId="4" fontId="8" fillId="0" borderId="150" xfId="8" applyNumberFormat="1" applyFont="1" applyBorder="1" applyAlignment="1">
      <alignment vertical="center"/>
    </xf>
    <xf numFmtId="0" fontId="8" fillId="0" borderId="150" xfId="0" applyFont="1" applyBorder="1" applyAlignment="1">
      <alignment horizontal="justify" vertical="center"/>
    </xf>
    <xf numFmtId="4" fontId="6" fillId="0" borderId="150" xfId="3" applyNumberFormat="1" applyFont="1" applyFill="1" applyBorder="1" applyAlignment="1" applyProtection="1">
      <alignment horizontal="center" vertical="center"/>
    </xf>
    <xf numFmtId="4" fontId="6" fillId="0" borderId="150" xfId="8" applyNumberFormat="1" applyFont="1" applyBorder="1" applyAlignment="1">
      <alignment horizontal="center" vertical="center"/>
    </xf>
    <xf numFmtId="0" fontId="6" fillId="0" borderId="150" xfId="8" applyFont="1" applyBorder="1" applyAlignment="1">
      <alignment horizontal="center" vertical="center"/>
    </xf>
    <xf numFmtId="4" fontId="6" fillId="0" borderId="150" xfId="8" applyNumberFormat="1" applyFont="1" applyBorder="1" applyAlignment="1">
      <alignment vertical="center"/>
    </xf>
    <xf numFmtId="4" fontId="6" fillId="0" borderId="149" xfId="8" applyNumberFormat="1" applyFont="1" applyBorder="1" applyAlignment="1">
      <alignment vertical="top" wrapText="1"/>
    </xf>
    <xf numFmtId="0" fontId="8" fillId="39" borderId="150" xfId="0" applyFont="1" applyFill="1" applyBorder="1" applyAlignment="1">
      <alignment horizontal="left" vertical="center" wrapText="1"/>
    </xf>
    <xf numFmtId="0" fontId="6" fillId="7" borderId="150" xfId="0" applyFont="1" applyFill="1" applyBorder="1" applyAlignment="1">
      <alignment horizontal="center" vertical="center" wrapText="1"/>
    </xf>
    <xf numFmtId="4" fontId="6" fillId="40" borderId="150" xfId="8" applyNumberFormat="1" applyFont="1" applyFill="1" applyBorder="1" applyAlignment="1">
      <alignment vertical="center"/>
    </xf>
    <xf numFmtId="0" fontId="6" fillId="0" borderId="150" xfId="0" applyFont="1" applyBorder="1" applyAlignment="1">
      <alignment horizontal="center" vertical="center" wrapText="1"/>
    </xf>
    <xf numFmtId="0" fontId="8" fillId="43" borderId="150" xfId="0" applyFont="1" applyFill="1" applyBorder="1" applyAlignment="1">
      <alignment horizontal="left" vertical="center" wrapText="1"/>
    </xf>
    <xf numFmtId="0" fontId="14" fillId="7" borderId="150" xfId="0" applyFont="1" applyFill="1" applyBorder="1" applyAlignment="1">
      <alignment horizontal="center" vertical="center"/>
    </xf>
    <xf numFmtId="2" fontId="6" fillId="40" borderId="150" xfId="88" applyNumberFormat="1" applyFont="1" applyFill="1" applyBorder="1" applyAlignment="1">
      <alignment horizontal="center" vertical="center" wrapText="1"/>
    </xf>
    <xf numFmtId="0" fontId="6" fillId="7" borderId="150" xfId="0" applyFont="1" applyFill="1" applyBorder="1" applyAlignment="1">
      <alignment horizontal="justify" vertical="center" wrapText="1"/>
    </xf>
    <xf numFmtId="0" fontId="14" fillId="0" borderId="143" xfId="0" applyFont="1" applyBorder="1" applyAlignment="1">
      <alignment horizontal="center" vertical="center" wrapText="1"/>
    </xf>
    <xf numFmtId="4" fontId="6" fillId="40" borderId="150" xfId="0" applyNumberFormat="1" applyFont="1" applyFill="1" applyBorder="1" applyAlignment="1">
      <alignment horizontal="center" vertical="center" wrapText="1"/>
    </xf>
    <xf numFmtId="4" fontId="6" fillId="0" borderId="150" xfId="0" applyNumberFormat="1" applyFont="1" applyBorder="1" applyAlignment="1">
      <alignment horizontal="right" vertical="center" wrapText="1"/>
    </xf>
    <xf numFmtId="0" fontId="14" fillId="7" borderId="137" xfId="0" applyFont="1" applyFill="1" applyBorder="1" applyAlignment="1">
      <alignment horizontal="center" vertical="center"/>
    </xf>
    <xf numFmtId="0" fontId="6" fillId="39" borderId="137" xfId="0" applyFont="1" applyFill="1" applyBorder="1" applyAlignment="1">
      <alignment horizontal="center" vertical="center"/>
    </xf>
    <xf numFmtId="0" fontId="8" fillId="3" borderId="150" xfId="0" applyFont="1" applyFill="1" applyBorder="1" applyAlignment="1">
      <alignment horizontal="left" vertical="center"/>
    </xf>
    <xf numFmtId="0" fontId="8" fillId="0" borderId="150" xfId="0" applyFont="1" applyBorder="1" applyAlignment="1">
      <alignment horizontal="left" vertical="center"/>
    </xf>
    <xf numFmtId="185" fontId="8" fillId="0" borderId="150" xfId="0" applyNumberFormat="1" applyFont="1" applyBorder="1" applyAlignment="1">
      <alignment horizontal="center" vertical="center"/>
    </xf>
    <xf numFmtId="10" fontId="8" fillId="0" borderId="150" xfId="13" applyNumberFormat="1" applyFont="1" applyFill="1" applyBorder="1" applyAlignment="1">
      <alignment horizontal="center" vertical="center"/>
    </xf>
    <xf numFmtId="4" fontId="8" fillId="0" borderId="150" xfId="0" applyNumberFormat="1" applyFont="1" applyBorder="1" applyAlignment="1">
      <alignment horizontal="right" vertical="center"/>
    </xf>
    <xf numFmtId="4" fontId="8" fillId="0" borderId="138" xfId="3" applyNumberFormat="1" applyFont="1" applyFill="1" applyBorder="1" applyAlignment="1" applyProtection="1">
      <alignment horizontal="right" vertical="center"/>
    </xf>
    <xf numFmtId="4" fontId="8" fillId="0" borderId="142" xfId="3" applyNumberFormat="1" applyFont="1" applyFill="1" applyBorder="1" applyAlignment="1" applyProtection="1">
      <alignment horizontal="right" vertical="center"/>
    </xf>
    <xf numFmtId="9" fontId="8" fillId="0" borderId="150" xfId="0" applyNumberFormat="1" applyFont="1" applyBorder="1" applyAlignment="1">
      <alignment horizontal="center" vertical="center"/>
    </xf>
    <xf numFmtId="10" fontId="8" fillId="0" borderId="150" xfId="13" applyNumberFormat="1" applyFont="1" applyBorder="1" applyAlignment="1">
      <alignment horizontal="center" vertical="center"/>
    </xf>
    <xf numFmtId="0" fontId="8" fillId="0" borderId="150" xfId="0" applyFont="1" applyBorder="1" applyAlignment="1">
      <alignment vertical="center"/>
    </xf>
    <xf numFmtId="170" fontId="8" fillId="40" borderId="138" xfId="1" applyFont="1" applyFill="1" applyBorder="1" applyAlignment="1">
      <alignment vertical="center" wrapText="1"/>
    </xf>
    <xf numFmtId="170" fontId="8" fillId="40" borderId="141" xfId="1" applyFont="1" applyFill="1" applyBorder="1" applyAlignment="1">
      <alignment vertical="center" wrapText="1"/>
    </xf>
    <xf numFmtId="0" fontId="8" fillId="0" borderId="149" xfId="0" applyFont="1" applyBorder="1" applyAlignment="1">
      <alignment vertical="center"/>
    </xf>
    <xf numFmtId="0" fontId="8" fillId="45" borderId="150" xfId="0" applyFont="1" applyFill="1" applyBorder="1" applyAlignment="1">
      <alignment horizontal="left" vertical="top" wrapText="1"/>
    </xf>
    <xf numFmtId="0" fontId="8" fillId="44" borderId="150" xfId="0" applyFont="1" applyFill="1" applyBorder="1" applyAlignment="1">
      <alignment vertical="top" wrapText="1"/>
    </xf>
    <xf numFmtId="0" fontId="18" fillId="39" borderId="150" xfId="0" applyFont="1" applyFill="1" applyBorder="1" applyAlignment="1">
      <alignment vertical="top"/>
    </xf>
    <xf numFmtId="0" fontId="18" fillId="39" borderId="149" xfId="0" applyFont="1" applyFill="1" applyBorder="1" applyAlignment="1">
      <alignment vertical="top"/>
    </xf>
    <xf numFmtId="0" fontId="18" fillId="39" borderId="138" xfId="0" applyFont="1" applyFill="1" applyBorder="1" applyAlignment="1">
      <alignment vertical="top"/>
    </xf>
    <xf numFmtId="0" fontId="6" fillId="38" borderId="150" xfId="0" applyFont="1" applyFill="1" applyBorder="1" applyAlignment="1">
      <alignment horizontal="left" vertical="top" wrapText="1"/>
    </xf>
    <xf numFmtId="0" fontId="6" fillId="0" borderId="150" xfId="0" applyFont="1" applyBorder="1" applyAlignment="1">
      <alignment horizontal="center" vertical="top" wrapText="1"/>
    </xf>
    <xf numFmtId="4" fontId="18" fillId="51" borderId="150" xfId="0" applyNumberFormat="1" applyFont="1" applyFill="1" applyBorder="1" applyAlignment="1">
      <alignment vertical="top"/>
    </xf>
    <xf numFmtId="4" fontId="18" fillId="0" borderId="150" xfId="0" applyNumberFormat="1" applyFont="1" applyBorder="1" applyAlignment="1">
      <alignment vertical="top"/>
    </xf>
    <xf numFmtId="4" fontId="18" fillId="0" borderId="150" xfId="0" applyNumberFormat="1" applyFont="1" applyBorder="1" applyAlignment="1">
      <alignment vertical="top" wrapText="1"/>
    </xf>
    <xf numFmtId="9" fontId="18" fillId="0" borderId="150" xfId="13" applyFont="1" applyBorder="1" applyAlignment="1">
      <alignment vertical="top" wrapText="1"/>
    </xf>
    <xf numFmtId="4" fontId="18" fillId="0" borderId="150" xfId="194" applyNumberFormat="1" applyFont="1" applyBorder="1" applyAlignment="1">
      <alignment vertical="top" wrapText="1"/>
    </xf>
    <xf numFmtId="4" fontId="18" fillId="0" borderId="150" xfId="0" applyNumberFormat="1" applyFont="1" applyBorder="1" applyAlignment="1">
      <alignment horizontal="center" vertical="top" wrapText="1"/>
    </xf>
    <xf numFmtId="4" fontId="51" fillId="0" borderId="150" xfId="0" applyNumberFormat="1" applyFont="1" applyBorder="1" applyAlignment="1">
      <alignment vertical="top" wrapText="1"/>
    </xf>
    <xf numFmtId="0" fontId="14" fillId="0" borderId="137" xfId="0" applyFont="1" applyBorder="1" applyAlignment="1">
      <alignment horizontal="center" vertical="top" wrapText="1"/>
    </xf>
    <xf numFmtId="0" fontId="6" fillId="38" borderId="150" xfId="0" applyFont="1" applyFill="1" applyBorder="1" applyAlignment="1">
      <alignment vertical="top" wrapText="1"/>
    </xf>
    <xf numFmtId="0" fontId="14" fillId="0" borderId="150" xfId="0" applyFont="1" applyBorder="1" applyAlignment="1">
      <alignment horizontal="center" vertical="top"/>
    </xf>
    <xf numFmtId="0" fontId="6" fillId="0" borderId="150" xfId="0" applyFont="1" applyBorder="1" applyAlignment="1">
      <alignment vertical="top" wrapText="1"/>
    </xf>
    <xf numFmtId="0" fontId="48" fillId="39" borderId="137" xfId="0" applyFont="1" applyFill="1" applyBorder="1" applyAlignment="1">
      <alignment horizontal="center" vertical="top" wrapText="1"/>
    </xf>
    <xf numFmtId="0" fontId="8" fillId="39" borderId="150" xfId="0" applyFont="1" applyFill="1" applyBorder="1" applyAlignment="1">
      <alignment vertical="top" wrapText="1"/>
    </xf>
    <xf numFmtId="0" fontId="48" fillId="39" borderId="150" xfId="0" applyFont="1" applyFill="1" applyBorder="1" applyAlignment="1">
      <alignment horizontal="center" vertical="top"/>
    </xf>
    <xf numFmtId="4" fontId="51" fillId="39" borderId="150" xfId="0" applyNumberFormat="1" applyFont="1" applyFill="1" applyBorder="1" applyAlignment="1">
      <alignment vertical="top"/>
    </xf>
    <xf numFmtId="4" fontId="18" fillId="39" borderId="150" xfId="0" applyNumberFormat="1" applyFont="1" applyFill="1" applyBorder="1" applyAlignment="1">
      <alignment vertical="top" wrapText="1"/>
    </xf>
    <xf numFmtId="9" fontId="18" fillId="39" borderId="150" xfId="13" applyFont="1" applyFill="1" applyBorder="1" applyAlignment="1">
      <alignment vertical="top" wrapText="1"/>
    </xf>
    <xf numFmtId="4" fontId="18" fillId="39" borderId="150" xfId="194" applyNumberFormat="1" applyFont="1" applyFill="1" applyBorder="1" applyAlignment="1">
      <alignment vertical="top" wrapText="1"/>
    </xf>
    <xf numFmtId="4" fontId="18" fillId="39" borderId="150" xfId="0" applyNumberFormat="1" applyFont="1" applyFill="1" applyBorder="1" applyAlignment="1">
      <alignment horizontal="center" vertical="top" wrapText="1"/>
    </xf>
    <xf numFmtId="4" fontId="51" fillId="39" borderId="150" xfId="0" applyNumberFormat="1" applyFont="1" applyFill="1" applyBorder="1" applyAlignment="1">
      <alignment vertical="top" wrapText="1"/>
    </xf>
    <xf numFmtId="9" fontId="51" fillId="39" borderId="150" xfId="13" applyFont="1" applyFill="1" applyBorder="1" applyAlignment="1">
      <alignment vertical="top" wrapText="1"/>
    </xf>
    <xf numFmtId="4" fontId="51" fillId="39" borderId="150" xfId="194" applyNumberFormat="1" applyFont="1" applyFill="1" applyBorder="1" applyAlignment="1">
      <alignment vertical="top" wrapText="1"/>
    </xf>
    <xf numFmtId="4" fontId="51" fillId="39" borderId="150" xfId="0" applyNumberFormat="1" applyFont="1" applyFill="1" applyBorder="1" applyAlignment="1">
      <alignment horizontal="center" vertical="top" wrapText="1"/>
    </xf>
    <xf numFmtId="0" fontId="48" fillId="8" borderId="137" xfId="0" applyFont="1" applyFill="1" applyBorder="1" applyAlignment="1">
      <alignment horizontal="center" vertical="top" wrapText="1"/>
    </xf>
    <xf numFmtId="0" fontId="8" fillId="8" borderId="150" xfId="0" applyFont="1" applyFill="1" applyBorder="1" applyAlignment="1">
      <alignment vertical="top" wrapText="1"/>
    </xf>
    <xf numFmtId="0" fontId="48" fillId="8" borderId="150" xfId="0" applyFont="1" applyFill="1" applyBorder="1" applyAlignment="1">
      <alignment horizontal="center" vertical="top"/>
    </xf>
    <xf numFmtId="4" fontId="51" fillId="8" borderId="150" xfId="0" applyNumberFormat="1" applyFont="1" applyFill="1" applyBorder="1" applyAlignment="1">
      <alignment vertical="top"/>
    </xf>
    <xf numFmtId="0" fontId="18" fillId="38" borderId="150" xfId="0" applyFont="1" applyFill="1" applyBorder="1" applyAlignment="1">
      <alignment vertical="top"/>
    </xf>
    <xf numFmtId="170" fontId="64" fillId="7" borderId="150" xfId="1" applyFont="1" applyFill="1" applyBorder="1" applyAlignment="1">
      <alignment horizontal="center" vertical="center"/>
    </xf>
    <xf numFmtId="4" fontId="15" fillId="7" borderId="150" xfId="145" applyNumberFormat="1" applyFont="1" applyFill="1" applyBorder="1" applyAlignment="1">
      <alignment horizontal="center" vertical="center"/>
    </xf>
    <xf numFmtId="2" fontId="13" fillId="7" borderId="142" xfId="145" applyNumberFormat="1" applyFont="1" applyFill="1" applyBorder="1" applyAlignment="1">
      <alignment horizontal="center" vertical="center"/>
    </xf>
    <xf numFmtId="186" fontId="15" fillId="0" borderId="144" xfId="145" applyNumberFormat="1" applyFont="1" applyBorder="1" applyAlignment="1">
      <alignment vertical="center"/>
    </xf>
    <xf numFmtId="186" fontId="15" fillId="0" borderId="145" xfId="145" applyNumberFormat="1" applyFont="1" applyBorder="1" applyAlignment="1">
      <alignment vertical="center"/>
    </xf>
    <xf numFmtId="186" fontId="15" fillId="0" borderId="147" xfId="145" applyNumberFormat="1" applyFont="1" applyBorder="1" applyAlignment="1">
      <alignment vertical="center"/>
    </xf>
    <xf numFmtId="4" fontId="15" fillId="0" borderId="140" xfId="18" applyNumberFormat="1" applyFont="1" applyBorder="1" applyAlignment="1">
      <alignment horizontal="center" vertical="center" wrapText="1"/>
    </xf>
    <xf numFmtId="170" fontId="13" fillId="0" borderId="141" xfId="1" applyFont="1" applyBorder="1" applyAlignment="1">
      <alignment horizontal="right" vertical="center"/>
    </xf>
    <xf numFmtId="0" fontId="15" fillId="0" borderId="150" xfId="7" applyFont="1" applyBorder="1" applyAlignment="1">
      <alignment horizontal="center"/>
    </xf>
    <xf numFmtId="170" fontId="15" fillId="0" borderId="138" xfId="1" applyFont="1" applyBorder="1" applyAlignment="1">
      <alignment horizontal="right" vertical="center" wrapText="1"/>
    </xf>
    <xf numFmtId="170" fontId="15" fillId="0" borderId="150" xfId="1" applyFont="1" applyBorder="1" applyAlignment="1">
      <alignment vertical="center" wrapText="1"/>
    </xf>
    <xf numFmtId="170" fontId="15" fillId="7" borderId="150" xfId="1" applyFont="1" applyFill="1" applyBorder="1" applyAlignment="1">
      <alignment vertical="center" wrapText="1"/>
    </xf>
    <xf numFmtId="170" fontId="15" fillId="0" borderId="150" xfId="1" applyFont="1" applyBorder="1" applyAlignment="1">
      <alignment horizontal="right" vertical="center" wrapText="1"/>
    </xf>
    <xf numFmtId="0" fontId="70" fillId="7" borderId="150" xfId="145" applyFont="1" applyFill="1" applyBorder="1" applyAlignment="1">
      <alignment horizontal="justify" vertical="center" wrapText="1"/>
    </xf>
    <xf numFmtId="170" fontId="15" fillId="7" borderId="150" xfId="1" applyFont="1" applyFill="1" applyBorder="1" applyAlignment="1">
      <alignment horizontal="right" vertical="center" wrapText="1"/>
    </xf>
    <xf numFmtId="170" fontId="15" fillId="0" borderId="150" xfId="1" applyFont="1" applyBorder="1" applyAlignment="1">
      <alignment horizontal="right" vertical="center"/>
    </xf>
    <xf numFmtId="170" fontId="15" fillId="7" borderId="150" xfId="1" applyFont="1" applyFill="1" applyBorder="1" applyAlignment="1">
      <alignment vertical="center"/>
    </xf>
    <xf numFmtId="2" fontId="15" fillId="7" borderId="150" xfId="145" applyNumberFormat="1" applyFont="1" applyFill="1" applyBorder="1" applyAlignment="1">
      <alignment horizontal="center" vertical="center"/>
    </xf>
    <xf numFmtId="4" fontId="15" fillId="0" borderId="150" xfId="18" applyNumberFormat="1" applyFont="1" applyBorder="1" applyAlignment="1">
      <alignment horizontal="center" vertical="center" wrapText="1"/>
    </xf>
    <xf numFmtId="170" fontId="15" fillId="0" borderId="150" xfId="1" applyFont="1" applyBorder="1" applyAlignment="1">
      <alignment horizontal="center" vertical="center" wrapText="1"/>
    </xf>
    <xf numFmtId="4" fontId="15" fillId="7" borderId="150" xfId="3" applyNumberFormat="1" applyFont="1" applyFill="1" applyBorder="1" applyAlignment="1" applyProtection="1">
      <alignment horizontal="center" vertical="center"/>
    </xf>
    <xf numFmtId="186" fontId="13" fillId="0" borderId="144" xfId="145" applyNumberFormat="1" applyFont="1" applyBorder="1" applyAlignment="1">
      <alignment vertical="center"/>
    </xf>
    <xf numFmtId="186" fontId="13" fillId="0" borderId="145" xfId="145" applyNumberFormat="1" applyFont="1" applyBorder="1" applyAlignment="1">
      <alignment vertical="center"/>
    </xf>
    <xf numFmtId="186" fontId="13" fillId="0" borderId="147" xfId="145" applyNumberFormat="1" applyFont="1" applyBorder="1" applyAlignment="1">
      <alignment vertical="center"/>
    </xf>
    <xf numFmtId="170" fontId="13" fillId="7" borderId="150" xfId="1" applyFont="1" applyFill="1" applyBorder="1" applyAlignment="1">
      <alignment horizontal="center" vertical="center"/>
    </xf>
    <xf numFmtId="170" fontId="13" fillId="7" borderId="150" xfId="1" applyFont="1" applyFill="1" applyBorder="1" applyAlignment="1">
      <alignment horizontal="right" vertical="center" wrapText="1"/>
    </xf>
    <xf numFmtId="170" fontId="15" fillId="7" borderId="26" xfId="1" applyFont="1" applyFill="1" applyBorder="1" applyAlignment="1">
      <alignment horizontal="right" vertical="center" wrapText="1"/>
    </xf>
    <xf numFmtId="2" fontId="13" fillId="8" borderId="142" xfId="145" applyNumberFormat="1" applyFont="1" applyFill="1" applyBorder="1" applyAlignment="1">
      <alignment horizontal="center" vertical="center"/>
    </xf>
    <xf numFmtId="0" fontId="15" fillId="8" borderId="150" xfId="145" applyFont="1" applyFill="1" applyBorder="1" applyAlignment="1">
      <alignment horizontal="center" vertical="center"/>
    </xf>
    <xf numFmtId="0" fontId="84" fillId="8" borderId="150" xfId="145" applyFont="1" applyFill="1" applyBorder="1" applyAlignment="1">
      <alignment horizontal="right" vertical="center" wrapText="1"/>
    </xf>
    <xf numFmtId="170" fontId="13" fillId="8" borderId="150" xfId="1" applyFont="1" applyFill="1" applyBorder="1" applyAlignment="1">
      <alignment horizontal="right" vertical="center" wrapText="1"/>
    </xf>
    <xf numFmtId="1" fontId="13" fillId="52" borderId="137" xfId="145" applyNumberFormat="1" applyFont="1" applyFill="1" applyBorder="1" applyAlignment="1">
      <alignment horizontal="center" vertical="center"/>
    </xf>
    <xf numFmtId="170" fontId="15" fillId="52" borderId="150" xfId="1" applyFont="1" applyFill="1" applyBorder="1" applyAlignment="1">
      <alignment horizontal="center" vertical="center"/>
    </xf>
    <xf numFmtId="170" fontId="64" fillId="52" borderId="26" xfId="1" applyFont="1" applyFill="1" applyBorder="1" applyAlignment="1">
      <alignment horizontal="center" vertical="center"/>
    </xf>
    <xf numFmtId="170" fontId="15" fillId="52" borderId="150" xfId="1" applyFont="1" applyFill="1" applyBorder="1" applyAlignment="1">
      <alignment horizontal="right" vertical="center" wrapText="1"/>
    </xf>
    <xf numFmtId="170" fontId="13" fillId="8" borderId="150" xfId="1" applyFont="1" applyFill="1" applyBorder="1" applyAlignment="1">
      <alignment horizontal="center" vertical="center"/>
    </xf>
    <xf numFmtId="4" fontId="13" fillId="8" borderId="150" xfId="18" applyNumberFormat="1" applyFont="1" applyFill="1" applyBorder="1" applyAlignment="1">
      <alignment horizontal="center" vertical="center" wrapText="1"/>
    </xf>
    <xf numFmtId="170" fontId="15" fillId="7" borderId="147" xfId="1" applyFont="1" applyFill="1" applyBorder="1" applyAlignment="1">
      <alignment horizontal="center" vertical="center"/>
    </xf>
    <xf numFmtId="9" fontId="15" fillId="39" borderId="138" xfId="1" applyNumberFormat="1" applyFont="1" applyFill="1" applyBorder="1" applyAlignment="1">
      <alignment horizontal="center" vertical="center"/>
    </xf>
    <xf numFmtId="0" fontId="76" fillId="0" borderId="148" xfId="308" applyFont="1" applyBorder="1" applyAlignment="1">
      <alignment horizontal="center" vertical="center"/>
    </xf>
    <xf numFmtId="205" fontId="76" fillId="0" borderId="148" xfId="308" applyNumberFormat="1" applyFont="1" applyBorder="1" applyAlignment="1">
      <alignment horizontal="center" vertical="center"/>
    </xf>
    <xf numFmtId="0" fontId="74" fillId="0" borderId="148" xfId="308" applyFont="1" applyBorder="1" applyAlignment="1">
      <alignment horizontal="center" vertical="center"/>
    </xf>
    <xf numFmtId="205" fontId="74" fillId="0" borderId="148" xfId="308" applyNumberFormat="1" applyFont="1" applyBorder="1" applyAlignment="1">
      <alignment horizontal="center" vertical="center"/>
    </xf>
    <xf numFmtId="0" fontId="74" fillId="0" borderId="150" xfId="308" applyFont="1" applyBorder="1" applyAlignment="1" applyProtection="1">
      <alignment horizontal="left" vertical="center" wrapText="1"/>
      <protection locked="0"/>
    </xf>
    <xf numFmtId="0" fontId="74" fillId="0" borderId="150" xfId="308" applyFont="1" applyBorder="1" applyAlignment="1" applyProtection="1">
      <alignment horizontal="center" vertical="center"/>
      <protection locked="0"/>
    </xf>
    <xf numFmtId="1" fontId="74" fillId="0" borderId="150" xfId="308" applyNumberFormat="1" applyFont="1" applyBorder="1" applyAlignment="1" applyProtection="1">
      <alignment horizontal="center" vertical="center"/>
      <protection locked="0"/>
    </xf>
    <xf numFmtId="0" fontId="76" fillId="0" borderId="150" xfId="308" applyFont="1" applyBorder="1" applyAlignment="1" applyProtection="1">
      <alignment horizontal="left" vertical="center" wrapText="1"/>
      <protection locked="0"/>
    </xf>
    <xf numFmtId="0" fontId="74" fillId="0" borderId="150" xfId="308" applyFont="1" applyBorder="1" applyAlignment="1">
      <alignment horizontal="justify" vertical="center" wrapText="1"/>
    </xf>
    <xf numFmtId="0" fontId="74" fillId="0" borderId="150" xfId="308" applyFont="1" applyBorder="1" applyAlignment="1">
      <alignment horizontal="center" vertical="center"/>
    </xf>
    <xf numFmtId="176" fontId="74" fillId="0" borderId="150" xfId="308" applyNumberFormat="1" applyFont="1" applyBorder="1" applyAlignment="1" applyProtection="1">
      <alignment horizontal="center" vertical="center"/>
      <protection locked="0"/>
    </xf>
    <xf numFmtId="206" fontId="74" fillId="0" borderId="150" xfId="334" applyNumberFormat="1" applyFont="1" applyFill="1" applyBorder="1" applyAlignment="1">
      <alignment horizontal="center" vertical="center"/>
    </xf>
    <xf numFmtId="0" fontId="74" fillId="7" borderId="142" xfId="308" applyFont="1" applyFill="1" applyBorder="1" applyAlignment="1">
      <alignment vertical="center" wrapText="1"/>
    </xf>
    <xf numFmtId="0" fontId="6" fillId="2" borderId="150" xfId="308" applyFill="1" applyBorder="1" applyAlignment="1" applyProtection="1">
      <alignment horizontal="left" vertical="center" indent="1"/>
      <protection hidden="1"/>
    </xf>
    <xf numFmtId="0" fontId="6" fillId="2" borderId="150" xfId="308" applyFill="1" applyBorder="1" applyAlignment="1" applyProtection="1">
      <alignment horizontal="center" vertical="center"/>
      <protection hidden="1"/>
    </xf>
    <xf numFmtId="180" fontId="66" fillId="2" borderId="150" xfId="240" applyNumberFormat="1" applyFont="1" applyFill="1" applyBorder="1" applyAlignment="1" applyProtection="1">
      <alignment horizontal="right"/>
      <protection hidden="1"/>
    </xf>
    <xf numFmtId="0" fontId="8" fillId="2" borderId="137" xfId="308" applyFont="1" applyFill="1" applyBorder="1" applyAlignment="1" applyProtection="1">
      <alignment horizontal="left" vertical="center" indent="1"/>
      <protection hidden="1"/>
    </xf>
    <xf numFmtId="1" fontId="6" fillId="2" borderId="150" xfId="242" applyNumberFormat="1" applyFill="1" applyBorder="1" applyAlignment="1" applyProtection="1">
      <alignment horizontal="center" vertical="center"/>
      <protection hidden="1"/>
    </xf>
    <xf numFmtId="1" fontId="6" fillId="2" borderId="138" xfId="242" applyNumberFormat="1" applyFill="1" applyBorder="1" applyAlignment="1" applyProtection="1">
      <alignment horizontal="center" vertical="center"/>
      <protection hidden="1"/>
    </xf>
    <xf numFmtId="2" fontId="6" fillId="2" borderId="150" xfId="242" applyNumberFormat="1" applyFill="1" applyBorder="1" applyAlignment="1" applyProtection="1">
      <alignment horizontal="center" vertical="center"/>
      <protection hidden="1"/>
    </xf>
    <xf numFmtId="2" fontId="6" fillId="2" borderId="138" xfId="242" applyNumberFormat="1" applyFill="1" applyBorder="1" applyAlignment="1" applyProtection="1">
      <alignment horizontal="center" vertical="center"/>
      <protection hidden="1"/>
    </xf>
    <xf numFmtId="180" fontId="6" fillId="2" borderId="150" xfId="242" applyNumberFormat="1" applyFill="1" applyBorder="1" applyAlignment="1" applyProtection="1">
      <alignment vertical="center"/>
      <protection hidden="1"/>
    </xf>
    <xf numFmtId="180" fontId="6" fillId="2" borderId="138" xfId="242" applyNumberFormat="1" applyFill="1" applyBorder="1" applyAlignment="1" applyProtection="1">
      <alignment vertical="center"/>
      <protection hidden="1"/>
    </xf>
    <xf numFmtId="180" fontId="6" fillId="2" borderId="150" xfId="242" applyNumberFormat="1" applyFont="1" applyFill="1" applyBorder="1" applyAlignment="1" applyProtection="1">
      <alignment vertical="center"/>
      <protection hidden="1"/>
    </xf>
    <xf numFmtId="180" fontId="6" fillId="2" borderId="138" xfId="242" applyNumberFormat="1" applyFont="1" applyFill="1" applyBorder="1" applyAlignment="1" applyProtection="1">
      <alignment vertical="center"/>
      <protection hidden="1"/>
    </xf>
    <xf numFmtId="0" fontId="6" fillId="2" borderId="150" xfId="308" applyFill="1" applyBorder="1" applyAlignment="1" applyProtection="1">
      <alignment vertical="center"/>
      <protection hidden="1"/>
    </xf>
    <xf numFmtId="0" fontId="8" fillId="2" borderId="139" xfId="308" applyFont="1" applyFill="1" applyBorder="1" applyAlignment="1" applyProtection="1">
      <alignment horizontal="left" vertical="center" indent="1"/>
      <protection hidden="1"/>
    </xf>
    <xf numFmtId="0" fontId="6" fillId="2" borderId="140" xfId="308" applyFill="1" applyBorder="1" applyAlignment="1" applyProtection="1">
      <alignment vertical="center"/>
      <protection hidden="1"/>
    </xf>
    <xf numFmtId="180" fontId="7" fillId="2" borderId="140" xfId="242" applyNumberFormat="1" applyFont="1" applyFill="1" applyBorder="1" applyAlignment="1" applyProtection="1">
      <alignment vertical="center"/>
      <protection hidden="1"/>
    </xf>
    <xf numFmtId="180" fontId="7" fillId="2" borderId="141" xfId="242" applyNumberFormat="1" applyFont="1" applyFill="1" applyBorder="1" applyAlignment="1" applyProtection="1">
      <alignment vertical="center"/>
      <protection hidden="1"/>
    </xf>
    <xf numFmtId="0" fontId="8" fillId="2" borderId="150" xfId="308" applyFont="1" applyFill="1" applyBorder="1" applyAlignment="1" applyProtection="1">
      <alignment horizontal="center" vertical="center"/>
      <protection hidden="1"/>
    </xf>
    <xf numFmtId="175" fontId="6" fillId="2" borderId="150" xfId="308" applyNumberFormat="1" applyFill="1" applyBorder="1" applyAlignment="1" applyProtection="1">
      <alignment vertical="center"/>
      <protection hidden="1"/>
    </xf>
    <xf numFmtId="182" fontId="6" fillId="2" borderId="150" xfId="308" applyNumberFormat="1" applyFill="1" applyBorder="1" applyAlignment="1" applyProtection="1">
      <alignment vertical="center"/>
      <protection hidden="1"/>
    </xf>
    <xf numFmtId="176" fontId="67" fillId="0" borderId="0" xfId="242" applyNumberFormat="1" applyFont="1" applyFill="1" applyBorder="1" applyAlignment="1" applyProtection="1">
      <alignment horizontal="right" vertical="center"/>
      <protection hidden="1"/>
    </xf>
    <xf numFmtId="182" fontId="8" fillId="2" borderId="150" xfId="308" applyNumberFormat="1" applyFont="1" applyFill="1" applyBorder="1" applyAlignment="1" applyProtection="1">
      <alignment vertical="center"/>
      <protection hidden="1"/>
    </xf>
    <xf numFmtId="182" fontId="68" fillId="2" borderId="150" xfId="308" applyNumberFormat="1" applyFont="1" applyFill="1" applyBorder="1" applyAlignment="1" applyProtection="1">
      <alignment vertical="center"/>
      <protection hidden="1"/>
    </xf>
    <xf numFmtId="0" fontId="9" fillId="0" borderId="149" xfId="12" applyFont="1" applyBorder="1" applyAlignment="1" applyProtection="1">
      <alignment vertical="center"/>
      <protection hidden="1"/>
    </xf>
    <xf numFmtId="0" fontId="10" fillId="0" borderId="150" xfId="308" applyFont="1" applyBorder="1" applyAlignment="1" applyProtection="1">
      <alignment horizontal="center" vertical="center"/>
      <protection hidden="1"/>
    </xf>
    <xf numFmtId="176" fontId="67" fillId="0" borderId="150" xfId="242" applyNumberFormat="1" applyFont="1" applyFill="1" applyBorder="1" applyAlignment="1" applyProtection="1">
      <alignment horizontal="right" vertical="center"/>
      <protection hidden="1"/>
    </xf>
    <xf numFmtId="9" fontId="6" fillId="2" borderId="150" xfId="308" applyNumberFormat="1" applyFill="1" applyBorder="1" applyAlignment="1" applyProtection="1">
      <alignment horizontal="center" vertical="center"/>
      <protection hidden="1"/>
    </xf>
    <xf numFmtId="0" fontId="9" fillId="0" borderId="149" xfId="12" applyFont="1" applyBorder="1" applyAlignment="1" applyProtection="1">
      <alignment horizontal="left" vertical="center"/>
      <protection hidden="1"/>
    </xf>
    <xf numFmtId="0" fontId="80" fillId="0" borderId="150" xfId="143" applyFont="1" applyBorder="1" applyAlignment="1" applyProtection="1">
      <alignment horizontal="center"/>
      <protection hidden="1"/>
    </xf>
    <xf numFmtId="10" fontId="80" fillId="0" borderId="150" xfId="166" applyNumberFormat="1" applyFont="1" applyFill="1" applyBorder="1" applyAlignment="1" applyProtection="1">
      <alignment horizontal="center"/>
      <protection hidden="1"/>
    </xf>
    <xf numFmtId="4" fontId="80" fillId="0" borderId="150" xfId="143" applyNumberFormat="1" applyFont="1" applyBorder="1" applyAlignment="1" applyProtection="1">
      <alignment horizontal="center"/>
      <protection hidden="1"/>
    </xf>
    <xf numFmtId="0" fontId="81" fillId="0" borderId="150" xfId="143" applyFont="1" applyBorder="1" applyAlignment="1" applyProtection="1">
      <alignment horizontal="center"/>
      <protection hidden="1"/>
    </xf>
    <xf numFmtId="0" fontId="81" fillId="0" borderId="150" xfId="143" applyFont="1" applyBorder="1" applyAlignment="1" applyProtection="1">
      <alignment horizontal="left"/>
      <protection hidden="1"/>
    </xf>
    <xf numFmtId="10" fontId="81" fillId="0" borderId="150" xfId="166" applyNumberFormat="1" applyFont="1" applyBorder="1" applyAlignment="1" applyProtection="1">
      <alignment horizontal="center"/>
      <protection hidden="1"/>
    </xf>
    <xf numFmtId="4" fontId="81" fillId="0" borderId="150" xfId="143" applyNumberFormat="1" applyFont="1" applyBorder="1" applyAlignment="1" applyProtection="1">
      <alignment horizontal="center"/>
      <protection hidden="1"/>
    </xf>
    <xf numFmtId="0" fontId="81" fillId="0" borderId="150" xfId="143" applyFont="1" applyBorder="1" applyProtection="1">
      <protection hidden="1"/>
    </xf>
    <xf numFmtId="1" fontId="81" fillId="41" borderId="150" xfId="166" applyNumberFormat="1" applyFont="1" applyFill="1" applyBorder="1" applyAlignment="1" applyProtection="1">
      <alignment horizontal="center"/>
      <protection hidden="1"/>
    </xf>
    <xf numFmtId="4" fontId="81" fillId="0" borderId="150" xfId="143" applyNumberFormat="1" applyFont="1" applyBorder="1" applyProtection="1">
      <protection hidden="1"/>
    </xf>
    <xf numFmtId="9" fontId="81" fillId="0" borderId="150" xfId="166" applyFont="1" applyBorder="1" applyAlignment="1" applyProtection="1">
      <alignment horizontal="center"/>
      <protection hidden="1"/>
    </xf>
    <xf numFmtId="1" fontId="81" fillId="0" borderId="150" xfId="166" applyNumberFormat="1" applyFont="1" applyBorder="1" applyAlignment="1" applyProtection="1">
      <alignment horizontal="center"/>
      <protection hidden="1"/>
    </xf>
    <xf numFmtId="185" fontId="81" fillId="0" borderId="150" xfId="166" applyNumberFormat="1" applyFont="1" applyBorder="1" applyAlignment="1" applyProtection="1">
      <alignment horizontal="center"/>
      <protection hidden="1"/>
    </xf>
    <xf numFmtId="0" fontId="80" fillId="0" borderId="149" xfId="143" applyFont="1" applyBorder="1" applyProtection="1">
      <protection hidden="1"/>
    </xf>
    <xf numFmtId="0" fontId="11" fillId="0" borderId="150" xfId="308" applyFont="1" applyBorder="1" applyAlignment="1">
      <alignment horizontal="center"/>
    </xf>
    <xf numFmtId="0" fontId="82" fillId="0" borderId="150" xfId="308" applyFont="1" applyBorder="1" applyAlignment="1">
      <alignment horizontal="center"/>
    </xf>
    <xf numFmtId="207" fontId="11" fillId="0" borderId="150" xfId="91" applyNumberFormat="1" applyFont="1" applyFill="1" applyBorder="1" applyAlignment="1">
      <alignment horizontal="center"/>
    </xf>
    <xf numFmtId="0" fontId="11" fillId="0" borderId="150" xfId="308" applyFont="1" applyBorder="1" applyAlignment="1" applyProtection="1">
      <alignment horizontal="center"/>
      <protection hidden="1"/>
    </xf>
    <xf numFmtId="0" fontId="11" fillId="0" borderId="150" xfId="308" applyFont="1" applyBorder="1" applyProtection="1">
      <protection hidden="1"/>
    </xf>
    <xf numFmtId="207" fontId="11" fillId="0" borderId="150" xfId="91" applyNumberFormat="1" applyFont="1" applyFill="1" applyBorder="1"/>
    <xf numFmtId="0" fontId="11" fillId="0" borderId="150" xfId="308" applyFont="1" applyBorder="1"/>
    <xf numFmtId="183" fontId="11" fillId="0" borderId="150" xfId="91" applyNumberFormat="1" applyFont="1" applyFill="1" applyBorder="1"/>
    <xf numFmtId="0" fontId="6" fillId="0" borderId="175" xfId="0" applyFont="1" applyBorder="1" applyAlignment="1">
      <alignment horizontal="center" vertical="center"/>
    </xf>
    <xf numFmtId="0" fontId="6" fillId="0" borderId="174" xfId="0" applyFont="1" applyBorder="1" applyAlignment="1">
      <alignment horizontal="center" vertical="center"/>
    </xf>
    <xf numFmtId="4" fontId="0" fillId="0" borderId="175" xfId="0" applyNumberFormat="1" applyBorder="1" applyAlignment="1">
      <alignment vertical="center"/>
    </xf>
    <xf numFmtId="4" fontId="0" fillId="0" borderId="174" xfId="0" applyNumberFormat="1" applyBorder="1" applyAlignment="1">
      <alignment vertical="center"/>
    </xf>
    <xf numFmtId="4" fontId="0" fillId="0" borderId="171" xfId="0" applyNumberFormat="1" applyBorder="1" applyAlignment="1">
      <alignment vertical="center"/>
    </xf>
    <xf numFmtId="4" fontId="0" fillId="0" borderId="173" xfId="0" applyNumberFormat="1" applyBorder="1" applyAlignment="1">
      <alignment vertical="center"/>
    </xf>
    <xf numFmtId="0" fontId="0" fillId="0" borderId="175" xfId="0" applyBorder="1" applyAlignment="1">
      <alignment vertical="center"/>
    </xf>
    <xf numFmtId="0" fontId="0" fillId="0" borderId="174" xfId="0" applyBorder="1" applyAlignment="1">
      <alignment horizontal="center" vertical="center"/>
    </xf>
    <xf numFmtId="4" fontId="6" fillId="0" borderId="171" xfId="0" applyNumberFormat="1" applyFont="1" applyBorder="1" applyAlignment="1">
      <alignment horizontal="left" vertical="center" wrapText="1"/>
    </xf>
    <xf numFmtId="0" fontId="14" fillId="0" borderId="171" xfId="0" applyFont="1" applyBorder="1" applyAlignment="1">
      <alignment horizontal="center" vertical="center"/>
    </xf>
    <xf numFmtId="4" fontId="6" fillId="0" borderId="171" xfId="3" applyNumberFormat="1" applyFont="1" applyFill="1" applyBorder="1" applyAlignment="1" applyProtection="1">
      <alignment horizontal="right" vertical="center"/>
    </xf>
    <xf numFmtId="49" fontId="6" fillId="0" borderId="171" xfId="0" applyNumberFormat="1" applyFont="1" applyBorder="1" applyAlignment="1">
      <alignment horizontal="left" vertical="center" wrapText="1"/>
    </xf>
    <xf numFmtId="4" fontId="6" fillId="0" borderId="171" xfId="0" applyNumberFormat="1" applyFont="1" applyBorder="1" applyAlignment="1">
      <alignment horizontal="center" vertical="center" wrapText="1"/>
    </xf>
    <xf numFmtId="2" fontId="6" fillId="40" borderId="171" xfId="88" applyNumberFormat="1" applyFont="1" applyFill="1" applyBorder="1" applyAlignment="1">
      <alignment horizontal="center" vertical="center" wrapText="1"/>
    </xf>
    <xf numFmtId="186" fontId="8" fillId="3" borderId="171" xfId="0" applyNumberFormat="1" applyFont="1" applyFill="1" applyBorder="1" applyAlignment="1">
      <alignment vertical="center"/>
    </xf>
    <xf numFmtId="4" fontId="8" fillId="3" borderId="171" xfId="0" applyNumberFormat="1" applyFont="1" applyFill="1" applyBorder="1" applyAlignment="1">
      <alignment horizontal="center" vertical="center"/>
    </xf>
    <xf numFmtId="4" fontId="8" fillId="3" borderId="171" xfId="0" applyNumberFormat="1" applyFont="1" applyFill="1" applyBorder="1" applyAlignment="1">
      <alignment horizontal="right" vertical="center"/>
    </xf>
    <xf numFmtId="4" fontId="8" fillId="3" borderId="172" xfId="3" applyNumberFormat="1" applyFont="1" applyFill="1" applyBorder="1" applyAlignment="1" applyProtection="1">
      <alignment horizontal="right" vertical="center"/>
    </xf>
    <xf numFmtId="0" fontId="8" fillId="8" borderId="171" xfId="0" applyFont="1" applyFill="1" applyBorder="1" applyAlignment="1">
      <alignment vertical="top" wrapText="1"/>
    </xf>
    <xf numFmtId="0" fontId="48" fillId="8" borderId="171" xfId="0" applyFont="1" applyFill="1" applyBorder="1" applyAlignment="1">
      <alignment horizontal="center" vertical="top"/>
    </xf>
    <xf numFmtId="4" fontId="51" fillId="8" borderId="171" xfId="0" applyNumberFormat="1" applyFont="1" applyFill="1" applyBorder="1" applyAlignment="1">
      <alignment vertical="top"/>
    </xf>
    <xf numFmtId="4" fontId="15" fillId="7" borderId="171" xfId="145" applyNumberFormat="1" applyFont="1" applyFill="1" applyBorder="1" applyAlignment="1">
      <alignment horizontal="center" vertical="center"/>
    </xf>
    <xf numFmtId="0" fontId="13" fillId="7" borderId="173" xfId="145" applyFont="1" applyFill="1" applyBorder="1" applyAlignment="1">
      <alignment vertical="center"/>
    </xf>
    <xf numFmtId="0" fontId="13" fillId="7" borderId="171" xfId="145" applyFont="1" applyFill="1" applyBorder="1" applyAlignment="1">
      <alignment vertical="center"/>
    </xf>
    <xf numFmtId="0" fontId="50" fillId="0" borderId="171" xfId="0" applyFont="1" applyBorder="1" applyAlignment="1">
      <alignment horizontal="justify" vertical="center"/>
    </xf>
    <xf numFmtId="170" fontId="64" fillId="7" borderId="171" xfId="1" applyFont="1" applyFill="1" applyBorder="1" applyAlignment="1">
      <alignment horizontal="center" vertical="center"/>
    </xf>
    <xf numFmtId="186" fontId="15" fillId="0" borderId="171" xfId="145" applyNumberFormat="1" applyFont="1" applyBorder="1" applyAlignment="1">
      <alignment vertical="center"/>
    </xf>
    <xf numFmtId="4" fontId="64" fillId="7" borderId="173" xfId="0" applyNumberFormat="1" applyFont="1" applyFill="1" applyBorder="1" applyAlignment="1">
      <alignment horizontal="center" vertical="center"/>
    </xf>
    <xf numFmtId="4" fontId="15" fillId="7" borderId="171" xfId="18" applyNumberFormat="1" applyFont="1" applyFill="1" applyBorder="1" applyAlignment="1">
      <alignment horizontal="center" vertical="center" wrapText="1"/>
    </xf>
    <xf numFmtId="0" fontId="15" fillId="0" borderId="173" xfId="145" applyFont="1" applyBorder="1" applyAlignment="1">
      <alignment horizontal="center" vertical="center"/>
    </xf>
    <xf numFmtId="0" fontId="15" fillId="0" borderId="171" xfId="145" applyFont="1" applyBorder="1" applyAlignment="1">
      <alignment horizontal="center" vertical="center"/>
    </xf>
    <xf numFmtId="186" fontId="15" fillId="0" borderId="175" xfId="145" applyNumberFormat="1" applyFont="1" applyBorder="1" applyAlignment="1">
      <alignment vertical="center"/>
    </xf>
    <xf numFmtId="186" fontId="15" fillId="0" borderId="173" xfId="145" applyNumberFormat="1" applyFont="1" applyBorder="1" applyAlignment="1">
      <alignment vertical="center"/>
    </xf>
    <xf numFmtId="4" fontId="15" fillId="0" borderId="171" xfId="18" applyNumberFormat="1" applyFont="1" applyBorder="1" applyAlignment="1">
      <alignment horizontal="center" vertical="center" wrapText="1"/>
    </xf>
    <xf numFmtId="170" fontId="13" fillId="0" borderId="171" xfId="1" applyFont="1" applyBorder="1" applyAlignment="1">
      <alignment vertical="center"/>
    </xf>
    <xf numFmtId="170" fontId="13" fillId="0" borderId="171" xfId="1" applyFont="1" applyBorder="1" applyAlignment="1">
      <alignment horizontal="right" vertical="center"/>
    </xf>
    <xf numFmtId="170" fontId="13" fillId="0" borderId="171" xfId="1" applyFont="1" applyBorder="1"/>
    <xf numFmtId="4" fontId="13" fillId="0" borderId="171" xfId="18" applyNumberFormat="1" applyFont="1" applyBorder="1" applyAlignment="1">
      <alignment horizontal="center" vertical="center" wrapText="1"/>
    </xf>
    <xf numFmtId="4" fontId="13" fillId="7" borderId="171" xfId="18" applyNumberFormat="1" applyFont="1" applyFill="1" applyBorder="1" applyAlignment="1">
      <alignment horizontal="center" vertical="center" wrapText="1"/>
    </xf>
    <xf numFmtId="4" fontId="15" fillId="8" borderId="171" xfId="18" applyNumberFormat="1" applyFont="1" applyFill="1" applyBorder="1" applyAlignment="1">
      <alignment horizontal="center" vertical="center" wrapText="1"/>
    </xf>
    <xf numFmtId="4" fontId="15" fillId="52" borderId="171" xfId="18" applyNumberFormat="1" applyFont="1" applyFill="1" applyBorder="1" applyAlignment="1">
      <alignment horizontal="center" vertical="center" wrapText="1"/>
    </xf>
    <xf numFmtId="0" fontId="15" fillId="0" borderId="175" xfId="0" applyFont="1" applyBorder="1" applyAlignment="1">
      <alignment vertical="center" wrapText="1"/>
    </xf>
    <xf numFmtId="0" fontId="15" fillId="0" borderId="173" xfId="0" applyFont="1" applyBorder="1" applyAlignment="1">
      <alignment vertical="center" wrapText="1"/>
    </xf>
    <xf numFmtId="4" fontId="13" fillId="52" borderId="65" xfId="145" applyNumberFormat="1" applyFont="1" applyFill="1" applyBorder="1" applyAlignment="1">
      <alignment horizontal="center" vertical="center"/>
    </xf>
    <xf numFmtId="170" fontId="13" fillId="52" borderId="66" xfId="193" applyFont="1" applyFill="1" applyBorder="1" applyAlignment="1">
      <alignment vertical="center"/>
    </xf>
    <xf numFmtId="170" fontId="15" fillId="7" borderId="150" xfId="193" applyFont="1" applyFill="1" applyBorder="1" applyAlignment="1">
      <alignment horizontal="center" vertical="center"/>
    </xf>
    <xf numFmtId="10" fontId="15" fillId="0" borderId="0" xfId="13" applyNumberFormat="1" applyFont="1"/>
    <xf numFmtId="0" fontId="13" fillId="0" borderId="0" xfId="7" applyFont="1" applyAlignment="1">
      <alignment horizontal="center"/>
    </xf>
    <xf numFmtId="179" fontId="8" fillId="0" borderId="1" xfId="143" applyNumberFormat="1" applyFont="1" applyBorder="1" applyAlignment="1">
      <alignment horizontal="center"/>
    </xf>
    <xf numFmtId="179" fontId="8" fillId="0" borderId="28" xfId="143" applyNumberFormat="1" applyFont="1" applyBorder="1" applyAlignment="1">
      <alignment horizontal="center"/>
    </xf>
    <xf numFmtId="179" fontId="8" fillId="0" borderId="2" xfId="143" applyNumberFormat="1" applyFont="1" applyBorder="1" applyAlignment="1">
      <alignment horizontal="center"/>
    </xf>
    <xf numFmtId="0" fontId="8" fillId="0" borderId="12" xfId="143" applyFont="1" applyBorder="1" applyAlignment="1">
      <alignment horizontal="center"/>
    </xf>
    <xf numFmtId="0" fontId="8" fillId="0" borderId="0" xfId="143" applyFont="1" applyAlignment="1">
      <alignment horizontal="center"/>
    </xf>
    <xf numFmtId="0" fontId="8" fillId="0" borderId="1" xfId="143" applyFont="1" applyBorder="1" applyAlignment="1">
      <alignment horizontal="center"/>
    </xf>
    <xf numFmtId="0" fontId="8" fillId="0" borderId="28" xfId="143" applyFont="1" applyBorder="1" applyAlignment="1">
      <alignment horizontal="center"/>
    </xf>
    <xf numFmtId="0" fontId="8" fillId="0" borderId="2" xfId="143" applyFont="1" applyBorder="1" applyAlignment="1">
      <alignment horizontal="center"/>
    </xf>
    <xf numFmtId="0" fontId="8" fillId="0" borderId="9" xfId="143" applyFont="1" applyBorder="1" applyAlignment="1">
      <alignment horizontal="center" vertical="center" wrapText="1"/>
    </xf>
    <xf numFmtId="0" fontId="8" fillId="0" borderId="10" xfId="143" applyFont="1" applyBorder="1" applyAlignment="1">
      <alignment horizontal="center" vertical="center" wrapText="1"/>
    </xf>
    <xf numFmtId="0" fontId="8" fillId="0" borderId="28" xfId="143" applyFont="1" applyBorder="1" applyAlignment="1">
      <alignment horizontal="center" vertical="center" wrapText="1"/>
    </xf>
    <xf numFmtId="0" fontId="8" fillId="0" borderId="2" xfId="143" applyFont="1" applyBorder="1" applyAlignment="1">
      <alignment horizontal="center" vertical="center" wrapText="1"/>
    </xf>
    <xf numFmtId="0" fontId="6" fillId="0" borderId="1" xfId="143" applyBorder="1" applyAlignment="1">
      <alignment horizontal="center" vertical="center" wrapText="1"/>
    </xf>
    <xf numFmtId="0" fontId="6" fillId="0" borderId="28" xfId="143" applyBorder="1" applyAlignment="1">
      <alignment horizontal="center" vertical="center" wrapText="1"/>
    </xf>
    <xf numFmtId="0" fontId="6" fillId="0" borderId="2" xfId="143" applyBorder="1" applyAlignment="1">
      <alignment horizontal="center" vertical="center" wrapText="1"/>
    </xf>
    <xf numFmtId="0" fontId="8" fillId="0" borderId="0" xfId="143" applyFont="1" applyAlignment="1">
      <alignment horizontal="center" vertical="center"/>
    </xf>
    <xf numFmtId="4" fontId="51" fillId="0" borderId="1" xfId="0" applyNumberFormat="1" applyFont="1" applyBorder="1" applyAlignment="1">
      <alignment horizontal="center" vertical="center" wrapText="1"/>
    </xf>
    <xf numFmtId="4" fontId="51" fillId="0" borderId="28" xfId="0" applyNumberFormat="1" applyFont="1" applyBorder="1" applyAlignment="1">
      <alignment horizontal="center" vertical="center" wrapText="1"/>
    </xf>
    <xf numFmtId="4" fontId="51" fillId="0" borderId="2" xfId="0" applyNumberFormat="1" applyFont="1" applyBorder="1" applyAlignment="1">
      <alignment horizontal="center" vertical="center" wrapText="1"/>
    </xf>
    <xf numFmtId="4" fontId="51" fillId="0" borderId="28" xfId="0" applyNumberFormat="1" applyFont="1" applyBorder="1" applyAlignment="1">
      <alignment horizontal="center" vertical="center"/>
    </xf>
    <xf numFmtId="4" fontId="51" fillId="0" borderId="2" xfId="0" applyNumberFormat="1" applyFont="1" applyBorder="1" applyAlignment="1">
      <alignment horizontal="center" vertical="center"/>
    </xf>
    <xf numFmtId="4" fontId="51" fillId="0" borderId="29" xfId="0" applyNumberFormat="1" applyFont="1" applyBorder="1" applyAlignment="1">
      <alignment horizontal="center" vertical="center"/>
    </xf>
    <xf numFmtId="4" fontId="51" fillId="0" borderId="10" xfId="0" applyNumberFormat="1" applyFont="1" applyBorder="1" applyAlignment="1">
      <alignment horizontal="center" vertical="center"/>
    </xf>
    <xf numFmtId="4" fontId="51" fillId="0" borderId="15" xfId="0" applyNumberFormat="1" applyFont="1" applyBorder="1" applyAlignment="1">
      <alignment horizontal="center" vertical="center"/>
    </xf>
    <xf numFmtId="4" fontId="51" fillId="0" borderId="14" xfId="0" applyNumberFormat="1" applyFont="1" applyBorder="1" applyAlignment="1">
      <alignment horizontal="center" vertical="center"/>
    </xf>
    <xf numFmtId="4" fontId="18" fillId="0" borderId="43" xfId="0" applyNumberFormat="1" applyFont="1" applyBorder="1" applyAlignment="1">
      <alignment horizontal="center" vertical="center" wrapText="1"/>
    </xf>
    <xf numFmtId="4" fontId="18" fillId="0" borderId="16" xfId="0" applyNumberFormat="1" applyFont="1" applyBorder="1" applyAlignment="1">
      <alignment horizontal="center" vertical="center" wrapText="1"/>
    </xf>
    <xf numFmtId="4" fontId="18" fillId="0" borderId="60" xfId="0" applyNumberFormat="1" applyFont="1" applyBorder="1" applyAlignment="1">
      <alignment horizontal="center" vertical="center" wrapText="1"/>
    </xf>
    <xf numFmtId="4" fontId="21" fillId="0" borderId="55" xfId="0" applyNumberFormat="1" applyFont="1" applyBorder="1" applyAlignment="1">
      <alignment horizontal="center" vertical="center"/>
    </xf>
    <xf numFmtId="4" fontId="21" fillId="0" borderId="142" xfId="0" applyNumberFormat="1" applyFont="1" applyBorder="1" applyAlignment="1">
      <alignment horizontal="center" vertical="center"/>
    </xf>
    <xf numFmtId="0" fontId="0" fillId="0" borderId="23" xfId="0" applyBorder="1" applyAlignment="1">
      <alignment horizontal="center" vertical="center"/>
    </xf>
    <xf numFmtId="0" fontId="0" fillId="0" borderId="46" xfId="0" applyBorder="1" applyAlignment="1">
      <alignment horizontal="center" vertical="center"/>
    </xf>
    <xf numFmtId="0" fontId="0" fillId="0" borderId="25" xfId="0" applyBorder="1" applyAlignment="1">
      <alignment horizontal="center" vertical="center"/>
    </xf>
    <xf numFmtId="0" fontId="15" fillId="7" borderId="140" xfId="195" applyFont="1" applyFill="1" applyBorder="1" applyAlignment="1">
      <alignment horizontal="center" vertical="center" wrapText="1"/>
    </xf>
    <xf numFmtId="0" fontId="15" fillId="7" borderId="141" xfId="195" applyFont="1" applyFill="1" applyBorder="1" applyAlignment="1">
      <alignment horizontal="center" vertical="center" wrapText="1"/>
    </xf>
    <xf numFmtId="0" fontId="15" fillId="41" borderId="137" xfId="195" applyFont="1" applyFill="1" applyBorder="1" applyAlignment="1">
      <alignment vertical="center" wrapText="1"/>
    </xf>
    <xf numFmtId="0" fontId="15" fillId="41" borderId="150" xfId="195" applyFont="1" applyFill="1" applyBorder="1" applyAlignment="1">
      <alignment vertical="center" wrapText="1"/>
    </xf>
    <xf numFmtId="170" fontId="13" fillId="7" borderId="14" xfId="193" applyFont="1" applyFill="1" applyBorder="1" applyAlignment="1">
      <alignment horizontal="center" vertical="center" wrapText="1"/>
    </xf>
    <xf numFmtId="170" fontId="13" fillId="7" borderId="65" xfId="193" applyFont="1" applyFill="1" applyBorder="1" applyAlignment="1">
      <alignment horizontal="center" vertical="center" wrapText="1"/>
    </xf>
    <xf numFmtId="0" fontId="13" fillId="41" borderId="150" xfId="195" applyFont="1" applyFill="1" applyBorder="1" applyAlignment="1">
      <alignment horizontal="center" vertical="center" wrapText="1"/>
    </xf>
    <xf numFmtId="0" fontId="13" fillId="41" borderId="150" xfId="195" applyFont="1" applyFill="1" applyBorder="1" applyAlignment="1">
      <alignment horizontal="center" vertical="center"/>
    </xf>
    <xf numFmtId="3" fontId="13" fillId="41" borderId="150" xfId="195" applyNumberFormat="1" applyFont="1" applyFill="1" applyBorder="1" applyAlignment="1">
      <alignment horizontal="center" vertical="center" wrapText="1"/>
    </xf>
    <xf numFmtId="3" fontId="13" fillId="41" borderId="150" xfId="195" applyNumberFormat="1" applyFont="1" applyFill="1" applyBorder="1" applyAlignment="1">
      <alignment horizontal="center" vertical="center"/>
    </xf>
    <xf numFmtId="0" fontId="13" fillId="52" borderId="144" xfId="145" applyFont="1" applyFill="1" applyBorder="1" applyAlignment="1">
      <alignment horizontal="left" vertical="center"/>
    </xf>
    <xf numFmtId="0" fontId="13" fillId="52" borderId="145" xfId="145" applyFont="1" applyFill="1" applyBorder="1" applyAlignment="1">
      <alignment horizontal="left" vertical="center"/>
    </xf>
    <xf numFmtId="0" fontId="13" fillId="52" borderId="146" xfId="145" applyFont="1" applyFill="1" applyBorder="1" applyAlignment="1">
      <alignment horizontal="left" vertical="center"/>
    </xf>
    <xf numFmtId="0" fontId="15" fillId="0" borderId="77" xfId="7" applyFont="1" applyBorder="1" applyAlignment="1">
      <alignment horizontal="center" wrapText="1"/>
    </xf>
    <xf numFmtId="0" fontId="15" fillId="0" borderId="58" xfId="7" applyFont="1" applyBorder="1" applyAlignment="1">
      <alignment horizontal="center" wrapText="1"/>
    </xf>
    <xf numFmtId="0" fontId="13" fillId="0" borderId="0" xfId="195" applyFont="1" applyAlignment="1">
      <alignment horizontal="center" vertical="top"/>
    </xf>
    <xf numFmtId="0" fontId="13" fillId="0" borderId="21" xfId="195" applyFont="1" applyBorder="1" applyAlignment="1">
      <alignment horizontal="center"/>
    </xf>
    <xf numFmtId="186" fontId="13" fillId="7" borderId="51" xfId="145" applyNumberFormat="1" applyFont="1" applyFill="1" applyBorder="1" applyAlignment="1">
      <alignment horizontal="center" vertical="center" wrapText="1"/>
    </xf>
    <xf numFmtId="186" fontId="13" fillId="7" borderId="67" xfId="145" applyNumberFormat="1" applyFont="1" applyFill="1" applyBorder="1" applyAlignment="1">
      <alignment horizontal="center" vertical="center" wrapText="1"/>
    </xf>
    <xf numFmtId="0" fontId="13" fillId="7" borderId="71" xfId="145" applyFont="1" applyFill="1" applyBorder="1" applyAlignment="1">
      <alignment horizontal="center" vertical="center" wrapText="1"/>
    </xf>
    <xf numFmtId="0" fontId="13" fillId="7" borderId="76" xfId="145" applyFont="1" applyFill="1" applyBorder="1" applyAlignment="1">
      <alignment horizontal="center" vertical="center" wrapText="1"/>
    </xf>
    <xf numFmtId="0" fontId="13" fillId="7" borderId="29" xfId="145" applyFont="1" applyFill="1" applyBorder="1" applyAlignment="1">
      <alignment horizontal="center" vertical="center" wrapText="1"/>
    </xf>
    <xf numFmtId="0" fontId="13" fillId="7" borderId="64" xfId="145" applyFont="1" applyFill="1" applyBorder="1" applyAlignment="1">
      <alignment horizontal="center" vertical="center" wrapText="1"/>
    </xf>
    <xf numFmtId="0" fontId="13" fillId="7" borderId="14" xfId="145" applyFont="1" applyFill="1" applyBorder="1" applyAlignment="1">
      <alignment horizontal="center" vertical="center" wrapText="1"/>
    </xf>
    <xf numFmtId="0" fontId="13" fillId="7" borderId="65" xfId="145" applyFont="1" applyFill="1" applyBorder="1" applyAlignment="1">
      <alignment horizontal="center" vertical="center" wrapText="1"/>
    </xf>
    <xf numFmtId="4" fontId="13" fillId="7" borderId="14" xfId="145" applyNumberFormat="1" applyFont="1" applyFill="1" applyBorder="1" applyAlignment="1">
      <alignment horizontal="center" vertical="center" wrapText="1"/>
    </xf>
    <xf numFmtId="4" fontId="13" fillId="7" borderId="65" xfId="145" applyNumberFormat="1" applyFont="1" applyFill="1" applyBorder="1" applyAlignment="1">
      <alignment horizontal="center" vertical="center" wrapText="1"/>
    </xf>
    <xf numFmtId="170" fontId="13" fillId="7" borderId="15" xfId="193" applyFont="1" applyFill="1" applyBorder="1" applyAlignment="1">
      <alignment horizontal="center" vertical="center" wrapText="1"/>
    </xf>
    <xf numFmtId="170" fontId="13" fillId="7" borderId="66" xfId="193" applyFont="1" applyFill="1" applyBorder="1" applyAlignment="1">
      <alignment horizontal="center" vertical="center" wrapText="1"/>
    </xf>
    <xf numFmtId="0" fontId="13" fillId="52" borderId="1" xfId="145" applyFont="1" applyFill="1" applyBorder="1" applyAlignment="1">
      <alignment horizontal="right" vertical="center"/>
    </xf>
    <xf numFmtId="0" fontId="13" fillId="52" borderId="28" xfId="145" applyFont="1" applyFill="1" applyBorder="1" applyAlignment="1">
      <alignment horizontal="right" vertical="center"/>
    </xf>
    <xf numFmtId="0" fontId="13" fillId="52" borderId="3" xfId="145" applyFont="1" applyFill="1" applyBorder="1" applyAlignment="1">
      <alignment horizontal="right" vertical="center"/>
    </xf>
    <xf numFmtId="37" fontId="15" fillId="0" borderId="46" xfId="6" applyFont="1" applyBorder="1" applyAlignment="1">
      <alignment horizontal="center" vertical="center"/>
    </xf>
    <xf numFmtId="37" fontId="15" fillId="0" borderId="25" xfId="6" applyFont="1" applyBorder="1" applyAlignment="1">
      <alignment horizontal="center" vertical="center"/>
    </xf>
    <xf numFmtId="3" fontId="13" fillId="41" borderId="26" xfId="195" applyNumberFormat="1" applyFont="1" applyFill="1" applyBorder="1" applyAlignment="1">
      <alignment horizontal="center" vertical="center" wrapText="1"/>
    </xf>
    <xf numFmtId="0" fontId="0" fillId="0" borderId="23" xfId="0" applyBorder="1" applyAlignment="1">
      <alignment horizontal="center" vertical="center" wrapText="1"/>
    </xf>
    <xf numFmtId="0" fontId="0" fillId="0" borderId="46" xfId="0" applyBorder="1" applyAlignment="1">
      <alignment horizontal="center" vertical="center" wrapText="1"/>
    </xf>
    <xf numFmtId="0" fontId="0" fillId="0" borderId="25" xfId="0" applyBorder="1" applyAlignment="1">
      <alignment horizontal="center" vertical="center" wrapText="1"/>
    </xf>
    <xf numFmtId="170" fontId="6" fillId="40" borderId="1" xfId="1" applyFont="1" applyFill="1" applyBorder="1" applyAlignment="1">
      <alignment horizontal="center" vertical="center" wrapText="1"/>
    </xf>
    <xf numFmtId="170" fontId="6" fillId="40" borderId="2" xfId="1" applyFont="1" applyFill="1" applyBorder="1" applyAlignment="1">
      <alignment horizontal="center" vertical="center" wrapText="1"/>
    </xf>
    <xf numFmtId="0" fontId="8" fillId="0" borderId="9" xfId="9" applyFont="1" applyBorder="1" applyAlignment="1">
      <alignment horizontal="center" vertical="center"/>
    </xf>
    <xf numFmtId="0" fontId="8" fillId="0" borderId="10" xfId="9" applyFont="1" applyBorder="1" applyAlignment="1">
      <alignment horizontal="center" vertical="center"/>
    </xf>
    <xf numFmtId="0" fontId="8" fillId="0" borderId="12" xfId="9" applyFont="1" applyBorder="1" applyAlignment="1">
      <alignment horizontal="center" vertical="center" wrapText="1"/>
    </xf>
    <xf numFmtId="0" fontId="8" fillId="0" borderId="0" xfId="9" applyFont="1" applyAlignment="1">
      <alignment horizontal="center" vertical="center" wrapText="1"/>
    </xf>
    <xf numFmtId="4" fontId="8" fillId="0" borderId="0" xfId="9" applyNumberFormat="1" applyFont="1" applyAlignment="1">
      <alignment horizontal="right" vertical="center" wrapText="1"/>
    </xf>
    <xf numFmtId="3" fontId="13" fillId="0" borderId="12" xfId="11" applyNumberFormat="1" applyFont="1" applyBorder="1" applyAlignment="1">
      <alignment horizontal="center" vertical="center" wrapText="1"/>
    </xf>
    <xf numFmtId="3" fontId="13" fillId="0" borderId="0" xfId="11" applyNumberFormat="1" applyFont="1" applyAlignment="1">
      <alignment horizontal="center" vertical="center" wrapText="1"/>
    </xf>
    <xf numFmtId="4" fontId="8" fillId="38" borderId="9" xfId="0" applyNumberFormat="1" applyFont="1" applyFill="1" applyBorder="1" applyAlignment="1">
      <alignment horizontal="center" vertical="center" wrapText="1"/>
    </xf>
    <xf numFmtId="4" fontId="8" fillId="38" borderId="11" xfId="0" applyNumberFormat="1" applyFont="1" applyFill="1" applyBorder="1" applyAlignment="1">
      <alignment horizontal="center" vertical="center" wrapText="1"/>
    </xf>
    <xf numFmtId="4" fontId="8" fillId="38" borderId="20" xfId="0" applyNumberFormat="1" applyFont="1" applyFill="1" applyBorder="1" applyAlignment="1">
      <alignment horizontal="center" vertical="center" wrapText="1"/>
    </xf>
    <xf numFmtId="4" fontId="8" fillId="38" borderId="22" xfId="0" applyNumberFormat="1" applyFont="1" applyFill="1" applyBorder="1" applyAlignment="1">
      <alignment horizontal="center" vertical="center" wrapText="1"/>
    </xf>
    <xf numFmtId="0" fontId="8" fillId="0" borderId="9" xfId="9" applyFont="1" applyBorder="1" applyAlignment="1">
      <alignment horizontal="center" vertical="top"/>
    </xf>
    <xf numFmtId="0" fontId="8" fillId="0" borderId="10" xfId="9" applyFont="1" applyBorder="1" applyAlignment="1">
      <alignment horizontal="center" vertical="top"/>
    </xf>
    <xf numFmtId="0" fontId="8" fillId="0" borderId="12" xfId="9" applyFont="1" applyBorder="1" applyAlignment="1">
      <alignment horizontal="center" vertical="top" wrapText="1"/>
    </xf>
    <xf numFmtId="0" fontId="8" fillId="0" borderId="0" xfId="9" applyFont="1" applyAlignment="1">
      <alignment horizontal="center" vertical="top" wrapText="1"/>
    </xf>
    <xf numFmtId="3" fontId="13" fillId="0" borderId="12" xfId="11" applyNumberFormat="1" applyFont="1" applyBorder="1" applyAlignment="1">
      <alignment horizontal="center" vertical="top" wrapText="1"/>
    </xf>
    <xf numFmtId="3" fontId="13" fillId="0" borderId="0" xfId="11" applyNumberFormat="1" applyFont="1" applyAlignment="1">
      <alignment horizontal="center" vertical="top" wrapText="1"/>
    </xf>
    <xf numFmtId="0" fontId="49" fillId="8" borderId="4" xfId="0" applyFont="1" applyFill="1" applyBorder="1" applyAlignment="1">
      <alignment horizontal="center" vertical="center" wrapText="1"/>
    </xf>
    <xf numFmtId="0" fontId="49" fillId="8" borderId="3" xfId="0" applyFont="1" applyFill="1" applyBorder="1" applyAlignment="1">
      <alignment horizontal="center" vertical="center" wrapText="1"/>
    </xf>
    <xf numFmtId="0" fontId="49" fillId="8" borderId="28" xfId="0" applyFont="1" applyFill="1" applyBorder="1" applyAlignment="1">
      <alignment horizontal="center" vertical="center" wrapText="1"/>
    </xf>
    <xf numFmtId="186" fontId="15" fillId="0" borderId="20" xfId="145" applyNumberFormat="1" applyFont="1" applyBorder="1" applyAlignment="1">
      <alignment horizontal="left" vertical="center"/>
    </xf>
    <xf numFmtId="186" fontId="15" fillId="0" borderId="145" xfId="145" applyNumberFormat="1" applyFont="1" applyBorder="1" applyAlignment="1">
      <alignment horizontal="left" vertical="center"/>
    </xf>
    <xf numFmtId="186" fontId="15" fillId="0" borderId="147" xfId="145" applyNumberFormat="1" applyFont="1" applyBorder="1" applyAlignment="1">
      <alignment horizontal="left" vertical="center"/>
    </xf>
    <xf numFmtId="0" fontId="15" fillId="39" borderId="9" xfId="7" applyFont="1" applyFill="1" applyBorder="1" applyAlignment="1">
      <alignment horizontal="left" vertical="center" wrapText="1"/>
    </xf>
    <xf numFmtId="0" fontId="15" fillId="39" borderId="10" xfId="7" applyFont="1" applyFill="1" applyBorder="1" applyAlignment="1">
      <alignment horizontal="left" vertical="center" wrapText="1"/>
    </xf>
    <xf numFmtId="0" fontId="15" fillId="39" borderId="11" xfId="7" applyFont="1" applyFill="1" applyBorder="1" applyAlignment="1">
      <alignment horizontal="left" vertical="center" wrapText="1"/>
    </xf>
    <xf numFmtId="0" fontId="15" fillId="39" borderId="48" xfId="7" applyFont="1" applyFill="1" applyBorder="1" applyAlignment="1">
      <alignment horizontal="left" vertical="center" wrapText="1"/>
    </xf>
    <xf numFmtId="0" fontId="15" fillId="39" borderId="69" xfId="7" applyFont="1" applyFill="1" applyBorder="1" applyAlignment="1">
      <alignment horizontal="left" vertical="center" wrapText="1"/>
    </xf>
    <xf numFmtId="0" fontId="15" fillId="39" borderId="8" xfId="7" applyFont="1" applyFill="1" applyBorder="1" applyAlignment="1">
      <alignment horizontal="left" vertical="center" wrapText="1"/>
    </xf>
    <xf numFmtId="0" fontId="15" fillId="41" borderId="143" xfId="7" applyFont="1" applyFill="1" applyBorder="1" applyAlignment="1">
      <alignment horizontal="center" vertical="center" wrapText="1"/>
    </xf>
    <xf numFmtId="0" fontId="15" fillId="41" borderId="93" xfId="7" applyFont="1" applyFill="1" applyBorder="1" applyAlignment="1">
      <alignment horizontal="center" vertical="center" wrapText="1"/>
    </xf>
    <xf numFmtId="0" fontId="15" fillId="41" borderId="96" xfId="7" applyFont="1" applyFill="1" applyBorder="1" applyAlignment="1">
      <alignment horizontal="center" vertical="center" wrapText="1"/>
    </xf>
    <xf numFmtId="0" fontId="15" fillId="48" borderId="137" xfId="195" applyFont="1" applyFill="1" applyBorder="1" applyAlignment="1">
      <alignment vertical="center" wrapText="1"/>
    </xf>
    <xf numFmtId="0" fontId="15" fillId="48" borderId="150" xfId="195" applyFont="1" applyFill="1" applyBorder="1" applyAlignment="1">
      <alignment vertical="center" wrapText="1"/>
    </xf>
    <xf numFmtId="3" fontId="13" fillId="48" borderId="26" xfId="195" applyNumberFormat="1" applyFont="1" applyFill="1" applyBorder="1" applyAlignment="1">
      <alignment horizontal="center" vertical="center" wrapText="1"/>
    </xf>
    <xf numFmtId="3" fontId="13" fillId="48" borderId="150" xfId="195" applyNumberFormat="1" applyFont="1" applyFill="1" applyBorder="1" applyAlignment="1">
      <alignment horizontal="center" vertical="center"/>
    </xf>
    <xf numFmtId="0" fontId="13" fillId="48" borderId="150" xfId="195" applyFont="1" applyFill="1" applyBorder="1" applyAlignment="1">
      <alignment horizontal="center" vertical="center" wrapText="1"/>
    </xf>
    <xf numFmtId="0" fontId="13" fillId="48" borderId="150" xfId="195" applyFont="1" applyFill="1" applyBorder="1" applyAlignment="1">
      <alignment horizontal="center" vertical="center"/>
    </xf>
    <xf numFmtId="3" fontId="13" fillId="48" borderId="150" xfId="195" applyNumberFormat="1" applyFont="1" applyFill="1" applyBorder="1" applyAlignment="1">
      <alignment horizontal="center" vertical="center" wrapText="1"/>
    </xf>
    <xf numFmtId="0" fontId="16" fillId="0" borderId="0" xfId="333" applyNumberFormat="1" applyFont="1" applyAlignment="1" applyProtection="1">
      <alignment horizontal="center" wrapText="1"/>
    </xf>
    <xf numFmtId="0" fontId="16" fillId="0" borderId="0" xfId="333" applyNumberFormat="1" applyFont="1" applyAlignment="1" applyProtection="1">
      <alignment horizontal="center" vertical="center" wrapText="1"/>
    </xf>
    <xf numFmtId="0" fontId="16" fillId="0" borderId="0" xfId="308" applyFont="1" applyAlignment="1">
      <alignment horizontal="center"/>
    </xf>
    <xf numFmtId="0" fontId="9" fillId="0" borderId="0" xfId="335" applyFont="1" applyAlignment="1">
      <alignment horizontal="left" vertical="center" wrapText="1"/>
    </xf>
    <xf numFmtId="0" fontId="16" fillId="0" borderId="0" xfId="335" applyFont="1" applyAlignment="1">
      <alignment horizontal="center"/>
    </xf>
    <xf numFmtId="0" fontId="68" fillId="2" borderId="150" xfId="308" applyFont="1" applyFill="1" applyBorder="1" applyAlignment="1" applyProtection="1">
      <alignment horizontal="center" vertical="center"/>
      <protection hidden="1"/>
    </xf>
    <xf numFmtId="0" fontId="51" fillId="0" borderId="0" xfId="308" applyFont="1" applyAlignment="1" applyProtection="1">
      <alignment horizontal="center" vertical="center"/>
      <protection hidden="1"/>
    </xf>
    <xf numFmtId="180" fontId="8" fillId="2" borderId="0" xfId="308" applyNumberFormat="1" applyFont="1" applyFill="1" applyAlignment="1" applyProtection="1">
      <alignment horizontal="center" vertical="center"/>
      <protection hidden="1"/>
    </xf>
    <xf numFmtId="180" fontId="13" fillId="2" borderId="0" xfId="308" applyNumberFormat="1" applyFont="1" applyFill="1" applyAlignment="1" applyProtection="1">
      <alignment horizontal="center" vertical="center"/>
      <protection hidden="1"/>
    </xf>
    <xf numFmtId="0" fontId="8" fillId="2" borderId="150" xfId="308" applyFont="1" applyFill="1" applyBorder="1" applyAlignment="1" applyProtection="1">
      <alignment horizontal="center" vertical="center" wrapText="1"/>
      <protection hidden="1"/>
    </xf>
    <xf numFmtId="0" fontId="4" fillId="2" borderId="23" xfId="308" applyFont="1" applyFill="1" applyBorder="1" applyAlignment="1" applyProtection="1">
      <alignment horizontal="center" vertical="center"/>
      <protection hidden="1"/>
    </xf>
    <xf numFmtId="0" fontId="4" fillId="2" borderId="24" xfId="308" applyFont="1" applyFill="1" applyBorder="1" applyAlignment="1" applyProtection="1">
      <alignment horizontal="center" vertical="center"/>
      <protection hidden="1"/>
    </xf>
    <xf numFmtId="0" fontId="8" fillId="2" borderId="137" xfId="308" applyFont="1" applyFill="1" applyBorder="1" applyAlignment="1" applyProtection="1">
      <alignment horizontal="left" vertical="center" indent="1"/>
      <protection hidden="1"/>
    </xf>
    <xf numFmtId="0" fontId="8" fillId="2" borderId="137" xfId="308" applyFont="1" applyFill="1" applyBorder="1" applyAlignment="1" applyProtection="1">
      <alignment horizontal="left" vertical="center" wrapText="1" indent="1"/>
      <protection hidden="1"/>
    </xf>
    <xf numFmtId="0" fontId="8" fillId="0" borderId="150" xfId="308" applyFont="1" applyBorder="1" applyAlignment="1" applyProtection="1">
      <alignment horizontal="center" vertical="center"/>
      <protection hidden="1"/>
    </xf>
    <xf numFmtId="0" fontId="8" fillId="2" borderId="150" xfId="308" applyFont="1" applyFill="1" applyBorder="1" applyAlignment="1" applyProtection="1">
      <alignment horizontal="center" vertical="center"/>
      <protection hidden="1"/>
    </xf>
    <xf numFmtId="0" fontId="81" fillId="0" borderId="150" xfId="143" applyFont="1" applyBorder="1" applyAlignment="1" applyProtection="1">
      <alignment horizontal="center"/>
      <protection hidden="1"/>
    </xf>
    <xf numFmtId="0" fontId="80" fillId="0" borderId="0" xfId="143" applyFont="1" applyAlignment="1" applyProtection="1">
      <alignment horizontal="center"/>
      <protection hidden="1"/>
    </xf>
    <xf numFmtId="0" fontId="81" fillId="0" borderId="149" xfId="143" applyFont="1" applyBorder="1" applyAlignment="1" applyProtection="1">
      <alignment horizontal="center"/>
      <protection hidden="1"/>
    </xf>
    <xf numFmtId="0" fontId="81" fillId="0" borderId="93" xfId="143" applyFont="1" applyBorder="1" applyAlignment="1" applyProtection="1">
      <alignment horizontal="center"/>
      <protection hidden="1"/>
    </xf>
    <xf numFmtId="0" fontId="81" fillId="0" borderId="101" xfId="143" applyFont="1" applyBorder="1" applyAlignment="1" applyProtection="1">
      <alignment horizontal="center"/>
      <protection hidden="1"/>
    </xf>
  </cellXfs>
  <cellStyles count="544">
    <cellStyle name="0,0_x000a__x000a_NA_x000a__x000a_" xfId="20" xr:uid="{00000000-0005-0000-0000-000000000000}"/>
    <cellStyle name="0,0_x000a__x000a_NA_x000a__x000a_ 2" xfId="21" xr:uid="{00000000-0005-0000-0000-000001000000}"/>
    <cellStyle name="20% - Énfasis1 2" xfId="23" xr:uid="{00000000-0005-0000-0000-000002000000}"/>
    <cellStyle name="20% - Énfasis1 2 2" xfId="201" xr:uid="{00000000-0005-0000-0000-000003000000}"/>
    <cellStyle name="20% - Énfasis1 3" xfId="22" xr:uid="{00000000-0005-0000-0000-000004000000}"/>
    <cellStyle name="20% - Énfasis2 2" xfId="25" xr:uid="{00000000-0005-0000-0000-000005000000}"/>
    <cellStyle name="20% - Énfasis2 2 2" xfId="202" xr:uid="{00000000-0005-0000-0000-000006000000}"/>
    <cellStyle name="20% - Énfasis2 3" xfId="24" xr:uid="{00000000-0005-0000-0000-000007000000}"/>
    <cellStyle name="20% - Énfasis3 2" xfId="27" xr:uid="{00000000-0005-0000-0000-000008000000}"/>
    <cellStyle name="20% - Énfasis3 2 2" xfId="203" xr:uid="{00000000-0005-0000-0000-000009000000}"/>
    <cellStyle name="20% - Énfasis3 3" xfId="26" xr:uid="{00000000-0005-0000-0000-00000A000000}"/>
    <cellStyle name="20% - Énfasis4 2" xfId="29" xr:uid="{00000000-0005-0000-0000-00000B000000}"/>
    <cellStyle name="20% - Énfasis4 2 2" xfId="204" xr:uid="{00000000-0005-0000-0000-00000C000000}"/>
    <cellStyle name="20% - Énfasis4 3" xfId="28" xr:uid="{00000000-0005-0000-0000-00000D000000}"/>
    <cellStyle name="20% - Énfasis5 2" xfId="30" xr:uid="{00000000-0005-0000-0000-00000E000000}"/>
    <cellStyle name="20% - Énfasis5 3" xfId="205" xr:uid="{00000000-0005-0000-0000-00000F000000}"/>
    <cellStyle name="20% - Énfasis6 2" xfId="31" xr:uid="{00000000-0005-0000-0000-000010000000}"/>
    <cellStyle name="20% - Énfasis6 3" xfId="206" xr:uid="{00000000-0005-0000-0000-000011000000}"/>
    <cellStyle name="40% - Énfasis1 2" xfId="32" xr:uid="{00000000-0005-0000-0000-000012000000}"/>
    <cellStyle name="40% - Énfasis1 3" xfId="207" xr:uid="{00000000-0005-0000-0000-000013000000}"/>
    <cellStyle name="40% - Énfasis2 2" xfId="33" xr:uid="{00000000-0005-0000-0000-000014000000}"/>
    <cellStyle name="40% - Énfasis2 3" xfId="208" xr:uid="{00000000-0005-0000-0000-000015000000}"/>
    <cellStyle name="40% - Énfasis3 2" xfId="35" xr:uid="{00000000-0005-0000-0000-000016000000}"/>
    <cellStyle name="40% - Énfasis3 2 2" xfId="209" xr:uid="{00000000-0005-0000-0000-000017000000}"/>
    <cellStyle name="40% - Énfasis3 3" xfId="34" xr:uid="{00000000-0005-0000-0000-000018000000}"/>
    <cellStyle name="40% - Énfasis4 2" xfId="36" xr:uid="{00000000-0005-0000-0000-000019000000}"/>
    <cellStyle name="40% - Énfasis4 3" xfId="210" xr:uid="{00000000-0005-0000-0000-00001A000000}"/>
    <cellStyle name="40% - Énfasis5 2" xfId="37" xr:uid="{00000000-0005-0000-0000-00001B000000}"/>
    <cellStyle name="40% - Énfasis5 3" xfId="211" xr:uid="{00000000-0005-0000-0000-00001C000000}"/>
    <cellStyle name="40% - Énfasis6 2" xfId="38" xr:uid="{00000000-0005-0000-0000-00001D000000}"/>
    <cellStyle name="40% - Énfasis6 3" xfId="212" xr:uid="{00000000-0005-0000-0000-00001E000000}"/>
    <cellStyle name="60% - Énfasis1 2" xfId="39" xr:uid="{00000000-0005-0000-0000-00001F000000}"/>
    <cellStyle name="60% - Énfasis1 3" xfId="213" xr:uid="{00000000-0005-0000-0000-000020000000}"/>
    <cellStyle name="60% - Énfasis2 2" xfId="40" xr:uid="{00000000-0005-0000-0000-000021000000}"/>
    <cellStyle name="60% - Énfasis2 3" xfId="214" xr:uid="{00000000-0005-0000-0000-000022000000}"/>
    <cellStyle name="60% - Énfasis3 2" xfId="42" xr:uid="{00000000-0005-0000-0000-000023000000}"/>
    <cellStyle name="60% - Énfasis3 2 2" xfId="215" xr:uid="{00000000-0005-0000-0000-000024000000}"/>
    <cellStyle name="60% - Énfasis3 3" xfId="41" xr:uid="{00000000-0005-0000-0000-000025000000}"/>
    <cellStyle name="60% - Énfasis4 2" xfId="44" xr:uid="{00000000-0005-0000-0000-000026000000}"/>
    <cellStyle name="60% - Énfasis4 2 2" xfId="216" xr:uid="{00000000-0005-0000-0000-000027000000}"/>
    <cellStyle name="60% - Énfasis4 3" xfId="43" xr:uid="{00000000-0005-0000-0000-000028000000}"/>
    <cellStyle name="60% - Énfasis5 2" xfId="45" xr:uid="{00000000-0005-0000-0000-000029000000}"/>
    <cellStyle name="60% - Énfasis5 3" xfId="217" xr:uid="{00000000-0005-0000-0000-00002A000000}"/>
    <cellStyle name="60% - Énfasis6 2" xfId="47" xr:uid="{00000000-0005-0000-0000-00002B000000}"/>
    <cellStyle name="60% - Énfasis6 2 2" xfId="218" xr:uid="{00000000-0005-0000-0000-00002C000000}"/>
    <cellStyle name="60% - Énfasis6 3" xfId="46" xr:uid="{00000000-0005-0000-0000-00002D000000}"/>
    <cellStyle name="Buena 2" xfId="219" xr:uid="{00000000-0005-0000-0000-00002E000000}"/>
    <cellStyle name="Cálculo 2" xfId="221" xr:uid="{00000000-0005-0000-0000-00002F000000}"/>
    <cellStyle name="Cálculo 2 2" xfId="310" xr:uid="{00000000-0005-0000-0000-000030000000}"/>
    <cellStyle name="Cálculo 2 2 2" xfId="439" xr:uid="{29979642-E83E-401A-B8E7-AED52E521ED8}"/>
    <cellStyle name="Cálculo 2 2 3" xfId="489" xr:uid="{6EA82DD9-B970-47FC-8A19-75E2DC21EE1E}"/>
    <cellStyle name="Cálculo 2 2 4" xfId="372" xr:uid="{9B31239C-D1CF-4767-8FF2-95414098EA1B}"/>
    <cellStyle name="Cálculo 2 2 5" xfId="526" xr:uid="{12706357-300A-4900-A82E-CD65562FC697}"/>
    <cellStyle name="Cálculo 2 3" xfId="401" xr:uid="{36137152-39F7-4EA4-871B-861A7B074878}"/>
    <cellStyle name="Cálculo 2 4" xfId="399" xr:uid="{17444D8A-FCF9-46F7-A9DD-731D455A9E8E}"/>
    <cellStyle name="Cálculo 2 5" xfId="409" xr:uid="{BFE68313-72FB-4D57-9198-CA9F8B6210ED}"/>
    <cellStyle name="Cálculo 2 6" xfId="343" xr:uid="{CDB1C17C-32C0-420B-AC42-4123135532A4}"/>
    <cellStyle name="Cálculo 3" xfId="220" xr:uid="{00000000-0005-0000-0000-000031000000}"/>
    <cellStyle name="Cálculo 3 2" xfId="309" xr:uid="{00000000-0005-0000-0000-000032000000}"/>
    <cellStyle name="Cálculo 3 2 2" xfId="438" xr:uid="{60DFBCA7-67F8-4C47-9E3A-2E25437E135C}"/>
    <cellStyle name="Cálculo 3 2 3" xfId="488" xr:uid="{8051AFDB-0CA0-4975-9947-58AC35A97352}"/>
    <cellStyle name="Cálculo 3 2 4" xfId="377" xr:uid="{3776168D-5026-4D47-AFF2-43EBE03E4506}"/>
    <cellStyle name="Cálculo 3 2 5" xfId="525" xr:uid="{B2D54356-0A1E-4DEB-8E2B-EB101F36FD06}"/>
    <cellStyle name="Cálculo 3 3" xfId="400" xr:uid="{23C35EBE-B1AB-404C-9D81-AA469A0CCA40}"/>
    <cellStyle name="Cálculo 3 4" xfId="353" xr:uid="{A9DB3524-E521-4437-B35D-520393D95494}"/>
    <cellStyle name="Cálculo 3 5" xfId="513" xr:uid="{60ADD244-F70F-49C5-8564-B55530392C99}"/>
    <cellStyle name="Cálculo 3 6" xfId="413" xr:uid="{23513658-04AE-4BE4-A583-F52521320A4D}"/>
    <cellStyle name="Celda de comprobación 2" xfId="223" xr:uid="{00000000-0005-0000-0000-000033000000}"/>
    <cellStyle name="Celda de comprobación 3" xfId="222" xr:uid="{00000000-0005-0000-0000-000034000000}"/>
    <cellStyle name="Celda vinculada 2" xfId="48" xr:uid="{00000000-0005-0000-0000-000035000000}"/>
    <cellStyle name="Celda vinculada 3" xfId="224" xr:uid="{00000000-0005-0000-0000-000036000000}"/>
    <cellStyle name="Comma" xfId="192" xr:uid="{00000000-0005-0000-0000-000037000000}"/>
    <cellStyle name="Comma [0]_Hoja de Calculo A&amp;C Andina" xfId="49" xr:uid="{00000000-0005-0000-0000-000038000000}"/>
    <cellStyle name="Comma 2" xfId="391" xr:uid="{874D87EA-B1CE-484A-9157-793B5B74696D}"/>
    <cellStyle name="Comma 3" xfId="357" xr:uid="{6861CEC5-84B8-4261-8E5C-EFED28DC4E49}"/>
    <cellStyle name="Comma 4" xfId="350" xr:uid="{BCCDA8CE-4712-4FE6-AED7-E763951D362D}"/>
    <cellStyle name="Comma 5" xfId="432" xr:uid="{5331E3AB-80F9-4507-A524-A3A92DA472E6}"/>
    <cellStyle name="Comma 6" xfId="510" xr:uid="{3347BC85-344F-4353-ADBA-F18AA9F7EDD2}"/>
    <cellStyle name="Comma 7" xfId="483" xr:uid="{5B50E74D-BBDA-4407-AA31-900AEB669D42}"/>
    <cellStyle name="Comma_ANALISIS AIU Y FINANCIERO.xlsx" xfId="50" xr:uid="{00000000-0005-0000-0000-000039000000}"/>
    <cellStyle name="Comma0" xfId="51" xr:uid="{00000000-0005-0000-0000-00003A000000}"/>
    <cellStyle name="Currency" xfId="190" xr:uid="{00000000-0005-0000-0000-00003B000000}"/>
    <cellStyle name="Currency [0]_ANALISIS AIU Y FINANCIERO.xlsx" xfId="52" xr:uid="{00000000-0005-0000-0000-00003C000000}"/>
    <cellStyle name="Currency 5" xfId="53" xr:uid="{00000000-0005-0000-0000-00003D000000}"/>
    <cellStyle name="Currency 8" xfId="54" xr:uid="{00000000-0005-0000-0000-00003E000000}"/>
    <cellStyle name="Currency_ANALISIS AIU Y FINANCIERO.xlsx" xfId="55" xr:uid="{00000000-0005-0000-0000-00003F000000}"/>
    <cellStyle name="Currency0" xfId="56" xr:uid="{00000000-0005-0000-0000-000040000000}"/>
    <cellStyle name="Date" xfId="57" xr:uid="{00000000-0005-0000-0000-000041000000}"/>
    <cellStyle name="Encabezado 1 2" xfId="225" xr:uid="{00000000-0005-0000-0000-000042000000}"/>
    <cellStyle name="Encabezado 4 2" xfId="58" xr:uid="{00000000-0005-0000-0000-000043000000}"/>
    <cellStyle name="Encabezado 4 3" xfId="226" xr:uid="{00000000-0005-0000-0000-000044000000}"/>
    <cellStyle name="Énfasis1 2" xfId="59" xr:uid="{00000000-0005-0000-0000-000045000000}"/>
    <cellStyle name="Énfasis1 3" xfId="227" xr:uid="{00000000-0005-0000-0000-000046000000}"/>
    <cellStyle name="Énfasis2 2" xfId="60" xr:uid="{00000000-0005-0000-0000-000047000000}"/>
    <cellStyle name="Énfasis2 3" xfId="228" xr:uid="{00000000-0005-0000-0000-000048000000}"/>
    <cellStyle name="Énfasis3 2" xfId="61" xr:uid="{00000000-0005-0000-0000-000049000000}"/>
    <cellStyle name="Énfasis3 3" xfId="229" xr:uid="{00000000-0005-0000-0000-00004A000000}"/>
    <cellStyle name="Énfasis4 2" xfId="62" xr:uid="{00000000-0005-0000-0000-00004B000000}"/>
    <cellStyle name="Énfasis4 3" xfId="230" xr:uid="{00000000-0005-0000-0000-00004C000000}"/>
    <cellStyle name="Énfasis5 2" xfId="63" xr:uid="{00000000-0005-0000-0000-00004D000000}"/>
    <cellStyle name="Énfasis5 3" xfId="231" xr:uid="{00000000-0005-0000-0000-00004E000000}"/>
    <cellStyle name="Énfasis6 2" xfId="64" xr:uid="{00000000-0005-0000-0000-00004F000000}"/>
    <cellStyle name="Énfasis6 3" xfId="232" xr:uid="{00000000-0005-0000-0000-000050000000}"/>
    <cellStyle name="Entrada 2" xfId="65" xr:uid="{00000000-0005-0000-0000-000051000000}"/>
    <cellStyle name="Entrada 2 2" xfId="234" xr:uid="{00000000-0005-0000-0000-000052000000}"/>
    <cellStyle name="Entrada 2 2 2" xfId="405" xr:uid="{8A8DCFFB-CABA-4D58-90D0-2ED11C3342CA}"/>
    <cellStyle name="Entrada 2 2 3" xfId="351" xr:uid="{000082F7-6E8F-473C-9100-4C371072691C}"/>
    <cellStyle name="Entrada 2 2 4" xfId="466" xr:uid="{0A7382A4-6850-49FF-9973-6FDBC77E4A2C}"/>
    <cellStyle name="Entrada 2 2 5" xfId="509" xr:uid="{A7AF7BB4-1BC3-4C43-B333-B70008CA62C7}"/>
    <cellStyle name="Entrada 2 3" xfId="312" xr:uid="{00000000-0005-0000-0000-000053000000}"/>
    <cellStyle name="Entrada 2 3 2" xfId="441" xr:uid="{9F87934D-2250-4461-90B8-1D7EA7B49705}"/>
    <cellStyle name="Entrada 2 3 3" xfId="491" xr:uid="{0460ABF6-F36F-4883-BD91-93FB9FC6F779}"/>
    <cellStyle name="Entrada 2 3 4" xfId="507" xr:uid="{7C7EDA1D-0907-42EB-8A76-5FC5530FA71C}"/>
    <cellStyle name="Entrada 2 3 5" xfId="528" xr:uid="{7ECBD093-9F61-4A9D-ACF8-5D31DD7DAE12}"/>
    <cellStyle name="Entrada 2 4" xfId="358" xr:uid="{08B4D2F2-6227-4FCC-879C-72E3DF736FE1}"/>
    <cellStyle name="Entrada 2 5" xfId="382" xr:uid="{13522FCF-8E62-4D99-9B26-C92BF1C15FC2}"/>
    <cellStyle name="Entrada 2 6" xfId="373" xr:uid="{34653E9E-7028-436E-8EAE-9428AD03ADE8}"/>
    <cellStyle name="Entrada 2 7" xfId="374" xr:uid="{1CE9B248-B855-4CEF-83FB-1CD79F3C705C}"/>
    <cellStyle name="Entrada 3" xfId="233" xr:uid="{00000000-0005-0000-0000-000054000000}"/>
    <cellStyle name="Entrada 3 2" xfId="311" xr:uid="{00000000-0005-0000-0000-000055000000}"/>
    <cellStyle name="Entrada 3 2 2" xfId="440" xr:uid="{FB8D4389-3F85-4DFF-9107-B0951198F40E}"/>
    <cellStyle name="Entrada 3 2 3" xfId="490" xr:uid="{4AA2CC85-483A-46D3-9EA8-86235F26069F}"/>
    <cellStyle name="Entrada 3 2 4" xfId="487" xr:uid="{D65EEC12-22F3-49D0-BE65-E61FBEDAB62B}"/>
    <cellStyle name="Entrada 3 2 5" xfId="527" xr:uid="{E9796AE3-9BD1-43AB-B9EF-26275F6ACD9B}"/>
    <cellStyle name="Entrada 3 3" xfId="404" xr:uid="{37C2233A-0F4B-48C4-8D36-4C3ECDCE954B}"/>
    <cellStyle name="Entrada 3 4" xfId="398" xr:uid="{38013C60-7495-4BBD-9808-4077823C4E74}"/>
    <cellStyle name="Entrada 3 5" xfId="519" xr:uid="{ACDDDBF6-E44D-406B-A183-8D467902FF21}"/>
    <cellStyle name="Entrada 3 6" xfId="352" xr:uid="{7AA81C63-C333-47E0-9C84-763750057BBF}"/>
    <cellStyle name="Estilo 1" xfId="66" xr:uid="{00000000-0005-0000-0000-000056000000}"/>
    <cellStyle name="Euro" xfId="67" xr:uid="{00000000-0005-0000-0000-000057000000}"/>
    <cellStyle name="Euro 2" xfId="68" xr:uid="{00000000-0005-0000-0000-000058000000}"/>
    <cellStyle name="Euro 3" xfId="69" xr:uid="{00000000-0005-0000-0000-000059000000}"/>
    <cellStyle name="Euro 4" xfId="70" xr:uid="{00000000-0005-0000-0000-00005A000000}"/>
    <cellStyle name="Euro 5" xfId="235" xr:uid="{00000000-0005-0000-0000-00005B000000}"/>
    <cellStyle name="Euro 6" xfId="359" xr:uid="{FA613930-6BEE-43A1-90ED-8153347FB6D5}"/>
    <cellStyle name="Euro_Copia de Resumen Admin" xfId="71" xr:uid="{00000000-0005-0000-0000-00005C000000}"/>
    <cellStyle name="Fixed" xfId="72" xr:uid="{00000000-0005-0000-0000-00005D000000}"/>
    <cellStyle name="Geprüft" xfId="73" xr:uid="{00000000-0005-0000-0000-00005E000000}"/>
    <cellStyle name="Heading 1" xfId="74" xr:uid="{00000000-0005-0000-0000-00005F000000}"/>
    <cellStyle name="Heading 2" xfId="75" xr:uid="{00000000-0005-0000-0000-000060000000}"/>
    <cellStyle name="Hipervínculo 2" xfId="76" xr:uid="{00000000-0005-0000-0000-000062000000}"/>
    <cellStyle name="Hipervínculo 3" xfId="77" xr:uid="{00000000-0005-0000-0000-000063000000}"/>
    <cellStyle name="Hipervínculo visitado 2" xfId="78" xr:uid="{00000000-0005-0000-0000-000064000000}"/>
    <cellStyle name="Hyperlink" xfId="332" xr:uid="{00000000-0005-0000-0000-000066000000}"/>
    <cellStyle name="Incorrecto 2" xfId="79" xr:uid="{00000000-0005-0000-0000-000067000000}"/>
    <cellStyle name="Incorrecto 3" xfId="236" xr:uid="{00000000-0005-0000-0000-000068000000}"/>
    <cellStyle name="Millares" xfId="1" builtinId="3"/>
    <cellStyle name="Millares [0] 2" xfId="81" xr:uid="{00000000-0005-0000-0000-00006A000000}"/>
    <cellStyle name="Millares [0] 2 2" xfId="82" xr:uid="{00000000-0005-0000-0000-00006B000000}"/>
    <cellStyle name="Millares [0] 2 2 2" xfId="307" xr:uid="{00000000-0005-0000-0000-00006C000000}"/>
    <cellStyle name="Millares [0] 2 2 2 2" xfId="437" xr:uid="{95E27D31-7211-4177-A5BB-2BC4FE9AB639}"/>
    <cellStyle name="Millares [0] 2 2 3" xfId="239" xr:uid="{00000000-0005-0000-0000-00006D000000}"/>
    <cellStyle name="Millares [0] 2 2 3 2" xfId="406" xr:uid="{35AF1B71-4100-4744-9FBB-DEFD1FBF4A7F}"/>
    <cellStyle name="Millares [0] 2 2 4" xfId="313" xr:uid="{00000000-0005-0000-0000-00006E000000}"/>
    <cellStyle name="Millares [0] 2 2 4 2" xfId="442" xr:uid="{AC48CB1F-4BB9-4942-B6D9-404309BD041D}"/>
    <cellStyle name="Millares [0] 2 3" xfId="238" xr:uid="{00000000-0005-0000-0000-00006F000000}"/>
    <cellStyle name="Millares [0] 3" xfId="83" xr:uid="{00000000-0005-0000-0000-000070000000}"/>
    <cellStyle name="Millares [0] 3 2" xfId="364" xr:uid="{7826042F-06F8-4C85-846E-225304D3C2D4}"/>
    <cellStyle name="Millares 10" xfId="193" xr:uid="{00000000-0005-0000-0000-000071000000}"/>
    <cellStyle name="Millares 10 2" xfId="240" xr:uid="{00000000-0005-0000-0000-000072000000}"/>
    <cellStyle name="Millares 10 3" xfId="392" xr:uid="{50B43640-17E3-4E42-90F0-B44353E0A3F4}"/>
    <cellStyle name="Millares 11" xfId="241" xr:uid="{00000000-0005-0000-0000-000073000000}"/>
    <cellStyle name="Millares 11 2" xfId="314" xr:uid="{00000000-0005-0000-0000-000074000000}"/>
    <cellStyle name="Millares 11 2 2" xfId="443" xr:uid="{A76D2505-1CDC-4E02-907C-E5DEFE2A453B}"/>
    <cellStyle name="Millares 11 3" xfId="407" xr:uid="{FC9DF6EA-9C32-420B-B8C7-03FB920CFC22}"/>
    <cellStyle name="Millares 12" xfId="242" xr:uid="{00000000-0005-0000-0000-000075000000}"/>
    <cellStyle name="Millares 13" xfId="237" xr:uid="{00000000-0005-0000-0000-000076000000}"/>
    <cellStyle name="Millares 14" xfId="305" xr:uid="{00000000-0005-0000-0000-000077000000}"/>
    <cellStyle name="Millares 15" xfId="336" xr:uid="{C1F2C509-E18A-4B7E-BEEC-5D9D73593A08}"/>
    <cellStyle name="Millares 16" xfId="431" xr:uid="{DFCD22D8-07C9-4A29-BF3C-F195B6FBE710}"/>
    <cellStyle name="Millares 17" xfId="482" xr:uid="{BEE5D5CB-D6E9-457D-A081-0240D8B854C7}"/>
    <cellStyle name="Millares 18" xfId="511" xr:uid="{C13325C0-F606-4160-90E3-CEBC4072DF6B}"/>
    <cellStyle name="Millares 19" xfId="362" xr:uid="{5AB17856-1609-43F9-9574-194419EAE88A}"/>
    <cellStyle name="Millares 2" xfId="18" xr:uid="{00000000-0005-0000-0000-000078000000}"/>
    <cellStyle name="Millares 2 2" xfId="85" xr:uid="{00000000-0005-0000-0000-000079000000}"/>
    <cellStyle name="Millares 2 3" xfId="84" xr:uid="{00000000-0005-0000-0000-00007A000000}"/>
    <cellStyle name="Millares 2 3 2" xfId="365" xr:uid="{5F3EC62F-DDA3-4030-B703-7503ABE21F89}"/>
    <cellStyle name="Millares 2 4" xfId="243" xr:uid="{00000000-0005-0000-0000-00007B000000}"/>
    <cellStyle name="Millares 2 5" xfId="346" xr:uid="{AD2E40E4-16C9-4271-8C5E-69A050AAA82F}"/>
    <cellStyle name="Millares 20" xfId="355" xr:uid="{440BBBB9-B98A-4C09-9891-1B2595DE2060}"/>
    <cellStyle name="Millares 3" xfId="86" xr:uid="{00000000-0005-0000-0000-00007C000000}"/>
    <cellStyle name="Millares 3 2" xfId="87" xr:uid="{00000000-0005-0000-0000-00007D000000}"/>
    <cellStyle name="Millares 3 2 2" xfId="367" xr:uid="{CCAACB32-7A13-44EE-91C3-08C6896986FF}"/>
    <cellStyle name="Millares 3 3" xfId="88" xr:uid="{00000000-0005-0000-0000-00007E000000}"/>
    <cellStyle name="Millares 3 3 2" xfId="368" xr:uid="{B6ECE6CF-60F5-458A-ACA0-4E33956C63B6}"/>
    <cellStyle name="Millares 3 4" xfId="89" xr:uid="{00000000-0005-0000-0000-00007F000000}"/>
    <cellStyle name="Millares 3 4 2" xfId="369" xr:uid="{F0708844-EF78-410C-9CC0-1283860E59D6}"/>
    <cellStyle name="Millares 3 5" xfId="90" xr:uid="{00000000-0005-0000-0000-000080000000}"/>
    <cellStyle name="Millares 3 5 2" xfId="370" xr:uid="{2D939E17-F444-4CE0-A31D-3847200C722C}"/>
    <cellStyle name="Millares 3 6" xfId="244" xr:uid="{00000000-0005-0000-0000-000081000000}"/>
    <cellStyle name="Millares 3 7" xfId="366" xr:uid="{051D80BA-39BD-4F27-A8E7-4F1484003B9C}"/>
    <cellStyle name="Millares 4" xfId="2" xr:uid="{00000000-0005-0000-0000-000082000000}"/>
    <cellStyle name="Millares 4 2" xfId="91" xr:uid="{00000000-0005-0000-0000-000083000000}"/>
    <cellStyle name="Millares 4 2 2" xfId="306" xr:uid="{00000000-0005-0000-0000-000084000000}"/>
    <cellStyle name="Millares 4 2 2 2" xfId="436" xr:uid="{6947E267-36D1-4EA9-B937-DFEE40FB5282}"/>
    <cellStyle name="Millares 4 2 3" xfId="246" xr:uid="{00000000-0005-0000-0000-000085000000}"/>
    <cellStyle name="Millares 4 2 3 2" xfId="408" xr:uid="{63CF56CD-D69C-4704-9275-E7A30004C304}"/>
    <cellStyle name="Millares 4 2 4" xfId="315" xr:uid="{00000000-0005-0000-0000-000086000000}"/>
    <cellStyle name="Millares 4 2 4 2" xfId="444" xr:uid="{49B0B605-3096-4E73-B298-21D856A14ADD}"/>
    <cellStyle name="Millares 4 3" xfId="245" xr:uid="{00000000-0005-0000-0000-000087000000}"/>
    <cellStyle name="Millares 4 4" xfId="337" xr:uid="{0E60F001-A3AD-4CF4-9047-B152FB712ECA}"/>
    <cellStyle name="Millares 5" xfId="92" xr:uid="{00000000-0005-0000-0000-000088000000}"/>
    <cellStyle name="Millares 5 2" xfId="247" xr:uid="{00000000-0005-0000-0000-000089000000}"/>
    <cellStyle name="Millares 6" xfId="80" xr:uid="{00000000-0005-0000-0000-00008A000000}"/>
    <cellStyle name="Millares 6 2" xfId="248" xr:uid="{00000000-0005-0000-0000-00008B000000}"/>
    <cellStyle name="Millares 6 3" xfId="363" xr:uid="{65D0C2B0-0009-47FC-AE0D-93A8C29F2B3E}"/>
    <cellStyle name="Millares 7" xfId="189" xr:uid="{00000000-0005-0000-0000-00008C000000}"/>
    <cellStyle name="Millares 7 2" xfId="249" xr:uid="{00000000-0005-0000-0000-00008D000000}"/>
    <cellStyle name="Millares 7 3" xfId="390" xr:uid="{8EA6ABF5-ADF2-4203-848A-3EC930D3616C}"/>
    <cellStyle name="Millares 8" xfId="250" xr:uid="{00000000-0005-0000-0000-00008E000000}"/>
    <cellStyle name="Millares 9" xfId="251" xr:uid="{00000000-0005-0000-0000-00008F000000}"/>
    <cellStyle name="Millares_PRESUPUESTO DE OBRA 6 PISO TORRE C" xfId="3" xr:uid="{00000000-0005-0000-0000-000091000000}"/>
    <cellStyle name="Moneda" xfId="4" builtinId="4"/>
    <cellStyle name="Moneda [0]" xfId="194" builtinId="7"/>
    <cellStyle name="Moneda [0] 2" xfId="252" xr:uid="{00000000-0005-0000-0000-000094000000}"/>
    <cellStyle name="Moneda 10" xfId="93" xr:uid="{00000000-0005-0000-0000-000095000000}"/>
    <cellStyle name="Moneda 10 2" xfId="94" xr:uid="{00000000-0005-0000-0000-000096000000}"/>
    <cellStyle name="Moneda 10 3" xfId="95" xr:uid="{00000000-0005-0000-0000-000097000000}"/>
    <cellStyle name="Moneda 10 4" xfId="96" xr:uid="{00000000-0005-0000-0000-000098000000}"/>
    <cellStyle name="Moneda 10 5" xfId="97" xr:uid="{00000000-0005-0000-0000-000099000000}"/>
    <cellStyle name="Moneda 10 6" xfId="371" xr:uid="{8984906C-C46F-436A-88D3-60586D7E64AA}"/>
    <cellStyle name="Moneda 11" xfId="334" xr:uid="{00000000-0005-0000-0000-00009A000000}"/>
    <cellStyle name="Moneda 12" xfId="338" xr:uid="{E3D7BA4A-076F-4A53-B6DB-7BA1F70BF8B5}"/>
    <cellStyle name="Moneda 13" xfId="433" xr:uid="{30501D0B-2D94-4C8B-BC66-BE2D7ACA9DDB}"/>
    <cellStyle name="Moneda 14" xfId="484" xr:uid="{241F0CC8-13BC-4EC2-8598-BE7A13907061}"/>
    <cellStyle name="Moneda 15" xfId="345" xr:uid="{7D8A21F1-B5D5-4EDA-807F-7A84BD779169}"/>
    <cellStyle name="Moneda 16" xfId="385" xr:uid="{087B44DE-45A3-4AA6-928E-092E66D67E72}"/>
    <cellStyle name="Moneda 17" xfId="463" xr:uid="{86B6475E-3E06-488F-A43E-464D0206832A}"/>
    <cellStyle name="Moneda 2" xfId="98" xr:uid="{00000000-0005-0000-0000-00009B000000}"/>
    <cellStyle name="Moneda 2 10" xfId="99" xr:uid="{00000000-0005-0000-0000-00009C000000}"/>
    <cellStyle name="Moneda 2 11" xfId="100" xr:uid="{00000000-0005-0000-0000-00009D000000}"/>
    <cellStyle name="Moneda 2 12" xfId="101" xr:uid="{00000000-0005-0000-0000-00009E000000}"/>
    <cellStyle name="Moneda 2 12 2" xfId="102" xr:uid="{00000000-0005-0000-0000-00009F000000}"/>
    <cellStyle name="Moneda 2 12 3" xfId="103" xr:uid="{00000000-0005-0000-0000-0000A0000000}"/>
    <cellStyle name="Moneda 2 12 4" xfId="104" xr:uid="{00000000-0005-0000-0000-0000A1000000}"/>
    <cellStyle name="Moneda 2 12 5" xfId="105" xr:uid="{00000000-0005-0000-0000-0000A2000000}"/>
    <cellStyle name="Moneda 2 13" xfId="106" xr:uid="{00000000-0005-0000-0000-0000A3000000}"/>
    <cellStyle name="Moneda 2 14" xfId="253" xr:uid="{00000000-0005-0000-0000-0000A4000000}"/>
    <cellStyle name="Moneda 2 2" xfId="107" xr:uid="{00000000-0005-0000-0000-0000A5000000}"/>
    <cellStyle name="Moneda 2 2 2 2 2" xfId="199" xr:uid="{00000000-0005-0000-0000-0000A6000000}"/>
    <cellStyle name="Moneda 2 3" xfId="108" xr:uid="{00000000-0005-0000-0000-0000A7000000}"/>
    <cellStyle name="Moneda 2 4" xfId="109" xr:uid="{00000000-0005-0000-0000-0000A8000000}"/>
    <cellStyle name="Moneda 2 5" xfId="110" xr:uid="{00000000-0005-0000-0000-0000A9000000}"/>
    <cellStyle name="Moneda 2 6" xfId="111" xr:uid="{00000000-0005-0000-0000-0000AA000000}"/>
    <cellStyle name="Moneda 2 7" xfId="112" xr:uid="{00000000-0005-0000-0000-0000AB000000}"/>
    <cellStyle name="Moneda 2 8" xfId="113" xr:uid="{00000000-0005-0000-0000-0000AC000000}"/>
    <cellStyle name="Moneda 2 9" xfId="114" xr:uid="{00000000-0005-0000-0000-0000AD000000}"/>
    <cellStyle name="Moneda 2_AUT-018-CUADRO DE PRECIOS CONTROL DEL DESFIBRADOR EN MADEFLEX" xfId="115" xr:uid="{00000000-0005-0000-0000-0000AE000000}"/>
    <cellStyle name="Moneda 3" xfId="116" xr:uid="{00000000-0005-0000-0000-0000AF000000}"/>
    <cellStyle name="Moneda 3 2" xfId="117" xr:uid="{00000000-0005-0000-0000-0000B0000000}"/>
    <cellStyle name="Moneda 3 3" xfId="118" xr:uid="{00000000-0005-0000-0000-0000B1000000}"/>
    <cellStyle name="Moneda 3 4" xfId="254" xr:uid="{00000000-0005-0000-0000-0000B2000000}"/>
    <cellStyle name="Moneda 4" xfId="119" xr:uid="{00000000-0005-0000-0000-0000B3000000}"/>
    <cellStyle name="Moneda 4 2" xfId="255" xr:uid="{00000000-0005-0000-0000-0000B4000000}"/>
    <cellStyle name="Moneda 5" xfId="120" xr:uid="{00000000-0005-0000-0000-0000B5000000}"/>
    <cellStyle name="Moneda 5 2" xfId="256" xr:uid="{00000000-0005-0000-0000-0000B6000000}"/>
    <cellStyle name="Moneda 5 2 2" xfId="411" xr:uid="{D25B66ED-1BC1-41BC-AD8D-3F6B684D42D8}"/>
    <cellStyle name="Moneda 5 3" xfId="316" xr:uid="{00000000-0005-0000-0000-0000B7000000}"/>
    <cellStyle name="Moneda 5 3 2" xfId="445" xr:uid="{0CDF4069-73CE-4F76-B23D-FDE10D2E43A2}"/>
    <cellStyle name="Moneda 6" xfId="121" xr:uid="{00000000-0005-0000-0000-0000B8000000}"/>
    <cellStyle name="Moneda 6 2" xfId="257" xr:uid="{00000000-0005-0000-0000-0000B9000000}"/>
    <cellStyle name="Moneda 7" xfId="122" xr:uid="{00000000-0005-0000-0000-0000BA000000}"/>
    <cellStyle name="Moneda 7 2" xfId="123" xr:uid="{00000000-0005-0000-0000-0000BB000000}"/>
    <cellStyle name="Moneda 7 2 2" xfId="124" xr:uid="{00000000-0005-0000-0000-0000BC000000}"/>
    <cellStyle name="Moneda 7 2 3" xfId="125" xr:uid="{00000000-0005-0000-0000-0000BD000000}"/>
    <cellStyle name="Moneda 7 2 4" xfId="126" xr:uid="{00000000-0005-0000-0000-0000BE000000}"/>
    <cellStyle name="Moneda 7 2 5" xfId="127" xr:uid="{00000000-0005-0000-0000-0000BF000000}"/>
    <cellStyle name="Moneda 7 3" xfId="128" xr:uid="{00000000-0005-0000-0000-0000C0000000}"/>
    <cellStyle name="Moneda 7 4" xfId="129" xr:uid="{00000000-0005-0000-0000-0000C1000000}"/>
    <cellStyle name="Moneda 7 5" xfId="130" xr:uid="{00000000-0005-0000-0000-0000C2000000}"/>
    <cellStyle name="Moneda 7 6" xfId="131" xr:uid="{00000000-0005-0000-0000-0000C3000000}"/>
    <cellStyle name="Moneda 8" xfId="132" xr:uid="{00000000-0005-0000-0000-0000C4000000}"/>
    <cellStyle name="Moneda 8 2" xfId="133" xr:uid="{00000000-0005-0000-0000-0000C5000000}"/>
    <cellStyle name="Moneda 8 3" xfId="134" xr:uid="{00000000-0005-0000-0000-0000C6000000}"/>
    <cellStyle name="Moneda 8 4" xfId="135" xr:uid="{00000000-0005-0000-0000-0000C7000000}"/>
    <cellStyle name="Moneda 8 5" xfId="136" xr:uid="{00000000-0005-0000-0000-0000C8000000}"/>
    <cellStyle name="Moneda 9" xfId="137" xr:uid="{00000000-0005-0000-0000-0000C9000000}"/>
    <cellStyle name="moneda(" xfId="138" xr:uid="{00000000-0005-0000-0000-0000CA000000}"/>
    <cellStyle name="Moneda_balanceelrosal 2" xfId="333" xr:uid="{00000000-0005-0000-0000-0000CB000000}"/>
    <cellStyle name="Neutral 2" xfId="139" xr:uid="{00000000-0005-0000-0000-0000CC000000}"/>
    <cellStyle name="Neutral 3" xfId="258" xr:uid="{00000000-0005-0000-0000-0000CD000000}"/>
    <cellStyle name="Normal" xfId="0" builtinId="0"/>
    <cellStyle name="Normal 10" xfId="140" xr:uid="{00000000-0005-0000-0000-0000CF000000}"/>
    <cellStyle name="Normal 10 2" xfId="200" xr:uid="{00000000-0005-0000-0000-0000D0000000}"/>
    <cellStyle name="Normal 10 2 2" xfId="396" xr:uid="{B0D4D61C-B8B1-45FC-9018-3BEF8B37F818}"/>
    <cellStyle name="Normal 10 3" xfId="308" xr:uid="{00000000-0005-0000-0000-0000D1000000}"/>
    <cellStyle name="Normal 11" xfId="141" xr:uid="{00000000-0005-0000-0000-0000D2000000}"/>
    <cellStyle name="Normal 12" xfId="142" xr:uid="{00000000-0005-0000-0000-0000D3000000}"/>
    <cellStyle name="Normal 12 2 2" xfId="143" xr:uid="{00000000-0005-0000-0000-0000D4000000}"/>
    <cellStyle name="Normal 13" xfId="19" xr:uid="{00000000-0005-0000-0000-0000D5000000}"/>
    <cellStyle name="Normal 13 2" xfId="347" xr:uid="{0DE6D07A-D631-4785-8B5F-CDE4A3378CB4}"/>
    <cellStyle name="Normal 14" xfId="335" xr:uid="{00000000-0005-0000-0000-0000D6000000}"/>
    <cellStyle name="Normal 14 2" xfId="461" xr:uid="{8CB92DB7-A9D9-451E-A867-9B676AAFE093}"/>
    <cellStyle name="Normal 19_Materiales AS400-SAP_A" xfId="259" xr:uid="{00000000-0005-0000-0000-0000D7000000}"/>
    <cellStyle name="Normal 2" xfId="5" xr:uid="{00000000-0005-0000-0000-0000D8000000}"/>
    <cellStyle name="Normal 2 10" xfId="145" xr:uid="{00000000-0005-0000-0000-0000D9000000}"/>
    <cellStyle name="Normal 2 10 2 2" xfId="197" xr:uid="{00000000-0005-0000-0000-0000DA000000}"/>
    <cellStyle name="Normal 2 10 3" xfId="196" xr:uid="{00000000-0005-0000-0000-0000DB000000}"/>
    <cellStyle name="Normal 2 2" xfId="6" xr:uid="{00000000-0005-0000-0000-0000DC000000}"/>
    <cellStyle name="Normal 2 2 2" xfId="146" xr:uid="{00000000-0005-0000-0000-0000DD000000}"/>
    <cellStyle name="Normal 2 2 2 2" xfId="261" xr:uid="{00000000-0005-0000-0000-0000DE000000}"/>
    <cellStyle name="Normal 2 2 3" xfId="262" xr:uid="{00000000-0005-0000-0000-0000DF000000}"/>
    <cellStyle name="Normal 2 2 4" xfId="260" xr:uid="{00000000-0005-0000-0000-0000E0000000}"/>
    <cellStyle name="Normal 2 3" xfId="147" xr:uid="{00000000-0005-0000-0000-0000E1000000}"/>
    <cellStyle name="Normal 2 3 2" xfId="263" xr:uid="{00000000-0005-0000-0000-0000E2000000}"/>
    <cellStyle name="Normal 2 4" xfId="148" xr:uid="{00000000-0005-0000-0000-0000E3000000}"/>
    <cellStyle name="Normal 2 4 2" xfId="264" xr:uid="{00000000-0005-0000-0000-0000E4000000}"/>
    <cellStyle name="Normal 2 5" xfId="144" xr:uid="{00000000-0005-0000-0000-0000E5000000}"/>
    <cellStyle name="Normal 2 5 2" xfId="265" xr:uid="{00000000-0005-0000-0000-0000E6000000}"/>
    <cellStyle name="Normal 2 6" xfId="266" xr:uid="{00000000-0005-0000-0000-0000E7000000}"/>
    <cellStyle name="Normal 2_AF" xfId="267" xr:uid="{00000000-0005-0000-0000-0000E8000000}"/>
    <cellStyle name="Normal 3" xfId="7" xr:uid="{00000000-0005-0000-0000-0000E9000000}"/>
    <cellStyle name="Normal 3 11" xfId="195" xr:uid="{00000000-0005-0000-0000-0000EA000000}"/>
    <cellStyle name="Normal 3 2" xfId="150" xr:uid="{00000000-0005-0000-0000-0000EB000000}"/>
    <cellStyle name="Normal 3 2 2" xfId="198" xr:uid="{00000000-0005-0000-0000-0000EC000000}"/>
    <cellStyle name="Normal 3 3" xfId="151" xr:uid="{00000000-0005-0000-0000-0000ED000000}"/>
    <cellStyle name="Normal 3 3 2" xfId="152" xr:uid="{00000000-0005-0000-0000-0000EE000000}"/>
    <cellStyle name="Normal 3 3 3" xfId="153" xr:uid="{00000000-0005-0000-0000-0000EF000000}"/>
    <cellStyle name="Normal 3 3 4" xfId="154" xr:uid="{00000000-0005-0000-0000-0000F0000000}"/>
    <cellStyle name="Normal 3 3 5" xfId="155" xr:uid="{00000000-0005-0000-0000-0000F1000000}"/>
    <cellStyle name="Normal 3 4" xfId="149" xr:uid="{00000000-0005-0000-0000-0000F2000000}"/>
    <cellStyle name="Normal 33_anexo planilla de inversion_INfor_enero8" xfId="268" xr:uid="{00000000-0005-0000-0000-0000F3000000}"/>
    <cellStyle name="Normal 4" xfId="8" xr:uid="{00000000-0005-0000-0000-0000F4000000}"/>
    <cellStyle name="Normal 4 2" xfId="9" xr:uid="{00000000-0005-0000-0000-0000F5000000}"/>
    <cellStyle name="Normal 4 2 2" xfId="157" xr:uid="{00000000-0005-0000-0000-0000F6000000}"/>
    <cellStyle name="Normal 4 2 3" xfId="269" xr:uid="{00000000-0005-0000-0000-0000F7000000}"/>
    <cellStyle name="Normal 4 2 4" xfId="342" xr:uid="{836D1D2F-4857-4EF5-B57D-6A9387979CD8}"/>
    <cellStyle name="Normal 4 3" xfId="156" xr:uid="{00000000-0005-0000-0000-0000F8000000}"/>
    <cellStyle name="Normal 4 4" xfId="341" xr:uid="{C25FD478-779F-4BFA-B353-219EF21465C1}"/>
    <cellStyle name="Normal 4_APUS NEIVA" xfId="10" xr:uid="{00000000-0005-0000-0000-0000F9000000}"/>
    <cellStyle name="Normal 45_anexo planilla de inversion_INfor_enero8" xfId="270" xr:uid="{00000000-0005-0000-0000-0000FA000000}"/>
    <cellStyle name="Normal 5" xfId="158" xr:uid="{00000000-0005-0000-0000-0000FB000000}"/>
    <cellStyle name="Normal 5 18" xfId="159" xr:uid="{00000000-0005-0000-0000-0000FC000000}"/>
    <cellStyle name="Normal 6" xfId="160" xr:uid="{00000000-0005-0000-0000-0000FD000000}"/>
    <cellStyle name="Normal 6 2" xfId="271" xr:uid="{00000000-0005-0000-0000-0000FE000000}"/>
    <cellStyle name="Normal 7" xfId="161" xr:uid="{00000000-0005-0000-0000-0000FF000000}"/>
    <cellStyle name="Normal 8" xfId="162" xr:uid="{00000000-0005-0000-0000-000000010000}"/>
    <cellStyle name="Normal 8 2" xfId="272" xr:uid="{00000000-0005-0000-0000-000001010000}"/>
    <cellStyle name="Normal 9" xfId="163" xr:uid="{00000000-0005-0000-0000-000002010000}"/>
    <cellStyle name="Normal 9 2" xfId="164" xr:uid="{00000000-0005-0000-0000-000003010000}"/>
    <cellStyle name="Normal_LISTA S.E.D" xfId="11" xr:uid="{00000000-0005-0000-0000-000004010000}"/>
    <cellStyle name="Normal_PRESUPUESTO ESCUELA DE INFANTERIA" xfId="12" xr:uid="{00000000-0005-0000-0000-000005010000}"/>
    <cellStyle name="Notas 2" xfId="165" xr:uid="{00000000-0005-0000-0000-000006010000}"/>
    <cellStyle name="Notas 2 2" xfId="274" xr:uid="{00000000-0005-0000-0000-000007010000}"/>
    <cellStyle name="Notas 2 2 2" xfId="418" xr:uid="{99C43D66-549C-4FAF-A832-914285B28BE7}"/>
    <cellStyle name="Notas 2 2 3" xfId="468" xr:uid="{AD5B2E73-A8AC-4B8F-B5B5-B70753661BF6}"/>
    <cellStyle name="Notas 2 2 4" xfId="508" xr:uid="{8311AA4B-0CF3-4862-91A0-A700474F4078}"/>
    <cellStyle name="Notas 2 2 5" xfId="415" xr:uid="{9F9C0357-468B-41D5-9B72-FD74112ECE50}"/>
    <cellStyle name="Notas 2 3" xfId="318" xr:uid="{00000000-0005-0000-0000-000008010000}"/>
    <cellStyle name="Notas 2 3 2" xfId="447" xr:uid="{98DD4573-BE63-4994-B99E-3ABBC0B0EE0D}"/>
    <cellStyle name="Notas 2 3 3" xfId="493" xr:uid="{E0BA9A42-670E-4D55-9D02-6FC5E7D9F529}"/>
    <cellStyle name="Notas 2 3 4" xfId="416" xr:uid="{7475D931-3D0F-4C9F-8096-4B0002F89345}"/>
    <cellStyle name="Notas 2 3 5" xfId="530" xr:uid="{7C6A265A-9F31-44AE-B9FF-EAAD8B794BDB}"/>
    <cellStyle name="Notas 3" xfId="273" xr:uid="{00000000-0005-0000-0000-000009010000}"/>
    <cellStyle name="Notas 3 2" xfId="317" xr:uid="{00000000-0005-0000-0000-00000A010000}"/>
    <cellStyle name="Notas 3 2 2" xfId="446" xr:uid="{FA50A06C-7486-4F63-9276-5CA6C9755F02}"/>
    <cellStyle name="Notas 3 2 3" xfId="492" xr:uid="{D35C3DA1-51E2-4AC9-A223-284203FF77D8}"/>
    <cellStyle name="Notas 3 2 4" xfId="349" xr:uid="{A2C29DD3-A3D9-492A-B088-36DCA4440747}"/>
    <cellStyle name="Notas 3 2 5" xfId="529" xr:uid="{3B181DDE-D408-4C86-B620-53469EA4BF63}"/>
    <cellStyle name="Notas 3 3" xfId="417" xr:uid="{D1012340-6C36-49E6-B292-4C62CE2B330E}"/>
    <cellStyle name="Notas 3 4" xfId="467" xr:uid="{80B2E34E-0009-4631-8BAD-9309811E6578}"/>
    <cellStyle name="Notas 3 5" xfId="419" xr:uid="{D460F8A9-C2C5-4234-8277-E73F463EBD05}"/>
    <cellStyle name="Notas 3 6" xfId="375" xr:uid="{77B51EC5-DA4D-4889-9AB7-5FC8F619FBC6}"/>
    <cellStyle name="Percent" xfId="191" xr:uid="{00000000-0005-0000-0000-00000B010000}"/>
    <cellStyle name="Porcentaje" xfId="13" builtinId="5"/>
    <cellStyle name="Porcentaje 2" xfId="166" xr:uid="{00000000-0005-0000-0000-00000D010000}"/>
    <cellStyle name="Porcentaje 3" xfId="276" xr:uid="{00000000-0005-0000-0000-00000E010000}"/>
    <cellStyle name="Porcentaje 4" xfId="275" xr:uid="{00000000-0005-0000-0000-00000F010000}"/>
    <cellStyle name="Porcentaje 5" xfId="344" xr:uid="{31BC1AD9-B29E-4061-9D8C-8FD8314DB288}"/>
    <cellStyle name="Porcentual 10" xfId="14" xr:uid="{00000000-0005-0000-0000-000010010000}"/>
    <cellStyle name="Porcentual 2" xfId="167" xr:uid="{00000000-0005-0000-0000-000011010000}"/>
    <cellStyle name="Porcentual 2 2" xfId="168" xr:uid="{00000000-0005-0000-0000-000012010000}"/>
    <cellStyle name="Porcentual 2 2 2" xfId="277" xr:uid="{00000000-0005-0000-0000-000013010000}"/>
    <cellStyle name="Porcentual 2 3" xfId="169" xr:uid="{00000000-0005-0000-0000-000014010000}"/>
    <cellStyle name="Porcentual 2 3 2" xfId="170" xr:uid="{00000000-0005-0000-0000-000015010000}"/>
    <cellStyle name="Porcentual 2 3 3" xfId="278" xr:uid="{00000000-0005-0000-0000-000016010000}"/>
    <cellStyle name="Porcentual 2 4" xfId="171" xr:uid="{00000000-0005-0000-0000-000017010000}"/>
    <cellStyle name="Porcentual 2 5" xfId="15" xr:uid="{00000000-0005-0000-0000-000018010000}"/>
    <cellStyle name="Porcentual 2 6" xfId="172" xr:uid="{00000000-0005-0000-0000-000019010000}"/>
    <cellStyle name="Porcentual 2 6 2" xfId="173" xr:uid="{00000000-0005-0000-0000-00001A010000}"/>
    <cellStyle name="Porcentual 2 6 3" xfId="174" xr:uid="{00000000-0005-0000-0000-00001B010000}"/>
    <cellStyle name="Porcentual 2 6 4" xfId="175" xr:uid="{00000000-0005-0000-0000-00001C010000}"/>
    <cellStyle name="Porcentual 2 6 5" xfId="176" xr:uid="{00000000-0005-0000-0000-00001D010000}"/>
    <cellStyle name="Porcentual 3" xfId="16" xr:uid="{00000000-0005-0000-0000-00001E010000}"/>
    <cellStyle name="Porcentual 3 2" xfId="177" xr:uid="{00000000-0005-0000-0000-00001F010000}"/>
    <cellStyle name="Porcentual 4" xfId="178" xr:uid="{00000000-0005-0000-0000-000020010000}"/>
    <cellStyle name="Porcentual 4 2" xfId="279" xr:uid="{00000000-0005-0000-0000-000021010000}"/>
    <cellStyle name="Porcentual 5" xfId="179" xr:uid="{00000000-0005-0000-0000-000022010000}"/>
    <cellStyle name="Porcentual 6" xfId="180" xr:uid="{00000000-0005-0000-0000-000023010000}"/>
    <cellStyle name="Porcentual 6 2" xfId="181" xr:uid="{00000000-0005-0000-0000-000024010000}"/>
    <cellStyle name="Porcentual 6 3" xfId="182" xr:uid="{00000000-0005-0000-0000-000025010000}"/>
    <cellStyle name="Porcentual 6 4" xfId="183" xr:uid="{00000000-0005-0000-0000-000026010000}"/>
    <cellStyle name="Porcentual 6 5" xfId="184" xr:uid="{00000000-0005-0000-0000-000027010000}"/>
    <cellStyle name="Porcentual 8" xfId="185" xr:uid="{00000000-0005-0000-0000-000028010000}"/>
    <cellStyle name="Porcentual 9" xfId="17" xr:uid="{00000000-0005-0000-0000-000029010000}"/>
    <cellStyle name="Salida 2" xfId="186" xr:uid="{00000000-0005-0000-0000-00002A010000}"/>
    <cellStyle name="Salida 2 2" xfId="281" xr:uid="{00000000-0005-0000-0000-00002B010000}"/>
    <cellStyle name="Salida 2 2 2" xfId="421" xr:uid="{903498C0-9D2D-474B-A231-985AE95ACF50}"/>
    <cellStyle name="Salida 2 2 3" xfId="472" xr:uid="{FE541FFA-89AF-4A99-97D7-0C4C859BB453}"/>
    <cellStyle name="Salida 2 2 4" xfId="393" xr:uid="{E0918DB6-3469-4CD0-8E27-9A257C468CBB}"/>
    <cellStyle name="Salida 2 2 5" xfId="469" xr:uid="{13F0202B-4EB2-4E4F-98C8-96A2E0C2A208}"/>
    <cellStyle name="Salida 2 3" xfId="320" xr:uid="{00000000-0005-0000-0000-00002C010000}"/>
    <cellStyle name="Salida 2 3 2" xfId="449" xr:uid="{0904F242-492B-4FAA-8748-3AECBF21E4B6}"/>
    <cellStyle name="Salida 2 3 3" xfId="495" xr:uid="{F5E3D98C-8B23-433A-877A-A37A6F18BB59}"/>
    <cellStyle name="Salida 2 3 4" xfId="412" xr:uid="{FAC8CA78-44BA-4C18-B3C9-BB5393648BF1}"/>
    <cellStyle name="Salida 2 3 5" xfId="532" xr:uid="{CD03BE57-DA8E-46BF-82EF-7D9F73E75BC0}"/>
    <cellStyle name="Salida 2 4" xfId="389" xr:uid="{7AED80D5-9E34-4158-B12E-3051E7E450D7}"/>
    <cellStyle name="Salida 2 5" xfId="360" xr:uid="{36D3B684-84D4-4DB8-A8B3-D8BB50CCEA35}"/>
    <cellStyle name="Salida 2 6" xfId="402" xr:uid="{08679178-5FB2-44E8-8463-C395B716A478}"/>
    <cellStyle name="Salida 2 7" xfId="376" xr:uid="{0EBCA4EF-6508-45B2-AA73-DC8B5142A95D}"/>
    <cellStyle name="Salida 3" xfId="280" xr:uid="{00000000-0005-0000-0000-00002D010000}"/>
    <cellStyle name="Salida 3 2" xfId="319" xr:uid="{00000000-0005-0000-0000-00002E010000}"/>
    <cellStyle name="Salida 3 2 2" xfId="448" xr:uid="{915B781E-0DEB-43D2-9DD6-6FA7E45AC2BC}"/>
    <cellStyle name="Salida 3 2 3" xfId="494" xr:uid="{BA0F4DC8-91A1-4230-BFA4-7534719F658C}"/>
    <cellStyle name="Salida 3 2 4" xfId="378" xr:uid="{4C5ECF5D-81E8-4E95-9578-617FB40A1DF2}"/>
    <cellStyle name="Salida 3 2 5" xfId="531" xr:uid="{0DBCEA61-EB6C-43E2-9F6D-678DD40A4DE2}"/>
    <cellStyle name="Salida 3 3" xfId="420" xr:uid="{525016A0-9E56-4102-A58A-E66B8FD5B86F}"/>
    <cellStyle name="Salida 3 4" xfId="471" xr:uid="{4CEB6317-4862-4AC8-AC2B-786A1E1DAF6F}"/>
    <cellStyle name="Salida 3 5" xfId="354" xr:uid="{F34CC85D-611E-48FC-B6D0-E1638098C4D4}"/>
    <cellStyle name="Salida 3 6" xfId="515" xr:uid="{098CEDFA-F10A-4F29-85E5-ECCDC769ED7F}"/>
    <cellStyle name="SAPBEXaggData" xfId="282" xr:uid="{00000000-0005-0000-0000-00002F010000}"/>
    <cellStyle name="SAPBEXaggData 2" xfId="321" xr:uid="{00000000-0005-0000-0000-000030010000}"/>
    <cellStyle name="SAPBEXaggData 2 2" xfId="450" xr:uid="{361A0B02-C7B7-4330-B5C5-DD0625F7A821}"/>
    <cellStyle name="SAPBEXaggData 2 3" xfId="496" xr:uid="{405DAC15-87B1-490B-8C4B-F6F24FD4DEC8}"/>
    <cellStyle name="SAPBEXaggData 2 4" xfId="348" xr:uid="{D7966ABF-4B8F-42FD-85FC-715F6BE6DAC7}"/>
    <cellStyle name="SAPBEXaggData 2 5" xfId="533" xr:uid="{8A8F1CE7-4232-484D-AC58-A9EF94628AF8}"/>
    <cellStyle name="SAPBEXaggData 3" xfId="422" xr:uid="{45EAD373-197B-4542-98C0-C78675B9FE4E}"/>
    <cellStyle name="SAPBEXaggData 4" xfId="473" xr:uid="{BFF6135E-7005-4300-A7AB-3E518951612B}"/>
    <cellStyle name="SAPBEXaggData 5" xfId="403" xr:uid="{9549A459-57BF-4DD4-9B59-F2BA3C481EFD}"/>
    <cellStyle name="SAPBEXaggData 6" xfId="514" xr:uid="{0997E66F-CE37-4EB2-A8C3-1F853AE80B5F}"/>
    <cellStyle name="SAPBEXaggItem" xfId="283" xr:uid="{00000000-0005-0000-0000-000031010000}"/>
    <cellStyle name="SAPBEXaggItem 2" xfId="322" xr:uid="{00000000-0005-0000-0000-000032010000}"/>
    <cellStyle name="SAPBEXaggItem 2 2" xfId="451" xr:uid="{E9766B22-F6CC-41CC-81BA-D10C93723264}"/>
    <cellStyle name="SAPBEXaggItem 2 3" xfId="497" xr:uid="{C20581AE-23E1-4DC9-9FCA-D53C12A80027}"/>
    <cellStyle name="SAPBEXaggItem 2 4" xfId="387" xr:uid="{BDFC67C4-BE4B-4442-8B59-8AEA6226F4CB}"/>
    <cellStyle name="SAPBEXaggItem 2 5" xfId="534" xr:uid="{EFDDDD35-DF53-4534-97D4-F1EB746E4B58}"/>
    <cellStyle name="SAPBEXaggItem 3" xfId="423" xr:uid="{82F32643-0A66-4B90-BE9F-0E7DBC7AA25D}"/>
    <cellStyle name="SAPBEXaggItem 4" xfId="474" xr:uid="{E9869333-14F6-409F-B560-1F3DB658A29F}"/>
    <cellStyle name="SAPBEXaggItem 5" xfId="470" xr:uid="{9E5A299B-EE6B-471F-8612-9C34536AB76C}"/>
    <cellStyle name="SAPBEXaggItem 6" xfId="516" xr:uid="{37F11533-3B17-4721-A1BB-995EBD0D9369}"/>
    <cellStyle name="SAPBEXchaText" xfId="284" xr:uid="{00000000-0005-0000-0000-000033010000}"/>
    <cellStyle name="SAPBEXHLevel0" xfId="285" xr:uid="{00000000-0005-0000-0000-000034010000}"/>
    <cellStyle name="SAPBEXHLevel0 2" xfId="323" xr:uid="{00000000-0005-0000-0000-000035010000}"/>
    <cellStyle name="SAPBEXHLevel0 2 2" xfId="452" xr:uid="{16B5DD87-FA7E-47A6-9450-EC056BFC6E6A}"/>
    <cellStyle name="SAPBEXHLevel0 2 3" xfId="498" xr:uid="{0B0078F3-84B4-496D-B198-639902AEDD45}"/>
    <cellStyle name="SAPBEXHLevel0 2 4" xfId="379" xr:uid="{E65858A9-1FDB-486F-BEB3-511C21B77B3F}"/>
    <cellStyle name="SAPBEXHLevel0 2 5" xfId="535" xr:uid="{3E48BBEF-DEE7-4CAC-8571-8624EE006014}"/>
    <cellStyle name="SAPBEXHLevel0 3" xfId="424" xr:uid="{DA3B1D49-1A11-47C5-AA3D-7FFA3798888F}"/>
    <cellStyle name="SAPBEXHLevel0 4" xfId="475" xr:uid="{CE1A0673-3222-4F38-8B8C-353E6ED9ABBD}"/>
    <cellStyle name="SAPBEXHLevel0 5" xfId="381" xr:uid="{BBB33BF2-1456-48B4-AEFC-D23AFDFBF9D3}"/>
    <cellStyle name="SAPBEXHLevel0 6" xfId="410" xr:uid="{0C7F4D59-D876-4D5B-B88F-8E8D81BEEEC0}"/>
    <cellStyle name="SAPBEXHLevel1" xfId="286" xr:uid="{00000000-0005-0000-0000-000036010000}"/>
    <cellStyle name="SAPBEXHLevel1 2" xfId="324" xr:uid="{00000000-0005-0000-0000-000037010000}"/>
    <cellStyle name="SAPBEXHLevel1 2 2" xfId="453" xr:uid="{030A2DBB-BE97-45DA-B70D-5B7891F554A6}"/>
    <cellStyle name="SAPBEXHLevel1 2 3" xfId="499" xr:uid="{3728BAF0-2CFB-4DD8-AA8A-A556A44DAE0C}"/>
    <cellStyle name="SAPBEXHLevel1 2 4" xfId="380" xr:uid="{7C01AFD6-B828-471C-93FD-2FD6FB9271EE}"/>
    <cellStyle name="SAPBEXHLevel1 2 5" xfId="536" xr:uid="{73B9F8A6-870B-40FB-B552-E170592EAF2A}"/>
    <cellStyle name="SAPBEXHLevel1 3" xfId="425" xr:uid="{E8AE4076-F203-43BB-A3FC-2979C0546908}"/>
    <cellStyle name="SAPBEXHLevel1 4" xfId="476" xr:uid="{4D6451EF-15A1-4A40-94C5-A38B96AB0583}"/>
    <cellStyle name="SAPBEXHLevel1 5" xfId="356" xr:uid="{F856A326-96E0-4C54-9DE0-76C27E05F104}"/>
    <cellStyle name="SAPBEXHLevel1 6" xfId="517" xr:uid="{2ADF181F-6630-484F-BE83-B0EA734E3610}"/>
    <cellStyle name="SAPBEXHLevel2" xfId="287" xr:uid="{00000000-0005-0000-0000-000038010000}"/>
    <cellStyle name="SAPBEXHLevel2 2" xfId="325" xr:uid="{00000000-0005-0000-0000-000039010000}"/>
    <cellStyle name="SAPBEXHLevel2 2 2" xfId="454" xr:uid="{486E9181-7D2D-4C8A-87E1-A188D214F323}"/>
    <cellStyle name="SAPBEXHLevel2 2 3" xfId="500" xr:uid="{40D93AC5-6B1F-4855-80C7-6E061E7E5044}"/>
    <cellStyle name="SAPBEXHLevel2 2 4" xfId="339" xr:uid="{D770799D-3B63-4CC9-9B4F-C9B7DA9F849E}"/>
    <cellStyle name="SAPBEXHLevel2 2 5" xfId="537" xr:uid="{BA81DBB9-F663-4EF6-8CF0-74E98A65A75D}"/>
    <cellStyle name="SAPBEXHLevel2 3" xfId="426" xr:uid="{01813DED-2C1E-49A5-8094-6DDE307E3CDA}"/>
    <cellStyle name="SAPBEXHLevel2 4" xfId="477" xr:uid="{AE91E271-E8AA-43B6-AC7F-88D165D9C0E7}"/>
    <cellStyle name="SAPBEXHLevel2 5" xfId="465" xr:uid="{F50C5F5B-D4BB-4C28-A6E1-82F1AAC5B806}"/>
    <cellStyle name="SAPBEXHLevel2 6" xfId="518" xr:uid="{4CAF3139-F511-45C6-A90E-0FABC34897FB}"/>
    <cellStyle name="SAPBEXHLevel3" xfId="288" xr:uid="{00000000-0005-0000-0000-00003A010000}"/>
    <cellStyle name="SAPBEXHLevel3 2" xfId="326" xr:uid="{00000000-0005-0000-0000-00003B010000}"/>
    <cellStyle name="SAPBEXHLevel3 2 2" xfId="455" xr:uid="{113C7F12-88EA-4C4F-A89A-6E35E4279FCA}"/>
    <cellStyle name="SAPBEXHLevel3 2 3" xfId="501" xr:uid="{78B4B73F-8BE6-4624-93FA-0AA9C99D6EE7}"/>
    <cellStyle name="SAPBEXHLevel3 2 4" xfId="397" xr:uid="{31F91A35-EA79-44B4-A1DB-4014E8E09157}"/>
    <cellStyle name="SAPBEXHLevel3 2 5" xfId="538" xr:uid="{2F80652D-1841-424C-A580-E1C2A89EDD37}"/>
    <cellStyle name="SAPBEXHLevel3 3" xfId="427" xr:uid="{6B225755-3099-4595-A29B-05903F8871A7}"/>
    <cellStyle name="SAPBEXHLevel3 4" xfId="478" xr:uid="{2C7571B8-F157-4EA4-B205-205AD2299DB8}"/>
    <cellStyle name="SAPBEXHLevel3 5" xfId="388" xr:uid="{F6882333-A1EA-48FB-81FB-D385ACF5AFDE}"/>
    <cellStyle name="SAPBEXHLevel3 6" xfId="414" xr:uid="{277E8D8B-218C-4958-967A-CE3F648C6236}"/>
    <cellStyle name="SAPBEXstdData" xfId="289" xr:uid="{00000000-0005-0000-0000-00003C010000}"/>
    <cellStyle name="SAPBEXstdData 2" xfId="327" xr:uid="{00000000-0005-0000-0000-00003D010000}"/>
    <cellStyle name="SAPBEXstdData 2 2" xfId="456" xr:uid="{06CA0C57-F17C-444F-8DF0-5D6291873636}"/>
    <cellStyle name="SAPBEXstdData 2 3" xfId="502" xr:uid="{8FC87715-1DD9-449D-A12F-B08FA1806F5E}"/>
    <cellStyle name="SAPBEXstdData 2 4" xfId="383" xr:uid="{06F0A456-B739-405D-9E33-AEDB00C4F34D}"/>
    <cellStyle name="SAPBEXstdData 2 5" xfId="539" xr:uid="{9960C35A-9BE0-4ACC-80A4-842B56578B0A}"/>
    <cellStyle name="SAPBEXstdData 3" xfId="428" xr:uid="{83DDBF4A-B27D-4D5D-BCDE-7CECD869D335}"/>
    <cellStyle name="SAPBEXstdData 4" xfId="479" xr:uid="{0DE59885-CCDD-4B25-A81B-456DD69496CE}"/>
    <cellStyle name="SAPBEXstdData 5" xfId="512" xr:uid="{77E230B7-092A-45B6-9C6D-8643B10B12AA}"/>
    <cellStyle name="SAPBEXstdData 6" xfId="520" xr:uid="{2B2D9B25-3C01-4530-BC50-D07A965A2A8A}"/>
    <cellStyle name="SAPBEXstdItem" xfId="290" xr:uid="{00000000-0005-0000-0000-00003E010000}"/>
    <cellStyle name="SAPBEXstdItem 2" xfId="328" xr:uid="{00000000-0005-0000-0000-00003F010000}"/>
    <cellStyle name="SAPBEXstdItem 2 2" xfId="457" xr:uid="{89D831B4-692F-4D79-AEE5-63DD280E8D7B}"/>
    <cellStyle name="SAPBEXstdItem 2 3" xfId="503" xr:uid="{F04A2998-376D-44E9-83CC-349720B0105A}"/>
    <cellStyle name="SAPBEXstdItem 2 4" xfId="395" xr:uid="{00595D5B-A5AF-4C54-8413-D71A35E01843}"/>
    <cellStyle name="SAPBEXstdItem 2 5" xfId="540" xr:uid="{01691105-454D-48AB-94D3-F0E77A07677F}"/>
    <cellStyle name="SAPBEXstdItem 3" xfId="429" xr:uid="{CE7E9F06-7417-4528-A01E-435BFACA4DA2}"/>
    <cellStyle name="SAPBEXstdItem 4" xfId="480" xr:uid="{52122906-4058-4692-ABD4-54FE2BBF23FE}"/>
    <cellStyle name="SAPBEXstdItem 5" xfId="386" xr:uid="{25119CCB-60AB-44FD-8F7F-177CC08565EF}"/>
    <cellStyle name="SAPBEXstdItem 6" xfId="521" xr:uid="{F5DE5CD5-97A6-4379-856B-9C836CAB4057}"/>
    <cellStyle name="SAPBEXstdItemX" xfId="291" xr:uid="{00000000-0005-0000-0000-000040010000}"/>
    <cellStyle name="SAPBEXstdItemX 2" xfId="329" xr:uid="{00000000-0005-0000-0000-000041010000}"/>
    <cellStyle name="SAPBEXstdItemX 2 2" xfId="458" xr:uid="{CEF8F3A4-3F50-47F2-AF7A-2D7A7F193D1B}"/>
    <cellStyle name="SAPBEXstdItemX 2 3" xfId="504" xr:uid="{7F61684C-DC58-487F-B035-F67E60E3A596}"/>
    <cellStyle name="SAPBEXstdItemX 2 4" xfId="394" xr:uid="{3BB1DE10-4A25-4E48-A7CD-4A643FCBF3A6}"/>
    <cellStyle name="SAPBEXstdItemX 2 5" xfId="541" xr:uid="{5E0CD4BF-3C44-481B-B79C-15BC1F1ACCAF}"/>
    <cellStyle name="SAPBEXstdItemX 3" xfId="430" xr:uid="{C1C346E8-86E5-4506-AE14-19247E8E6679}"/>
    <cellStyle name="SAPBEXstdItemX 4" xfId="481" xr:uid="{64732C3E-A042-4145-9E04-F33C514A599F}"/>
    <cellStyle name="SAPBEXstdItemX 5" xfId="464" xr:uid="{D7E1009A-EC75-4683-95B2-D9891E101320}"/>
    <cellStyle name="SAPBEXstdItemX 6" xfId="522" xr:uid="{5C712C8A-A624-4A33-A92A-190BD6883D98}"/>
    <cellStyle name="Texto de advertencia 2" xfId="293" xr:uid="{00000000-0005-0000-0000-000042010000}"/>
    <cellStyle name="Texto de advertencia 3" xfId="292" xr:uid="{00000000-0005-0000-0000-000043010000}"/>
    <cellStyle name="Texto explicativo 2" xfId="295" xr:uid="{00000000-0005-0000-0000-000044010000}"/>
    <cellStyle name="Texto explicativo 3" xfId="294" xr:uid="{00000000-0005-0000-0000-000045010000}"/>
    <cellStyle name="Título 1" xfId="297" xr:uid="{00000000-0005-0000-0000-000046010000}"/>
    <cellStyle name="Título 1 2" xfId="298" xr:uid="{00000000-0005-0000-0000-000047010000}"/>
    <cellStyle name="Título 2 2" xfId="300" xr:uid="{00000000-0005-0000-0000-000048010000}"/>
    <cellStyle name="Título 2 3" xfId="299" xr:uid="{00000000-0005-0000-0000-000049010000}"/>
    <cellStyle name="Título 3 2" xfId="302" xr:uid="{00000000-0005-0000-0000-00004A010000}"/>
    <cellStyle name="Título 3 3" xfId="301" xr:uid="{00000000-0005-0000-0000-00004B010000}"/>
    <cellStyle name="Título 4" xfId="187" xr:uid="{00000000-0005-0000-0000-00004C010000}"/>
    <cellStyle name="Título 5" xfId="296" xr:uid="{00000000-0005-0000-0000-00004D010000}"/>
    <cellStyle name="Total 2" xfId="188" xr:uid="{00000000-0005-0000-0000-00004E010000}"/>
    <cellStyle name="Total 2 2" xfId="304" xr:uid="{00000000-0005-0000-0000-00004F010000}"/>
    <cellStyle name="Total 2 2 2" xfId="435" xr:uid="{B902FA7E-2410-4B85-9F30-CC8AA8EAF9C0}"/>
    <cellStyle name="Total 2 2 3" xfId="486" xr:uid="{A107E2CA-5D53-4407-AE42-5E97D187E686}"/>
    <cellStyle name="Total 2 2 4" xfId="361" xr:uid="{A932C44B-2E48-46C1-97A3-C23EC1167267}"/>
    <cellStyle name="Total 2 2 5" xfId="524" xr:uid="{D9C7C5E5-1381-4A10-8384-DA533FE32327}"/>
    <cellStyle name="Total 2 3" xfId="331" xr:uid="{00000000-0005-0000-0000-000050010000}"/>
    <cellStyle name="Total 2 3 2" xfId="460" xr:uid="{2B1F4583-4976-4D2D-86D3-24E2F6C8C530}"/>
    <cellStyle name="Total 2 3 3" xfId="506" xr:uid="{BDB0521B-2F9D-4B52-9A1C-A096B73728F3}"/>
    <cellStyle name="Total 2 3 4" xfId="340" xr:uid="{103D656B-8D1C-4AAE-8840-C13035B36444}"/>
    <cellStyle name="Total 2 3 5" xfId="543" xr:uid="{076D1AA4-BC4A-4F3D-82B7-D11BA685E7BF}"/>
    <cellStyle name="Total 3" xfId="303" xr:uid="{00000000-0005-0000-0000-000051010000}"/>
    <cellStyle name="Total 3 2" xfId="330" xr:uid="{00000000-0005-0000-0000-000052010000}"/>
    <cellStyle name="Total 3 2 2" xfId="459" xr:uid="{74A25D6A-3840-484E-9F18-7DE39CEDF743}"/>
    <cellStyle name="Total 3 2 3" xfId="505" xr:uid="{3E7ACCC6-29D8-4475-8CF1-AFDBC7B5213F}"/>
    <cellStyle name="Total 3 2 4" xfId="384" xr:uid="{9CB6D76E-BD34-47F5-8B40-80378AE88E8A}"/>
    <cellStyle name="Total 3 2 5" xfId="542" xr:uid="{3AECD3B7-CCB0-47FA-9451-83CA1962606D}"/>
    <cellStyle name="Total 3 3" xfId="434" xr:uid="{D705BA34-CCDA-42C9-9AB7-51FB2E6F0935}"/>
    <cellStyle name="Total 3 4" xfId="485" xr:uid="{91762441-F327-473B-9222-E10725389518}"/>
    <cellStyle name="Total 3 5" xfId="462" xr:uid="{5527F677-B4D2-4474-98F6-2E9E2DA56118}"/>
    <cellStyle name="Total 3 6" xfId="523" xr:uid="{BEDFC46D-7B4B-45BD-A428-9E22114990E6}"/>
  </cellStyles>
  <dxfs count="2">
    <dxf>
      <font>
        <b/>
        <i val="0"/>
        <condense val="0"/>
        <extend val="0"/>
        <color indexed="10"/>
      </font>
    </dxf>
    <dxf>
      <font>
        <color rgb="FF9C0006"/>
      </font>
      <fill>
        <patternFill>
          <bgColor rgb="FFFFC7CE"/>
        </patternFill>
      </fill>
    </dxf>
  </dxfs>
  <tableStyles count="0" defaultTableStyle="TableStyleMedium2" defaultPivotStyle="PivotStyleLight16"/>
  <colors>
    <mruColors>
      <color rgb="FF66FF33"/>
      <color rgb="FFFFCC66"/>
      <color rgb="FFFCC2ED"/>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6.xml"/><Relationship Id="rId13" Type="http://schemas.openxmlformats.org/officeDocument/2006/relationships/worksheet" Target="worksheets/sheet11.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chartsheet" Target="chartsheets/sheet2.xml"/><Relationship Id="rId12" Type="http://schemas.openxmlformats.org/officeDocument/2006/relationships/worksheet" Target="worksheets/sheet10.xml"/><Relationship Id="rId17" Type="http://schemas.openxmlformats.org/officeDocument/2006/relationships/externalLink" Target="externalLinks/externalLink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chartsheet" Target="chartsheets/sheet1.xml"/><Relationship Id="rId11" Type="http://schemas.openxmlformats.org/officeDocument/2006/relationships/worksheet" Target="worksheets/sheet9.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3.xml"/><Relationship Id="rId23" Type="http://schemas.openxmlformats.org/officeDocument/2006/relationships/sharedStrings" Target="sharedStrings.xml"/><Relationship Id="rId10" Type="http://schemas.openxmlformats.org/officeDocument/2006/relationships/worksheet" Target="worksheets/sheet8.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7.xml"/><Relationship Id="rId14" Type="http://schemas.openxmlformats.org/officeDocument/2006/relationships/worksheet" Target="worksheets/sheet12.xml"/><Relationship Id="rId22" Type="http://schemas.openxmlformats.org/officeDocument/2006/relationships/styles" Target="styles.xml"/><Relationship Id="rId56"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504C-442F-BCD8-7110A348E4D5}"/>
            </c:ext>
          </c:extLst>
        </c:ser>
        <c:dLbls>
          <c:showLegendKey val="0"/>
          <c:showVal val="0"/>
          <c:showCatName val="0"/>
          <c:showSerName val="0"/>
          <c:showPercent val="0"/>
          <c:showBubbleSize val="0"/>
        </c:dLbls>
        <c:gapWidth val="219"/>
        <c:overlap val="-27"/>
        <c:axId val="104941280"/>
        <c:axId val="104941840"/>
      </c:barChart>
      <c:catAx>
        <c:axId val="104941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04941840"/>
        <c:crosses val="autoZero"/>
        <c:auto val="1"/>
        <c:lblAlgn val="ctr"/>
        <c:lblOffset val="100"/>
        <c:noMultiLvlLbl val="0"/>
      </c:catAx>
      <c:valAx>
        <c:axId val="104941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049412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CE0D-4440-BF87-BE72131B1E99}"/>
            </c:ext>
          </c:extLst>
        </c:ser>
        <c:dLbls>
          <c:showLegendKey val="0"/>
          <c:showVal val="0"/>
          <c:showCatName val="0"/>
          <c:showSerName val="0"/>
          <c:showPercent val="0"/>
          <c:showBubbleSize val="0"/>
        </c:dLbls>
        <c:gapWidth val="219"/>
        <c:overlap val="-27"/>
        <c:axId val="104944080"/>
        <c:axId val="104944640"/>
      </c:barChart>
      <c:catAx>
        <c:axId val="104944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04944640"/>
        <c:crosses val="autoZero"/>
        <c:auto val="1"/>
        <c:lblAlgn val="ctr"/>
        <c:lblOffset val="100"/>
        <c:noMultiLvlLbl val="0"/>
      </c:catAx>
      <c:valAx>
        <c:axId val="1049446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049440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B00-000000000000}">
  <sheetPr/>
  <sheetViews>
    <sheetView zoomScale="107"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sheetViews>
    <sheetView zoomScale="107"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absoluteAnchor>
    <xdr:pos x="0" y="0"/>
    <xdr:ext cx="8670421" cy="6302523"/>
    <xdr:graphicFrame macro="">
      <xdr:nvGraphicFramePr>
        <xdr:cNvPr id="2" name="Gráfico 1">
          <a:extLst>
            <a:ext uri="{FF2B5EF4-FFF2-40B4-BE49-F238E27FC236}">
              <a16:creationId xmlns:a16="http://schemas.microsoft.com/office/drawing/2014/main" id="{C75360C5-F6C0-E088-1A67-9FA93C44D98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8670421" cy="6302523"/>
    <xdr:graphicFrame macro="">
      <xdr:nvGraphicFramePr>
        <xdr:cNvPr id="2" name="Gráfico 1">
          <a:extLst>
            <a:ext uri="{FF2B5EF4-FFF2-40B4-BE49-F238E27FC236}">
              <a16:creationId xmlns:a16="http://schemas.microsoft.com/office/drawing/2014/main" id="{08253BE7-1DFE-0272-8DC9-E1397076C03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xdr:from>
      <xdr:col>6</xdr:col>
      <xdr:colOff>173868</xdr:colOff>
      <xdr:row>1</xdr:row>
      <xdr:rowOff>175455</xdr:rowOff>
    </xdr:from>
    <xdr:to>
      <xdr:col>6</xdr:col>
      <xdr:colOff>1068161</xdr:colOff>
      <xdr:row>4</xdr:row>
      <xdr:rowOff>176892</xdr:rowOff>
    </xdr:to>
    <xdr:pic>
      <xdr:nvPicPr>
        <xdr:cNvPr id="2" name="Picture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srcRect l="9892" t="4526" r="12688" b="8202"/>
        <a:stretch>
          <a:fillRect/>
        </a:stretch>
      </xdr:blipFill>
      <xdr:spPr bwMode="auto">
        <a:xfrm>
          <a:off x="8184393" y="365955"/>
          <a:ext cx="894293" cy="1049187"/>
        </a:xfrm>
        <a:prstGeom prst="rect">
          <a:avLst/>
        </a:prstGeom>
        <a:noFill/>
        <a:ln w="28440">
          <a:solidFill>
            <a:srgbClr val="FFFFFF"/>
          </a:solid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25</xdr:col>
      <xdr:colOff>28575</xdr:colOff>
      <xdr:row>1</xdr:row>
      <xdr:rowOff>136430</xdr:rowOff>
    </xdr:from>
    <xdr:to>
      <xdr:col>25</xdr:col>
      <xdr:colOff>870857</xdr:colOff>
      <xdr:row>3</xdr:row>
      <xdr:rowOff>106135</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srcRect l="9892" t="4526" r="12688" b="8202"/>
        <a:stretch>
          <a:fillRect/>
        </a:stretch>
      </xdr:blipFill>
      <xdr:spPr bwMode="auto">
        <a:xfrm>
          <a:off x="12587968" y="340537"/>
          <a:ext cx="842282" cy="881384"/>
        </a:xfrm>
        <a:prstGeom prst="rect">
          <a:avLst/>
        </a:prstGeom>
        <a:noFill/>
        <a:ln w="28440">
          <a:solidFill>
            <a:srgbClr val="FFFFFF"/>
          </a:solid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47625</xdr:colOff>
      <xdr:row>0</xdr:row>
      <xdr:rowOff>28575</xdr:rowOff>
    </xdr:from>
    <xdr:to>
      <xdr:col>5</xdr:col>
      <xdr:colOff>1057275</xdr:colOff>
      <xdr:row>4</xdr:row>
      <xdr:rowOff>38100</xdr:rowOff>
    </xdr:to>
    <xdr:pic>
      <xdr:nvPicPr>
        <xdr:cNvPr id="2" name="Picture 1">
          <a:extLst>
            <a:ext uri="{FF2B5EF4-FFF2-40B4-BE49-F238E27FC236}">
              <a16:creationId xmlns:a16="http://schemas.microsoft.com/office/drawing/2014/main" id="{50C8198A-9C27-4A4A-A998-547FE36A43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9892" t="4526" r="12688" b="8202"/>
        <a:stretch>
          <a:fillRect/>
        </a:stretch>
      </xdr:blipFill>
      <xdr:spPr bwMode="auto">
        <a:xfrm>
          <a:off x="8305800" y="28575"/>
          <a:ext cx="1009650" cy="1057275"/>
        </a:xfrm>
        <a:prstGeom prst="rect">
          <a:avLst/>
        </a:prstGeom>
        <a:noFill/>
        <a:ln w="2844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47625</xdr:colOff>
      <xdr:row>0</xdr:row>
      <xdr:rowOff>28575</xdr:rowOff>
    </xdr:from>
    <xdr:to>
      <xdr:col>5</xdr:col>
      <xdr:colOff>1057275</xdr:colOff>
      <xdr:row>4</xdr:row>
      <xdr:rowOff>38100</xdr:rowOff>
    </xdr:to>
    <xdr:pic>
      <xdr:nvPicPr>
        <xdr:cNvPr id="2" name="Picture 1">
          <a:extLst>
            <a:ext uri="{FF2B5EF4-FFF2-40B4-BE49-F238E27FC236}">
              <a16:creationId xmlns:a16="http://schemas.microsoft.com/office/drawing/2014/main" id="{852BF028-0973-FAA9-812E-D4811F6C48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9892" t="4526" r="12688" b="8202"/>
        <a:stretch>
          <a:fillRect/>
        </a:stretch>
      </xdr:blipFill>
      <xdr:spPr bwMode="auto">
        <a:xfrm>
          <a:off x="3857625" y="28575"/>
          <a:ext cx="714375" cy="657225"/>
        </a:xfrm>
        <a:prstGeom prst="rect">
          <a:avLst/>
        </a:prstGeom>
        <a:noFill/>
        <a:ln w="2844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HP\AppData\Roaming\Microsoft\Excel\Mis%20documentos\Excel\Base%20de%20Dat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USUARIO\Escritorio\LICITA%20PITALITO\APU%20ICBF%20PITALI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Mis%20documentos\Excel\Base%20de%20Dat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cueserver01/vol1/fabio_mari&#241;o/P%20E%20R%20S%20O%20N%20A%20L/2%200%200%205/P%20R%20O%20G%20R%20A%20M%20A%20C%20I%20O%20N/FORMATOS/MONACHOS%203PG207001-01%20Formato%20Modif.%20Ppto%20y%20PAC%20Func%20Oper%20Deuda%20e%20I.%20Ind%20200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OCUME~1\FAVIO~1.MAR\CONFIG~1\Temp\Xl0000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PB5"/>
      <sheetName val="APB6"/>
      <sheetName val="APB7"/>
      <sheetName val="APB8"/>
      <sheetName val="APB1"/>
      <sheetName val="CAMPAMENTO"/>
      <sheetName val="descapo - limp"/>
      <sheetName val="localizacion y replanteo"/>
      <sheetName val="cerramiento"/>
      <sheetName val="nivel -expla"/>
      <sheetName val="dem cub"/>
      <sheetName val="Dem estruc"/>
      <sheetName val="Dem placa"/>
      <sheetName val="dem muro"/>
      <sheetName val="dem metali"/>
      <sheetName val="excav"/>
      <sheetName val="Ccto limp"/>
      <sheetName val="Ccto VIGA CIMIEN"/>
      <sheetName val="Ccto zapata"/>
      <sheetName val="Viga Cimt"/>
      <sheetName val="columna"/>
      <sheetName val="vig canal"/>
      <sheetName val="vig AEREA"/>
      <sheetName val="Ccto viga cinta"/>
      <sheetName val="Ccto conf vert"/>
      <sheetName val="Ccto conf muro"/>
      <sheetName val="meson "/>
      <sheetName val="Ccto entrep tanque"/>
      <sheetName val="Ccto contrapiso"/>
      <sheetName val="acero "/>
      <sheetName val="muro ladri 5 e =12"/>
      <sheetName val="muro ladri 5 e=25"/>
      <sheetName val="alfajia ccto"/>
      <sheetName val="dintel"/>
      <sheetName val="inst carp meta"/>
      <sheetName val="pañe liso"/>
      <sheetName val="pañe liso bajo plac"/>
      <sheetName val="filo y dila"/>
      <sheetName val="Cartera bajo placa"/>
      <sheetName val="relleno selec"/>
      <sheetName val="piso base ,08"/>
      <sheetName val="alsitado"/>
      <sheetName val="porcelanato ,45x,45"/>
      <sheetName val="porcelanato ,3x,3"/>
      <sheetName val="sardinel"/>
      <sheetName val="bordillo"/>
      <sheetName val="tableta"/>
      <sheetName val="acomet agua"/>
      <sheetName val="acomet agua (2)"/>
      <sheetName val="tub 1,2"/>
      <sheetName val="punto agua"/>
      <sheetName val="regata"/>
      <sheetName val="tubo 3 AN"/>
      <sheetName val="tub 4 AN"/>
      <sheetName val="tub 6 AN"/>
      <sheetName val="llave term"/>
      <sheetName val="registro"/>
      <sheetName val="acces 3"/>
      <sheetName val="acces 4"/>
      <sheetName val="punto san"/>
      <sheetName val="rejilla"/>
      <sheetName val="sanitario"/>
      <sheetName val="lavamanos"/>
      <sheetName val="LAVACOLA"/>
      <sheetName val="BEBEDEROS"/>
      <sheetName val="caja  ,80"/>
      <sheetName val="caja ,60"/>
      <sheetName val="tanque"/>
      <sheetName val="acomt prov elec"/>
      <sheetName val="acometi ext elec"/>
      <sheetName val="salida lampara"/>
      <sheetName val="toma doble"/>
      <sheetName val="caja derivad ele"/>
      <sheetName val="lampara"/>
      <sheetName val="afinado cubirta"/>
      <sheetName val="manto cub"/>
      <sheetName val="teja ac"/>
      <sheetName val="perfil"/>
      <sheetName val="media caña"/>
      <sheetName val="puert pers 2"/>
      <sheetName val="puert pers 1"/>
      <sheetName val="puert pers ,7"/>
      <sheetName val="venta alum"/>
      <sheetName val="luceta"/>
      <sheetName val="percina"/>
      <sheetName val="ench baño"/>
      <sheetName val="ench lavaman"/>
      <sheetName val="Drywall"/>
      <sheetName val="superboard"/>
      <sheetName val="estuco"/>
      <sheetName val="pint exterior"/>
      <sheetName val="pintu super"/>
      <sheetName val="graniplax"/>
      <sheetName val="esmalte gabin"/>
      <sheetName val="esmalt puert"/>
      <sheetName val="PRESUPUESTO"/>
      <sheetName val="as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_COMPROMETID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cta_Inicio"/>
      <sheetName val="Acta_Recibo_Final"/>
      <sheetName val="Acta_Liquidación_final"/>
      <sheetName val="Liquidación_Oficio"/>
      <sheetName val="Liquidación multas"/>
      <sheetName val="Ingreso_Activos"/>
      <sheetName val="MEMO BALANCE"/>
      <sheetName val="Anexo_1"/>
      <sheetName val="Anexo_2_Oficial"/>
      <sheetName val="Anexo_2_Kardex"/>
      <sheetName val="Acta_Suspensión"/>
      <sheetName val="Acta_Reiniciación"/>
      <sheetName val="Informe_Avance"/>
      <sheetName val="Acta_P"/>
      <sheetName val="Acta_Recibo_Parcial"/>
      <sheetName val="Anexo_3"/>
      <sheetName val="Anexo_4"/>
      <sheetName val="FT-SL-06 REINTEGRO MAT NUEVO"/>
      <sheetName val="FT-SL05 REINTEGRO MAT DESMANTEL"/>
      <sheetName val="Paz_y_Salvo"/>
      <sheetName val="Inventario por estructura "/>
      <sheetName val="Certificado_Indemnidad"/>
      <sheetName val="Documentos"/>
      <sheetName val="FT-ES-02 PAG 1"/>
      <sheetName val="FT-ES-02 PAG 2"/>
      <sheetName val="FT-CS-01"/>
      <sheetName val="Informe_Material_Internas"/>
    </sheetNames>
    <sheetDataSet>
      <sheetData sheetId="0" refreshError="1">
        <row r="14">
          <cell r="C14" t="str">
            <v>Director Expansión del Sistema</v>
          </cell>
          <cell r="D14" t="str">
            <v>HUGO EMIRO VEGA ANGULO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persons/person.xml><?xml version="1.0" encoding="utf-8"?>
<personList xmlns="http://schemas.microsoft.com/office/spreadsheetml/2018/threadedcomments" xmlns:x="http://schemas.openxmlformats.org/spreadsheetml/2006/main">
  <person displayName="Rossmary Ortiz Salinas" id="{36FC75EF-B3D4-4652-A582-7231545066E8}" userId="S::rossmary.ortiz@medicinalegal.gov.co::e3e8dc8d-bff4-4c00-8cfc-812d160dcb0a" providerId="AD"/>
  <person displayName="Marco Alejandro Chavistad Penagos" id="{E25E8377-FB65-4302-8A0C-9578DA98EB18}" userId="S::marco.chavistad@medicinalegal.gov.co::e4b6636f-afc0-4386-b547-24ab3d26e690"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4"/>
  <sheetViews>
    <sheetView zoomScale="90" zoomScaleNormal="90" workbookViewId="0">
      <selection activeCell="F88" sqref="F88"/>
    </sheetView>
  </sheetViews>
  <sheetFormatPr baseColWidth="10" defaultColWidth="11.42578125" defaultRowHeight="12.75"/>
  <cols>
    <col min="1" max="1" width="5.42578125" style="165" customWidth="1"/>
    <col min="2" max="2" width="79" style="165" customWidth="1"/>
    <col min="3" max="3" width="7.85546875" style="165" customWidth="1"/>
    <col min="4" max="4" width="7" style="165" customWidth="1"/>
    <col min="5" max="5" width="13.140625" style="165" customWidth="1"/>
    <col min="6" max="6" width="17" style="223" customWidth="1"/>
    <col min="7" max="7" width="5.28515625" style="165" customWidth="1"/>
    <col min="8" max="8" width="17.28515625" style="210" customWidth="1"/>
    <col min="9" max="9" width="20.42578125" style="210" customWidth="1"/>
    <col min="10" max="10" width="88" style="165" customWidth="1"/>
    <col min="11" max="16384" width="11.42578125" style="165"/>
  </cols>
  <sheetData>
    <row r="1" spans="1:10">
      <c r="A1" s="1107" t="s">
        <v>0</v>
      </c>
      <c r="B1" s="1107"/>
      <c r="C1" s="1107"/>
      <c r="D1" s="1107"/>
      <c r="E1" s="1107"/>
      <c r="F1" s="1107"/>
      <c r="G1" s="209"/>
    </row>
    <row r="2" spans="1:10">
      <c r="A2" s="1107" t="s">
        <v>1</v>
      </c>
      <c r="B2" s="1107"/>
      <c r="C2" s="1107"/>
      <c r="D2" s="1107"/>
      <c r="E2" s="1107"/>
      <c r="F2" s="1107"/>
      <c r="G2" s="209"/>
    </row>
    <row r="3" spans="1:10">
      <c r="A3" s="1107"/>
      <c r="B3" s="1107"/>
      <c r="C3" s="1107"/>
      <c r="D3" s="1107"/>
      <c r="E3" s="1107"/>
      <c r="F3" s="1107"/>
      <c r="G3" s="209"/>
    </row>
    <row r="4" spans="1:10" ht="13.5" thickBot="1"/>
    <row r="5" spans="1:10" ht="26.25" thickBot="1">
      <c r="A5" s="208" t="s">
        <v>2</v>
      </c>
      <c r="B5" s="206" t="s">
        <v>3</v>
      </c>
      <c r="C5" s="207" t="s">
        <v>4</v>
      </c>
      <c r="D5" s="206" t="s">
        <v>5</v>
      </c>
      <c r="E5" s="207" t="s">
        <v>6</v>
      </c>
      <c r="F5" s="224" t="s">
        <v>7</v>
      </c>
      <c r="G5" s="206"/>
      <c r="H5" s="211" t="s">
        <v>8</v>
      </c>
      <c r="I5" s="212" t="s">
        <v>9</v>
      </c>
      <c r="J5" s="205"/>
    </row>
    <row r="6" spans="1:10" ht="13.5" thickBot="1">
      <c r="A6" s="1100" t="s">
        <v>10</v>
      </c>
      <c r="B6" s="1101"/>
      <c r="C6" s="1101"/>
      <c r="D6" s="1101"/>
      <c r="E6" s="1101"/>
      <c r="F6" s="1101"/>
      <c r="G6" s="205"/>
      <c r="I6" s="221">
        <f>+SUBTOTAL(9,I7:I33)</f>
        <v>63823102.210000001</v>
      </c>
    </row>
    <row r="7" spans="1:10" ht="158.44999999999999" customHeight="1" thickBot="1">
      <c r="A7" s="194">
        <v>1</v>
      </c>
      <c r="B7" s="193" t="s">
        <v>11</v>
      </c>
      <c r="C7" s="180" t="s">
        <v>12</v>
      </c>
      <c r="D7" s="204">
        <v>1</v>
      </c>
      <c r="E7" s="177">
        <v>15680497</v>
      </c>
      <c r="F7" s="225">
        <f t="shared" ref="F7:F33" si="0">D7*E7</f>
        <v>15680497</v>
      </c>
      <c r="G7" s="177"/>
      <c r="H7" s="213">
        <f>+ROUND(E7*1.19,2)</f>
        <v>18659791.43</v>
      </c>
      <c r="I7" s="213">
        <f>+D7*H7</f>
        <v>18659791.43</v>
      </c>
    </row>
    <row r="8" spans="1:10" ht="60.75" thickBot="1">
      <c r="A8" s="200">
        <v>2</v>
      </c>
      <c r="B8" s="193" t="s">
        <v>13</v>
      </c>
      <c r="C8" s="180" t="s">
        <v>14</v>
      </c>
      <c r="D8" s="202">
        <v>6</v>
      </c>
      <c r="E8" s="178">
        <v>319058</v>
      </c>
      <c r="F8" s="225">
        <f t="shared" si="0"/>
        <v>1914348</v>
      </c>
      <c r="G8" s="177"/>
      <c r="H8" s="213">
        <f t="shared" ref="H8:H71" si="1">+ROUND(E8*1.19,2)</f>
        <v>379679.02</v>
      </c>
      <c r="I8" s="213">
        <f t="shared" ref="I8:I71" si="2">+D8*H8</f>
        <v>2278074.12</v>
      </c>
    </row>
    <row r="9" spans="1:10" ht="36.75" thickBot="1">
      <c r="A9" s="200">
        <v>3</v>
      </c>
      <c r="B9" s="193" t="s">
        <v>15</v>
      </c>
      <c r="C9" s="180" t="s">
        <v>14</v>
      </c>
      <c r="D9" s="202">
        <v>6</v>
      </c>
      <c r="E9" s="178">
        <v>319058</v>
      </c>
      <c r="F9" s="225">
        <f t="shared" si="0"/>
        <v>1914348</v>
      </c>
      <c r="G9" s="177"/>
      <c r="H9" s="213">
        <f t="shared" si="1"/>
        <v>379679.02</v>
      </c>
      <c r="I9" s="213">
        <f t="shared" si="2"/>
        <v>2278074.12</v>
      </c>
    </row>
    <row r="10" spans="1:10" ht="36.75" thickBot="1">
      <c r="A10" s="200">
        <v>4</v>
      </c>
      <c r="B10" s="193" t="s">
        <v>16</v>
      </c>
      <c r="C10" s="180" t="s">
        <v>14</v>
      </c>
      <c r="D10" s="202">
        <v>1.5</v>
      </c>
      <c r="E10" s="178">
        <v>259144</v>
      </c>
      <c r="F10" s="225">
        <f t="shared" si="0"/>
        <v>388716</v>
      </c>
      <c r="G10" s="177"/>
      <c r="H10" s="213">
        <f t="shared" si="1"/>
        <v>308381.36</v>
      </c>
      <c r="I10" s="213">
        <f t="shared" si="2"/>
        <v>462572.04</v>
      </c>
    </row>
    <row r="11" spans="1:10" ht="36.75" thickBot="1">
      <c r="A11" s="200">
        <v>5</v>
      </c>
      <c r="B11" s="193" t="s">
        <v>17</v>
      </c>
      <c r="C11" s="180" t="s">
        <v>14</v>
      </c>
      <c r="D11" s="202">
        <v>1.5</v>
      </c>
      <c r="E11" s="178">
        <v>171912</v>
      </c>
      <c r="F11" s="225">
        <f t="shared" si="0"/>
        <v>257868</v>
      </c>
      <c r="G11" s="177"/>
      <c r="H11" s="213">
        <f t="shared" si="1"/>
        <v>204575.28</v>
      </c>
      <c r="I11" s="213">
        <f t="shared" si="2"/>
        <v>306862.92</v>
      </c>
    </row>
    <row r="12" spans="1:10" ht="24.75" thickBot="1">
      <c r="A12" s="200">
        <v>6</v>
      </c>
      <c r="B12" s="193" t="s">
        <v>18</v>
      </c>
      <c r="C12" s="180" t="s">
        <v>12</v>
      </c>
      <c r="D12" s="203">
        <v>4</v>
      </c>
      <c r="E12" s="177">
        <v>446832</v>
      </c>
      <c r="F12" s="225">
        <f t="shared" si="0"/>
        <v>1787328</v>
      </c>
      <c r="G12" s="177"/>
      <c r="H12" s="213">
        <f t="shared" si="1"/>
        <v>531730.07999999996</v>
      </c>
      <c r="I12" s="213">
        <f t="shared" si="2"/>
        <v>2126920.3199999998</v>
      </c>
    </row>
    <row r="13" spans="1:10" ht="24.75" thickBot="1">
      <c r="A13" s="200">
        <v>7</v>
      </c>
      <c r="B13" s="193" t="s">
        <v>19</v>
      </c>
      <c r="C13" s="180" t="s">
        <v>12</v>
      </c>
      <c r="D13" s="203">
        <v>2</v>
      </c>
      <c r="E13" s="177">
        <v>446832</v>
      </c>
      <c r="F13" s="225">
        <f t="shared" si="0"/>
        <v>893664</v>
      </c>
      <c r="G13" s="177"/>
      <c r="H13" s="213">
        <f t="shared" si="1"/>
        <v>531730.07999999996</v>
      </c>
      <c r="I13" s="213">
        <f t="shared" si="2"/>
        <v>1063460.1599999999</v>
      </c>
    </row>
    <row r="14" spans="1:10" ht="36.75" thickBot="1">
      <c r="A14" s="200">
        <v>8</v>
      </c>
      <c r="B14" s="193" t="s">
        <v>20</v>
      </c>
      <c r="C14" s="180" t="s">
        <v>12</v>
      </c>
      <c r="D14" s="202">
        <v>3</v>
      </c>
      <c r="E14" s="177">
        <v>187572</v>
      </c>
      <c r="F14" s="225">
        <f t="shared" si="0"/>
        <v>562716</v>
      </c>
      <c r="G14" s="177"/>
      <c r="H14" s="213">
        <f t="shared" si="1"/>
        <v>223210.68</v>
      </c>
      <c r="I14" s="213">
        <f t="shared" si="2"/>
        <v>669632.04</v>
      </c>
    </row>
    <row r="15" spans="1:10" ht="13.5" thickBot="1">
      <c r="A15" s="200">
        <v>9</v>
      </c>
      <c r="B15" s="201" t="s">
        <v>21</v>
      </c>
      <c r="C15" s="180" t="s">
        <v>12</v>
      </c>
      <c r="D15" s="202">
        <v>1</v>
      </c>
      <c r="E15" s="177">
        <v>17400</v>
      </c>
      <c r="F15" s="225">
        <f t="shared" si="0"/>
        <v>17400</v>
      </c>
      <c r="G15" s="177"/>
      <c r="H15" s="213">
        <f t="shared" si="1"/>
        <v>20706</v>
      </c>
      <c r="I15" s="213">
        <f t="shared" si="2"/>
        <v>20706</v>
      </c>
      <c r="J15" s="175"/>
    </row>
    <row r="16" spans="1:10" ht="24.75" thickBot="1">
      <c r="A16" s="200">
        <v>10</v>
      </c>
      <c r="B16" s="193" t="s">
        <v>22</v>
      </c>
      <c r="C16" s="180" t="s">
        <v>14</v>
      </c>
      <c r="D16" s="202">
        <v>1</v>
      </c>
      <c r="E16" s="177">
        <v>319116</v>
      </c>
      <c r="F16" s="225">
        <f t="shared" si="0"/>
        <v>319116</v>
      </c>
      <c r="G16" s="177"/>
      <c r="H16" s="213">
        <f t="shared" si="1"/>
        <v>379748.04</v>
      </c>
      <c r="I16" s="213">
        <f t="shared" si="2"/>
        <v>379748.04</v>
      </c>
    </row>
    <row r="17" spans="1:9" ht="24.75" thickBot="1">
      <c r="A17" s="200">
        <v>11</v>
      </c>
      <c r="B17" s="193" t="s">
        <v>23</v>
      </c>
      <c r="C17" s="180" t="s">
        <v>14</v>
      </c>
      <c r="D17" s="202">
        <v>1</v>
      </c>
      <c r="E17" s="177">
        <v>259260</v>
      </c>
      <c r="F17" s="225">
        <f t="shared" si="0"/>
        <v>259260</v>
      </c>
      <c r="G17" s="177"/>
      <c r="H17" s="213">
        <f t="shared" si="1"/>
        <v>308519.40000000002</v>
      </c>
      <c r="I17" s="213">
        <f t="shared" si="2"/>
        <v>308519.40000000002</v>
      </c>
    </row>
    <row r="18" spans="1:9" ht="13.5" thickBot="1">
      <c r="A18" s="200">
        <v>12</v>
      </c>
      <c r="B18" s="193" t="s">
        <v>24</v>
      </c>
      <c r="C18" s="180" t="s">
        <v>14</v>
      </c>
      <c r="D18" s="202">
        <v>3</v>
      </c>
      <c r="E18" s="177">
        <v>208800</v>
      </c>
      <c r="F18" s="225">
        <f t="shared" si="0"/>
        <v>626400</v>
      </c>
      <c r="G18" s="177"/>
      <c r="H18" s="213">
        <f t="shared" si="1"/>
        <v>248472</v>
      </c>
      <c r="I18" s="213">
        <f t="shared" si="2"/>
        <v>745416</v>
      </c>
    </row>
    <row r="19" spans="1:9" ht="24.75" thickBot="1">
      <c r="A19" s="200">
        <v>13</v>
      </c>
      <c r="B19" s="193" t="s">
        <v>25</v>
      </c>
      <c r="C19" s="180" t="s">
        <v>14</v>
      </c>
      <c r="D19" s="202">
        <v>3</v>
      </c>
      <c r="E19" s="177">
        <v>120060</v>
      </c>
      <c r="F19" s="225">
        <f t="shared" si="0"/>
        <v>360180</v>
      </c>
      <c r="G19" s="177"/>
      <c r="H19" s="213">
        <f t="shared" si="1"/>
        <v>142871.4</v>
      </c>
      <c r="I19" s="213">
        <f t="shared" si="2"/>
        <v>428614.19999999995</v>
      </c>
    </row>
    <row r="20" spans="1:9" ht="192.75" thickBot="1">
      <c r="A20" s="194">
        <v>14</v>
      </c>
      <c r="B20" s="193" t="s">
        <v>26</v>
      </c>
      <c r="C20" s="180" t="s">
        <v>14</v>
      </c>
      <c r="D20" s="202">
        <v>1</v>
      </c>
      <c r="E20" s="177">
        <v>16483898</v>
      </c>
      <c r="F20" s="225">
        <f t="shared" si="0"/>
        <v>16483898</v>
      </c>
      <c r="G20" s="177"/>
      <c r="H20" s="213">
        <f t="shared" si="1"/>
        <v>19615838.620000001</v>
      </c>
      <c r="I20" s="213">
        <f t="shared" si="2"/>
        <v>19615838.620000001</v>
      </c>
    </row>
    <row r="21" spans="1:9" ht="36.75" thickBot="1">
      <c r="A21" s="200">
        <v>15</v>
      </c>
      <c r="B21" s="193" t="s">
        <v>27</v>
      </c>
      <c r="C21" s="180" t="s">
        <v>14</v>
      </c>
      <c r="D21" s="202">
        <v>8</v>
      </c>
      <c r="E21" s="177">
        <v>259217</v>
      </c>
      <c r="F21" s="225">
        <f t="shared" si="0"/>
        <v>2073736</v>
      </c>
      <c r="G21" s="177"/>
      <c r="H21" s="213">
        <f t="shared" si="1"/>
        <v>308468.23</v>
      </c>
      <c r="I21" s="213">
        <f t="shared" si="2"/>
        <v>2467745.84</v>
      </c>
    </row>
    <row r="22" spans="1:9" ht="36.75" thickBot="1">
      <c r="A22" s="200">
        <v>16</v>
      </c>
      <c r="B22" s="193" t="s">
        <v>17</v>
      </c>
      <c r="C22" s="180" t="s">
        <v>14</v>
      </c>
      <c r="D22" s="202">
        <v>3</v>
      </c>
      <c r="E22" s="177">
        <v>171912</v>
      </c>
      <c r="F22" s="225">
        <f t="shared" si="0"/>
        <v>515736</v>
      </c>
      <c r="G22" s="177"/>
      <c r="H22" s="213">
        <f t="shared" si="1"/>
        <v>204575.28</v>
      </c>
      <c r="I22" s="213">
        <f t="shared" si="2"/>
        <v>613725.84</v>
      </c>
    </row>
    <row r="23" spans="1:9" ht="24.75" thickBot="1">
      <c r="A23" s="200">
        <v>17</v>
      </c>
      <c r="B23" s="193" t="s">
        <v>28</v>
      </c>
      <c r="C23" s="180" t="s">
        <v>12</v>
      </c>
      <c r="D23" s="182">
        <v>4</v>
      </c>
      <c r="E23" s="177">
        <v>362964</v>
      </c>
      <c r="F23" s="225">
        <f t="shared" si="0"/>
        <v>1451856</v>
      </c>
      <c r="G23" s="177"/>
      <c r="H23" s="213">
        <f t="shared" si="1"/>
        <v>431927.16</v>
      </c>
      <c r="I23" s="213">
        <f t="shared" si="2"/>
        <v>1727708.64</v>
      </c>
    </row>
    <row r="24" spans="1:9" ht="24.75" thickBot="1">
      <c r="A24" s="200">
        <v>18</v>
      </c>
      <c r="B24" s="193" t="s">
        <v>29</v>
      </c>
      <c r="C24" s="180" t="s">
        <v>12</v>
      </c>
      <c r="D24" s="182">
        <v>2</v>
      </c>
      <c r="E24" s="177">
        <v>362964</v>
      </c>
      <c r="F24" s="225">
        <f t="shared" si="0"/>
        <v>725928</v>
      </c>
      <c r="G24" s="177"/>
      <c r="H24" s="213">
        <f t="shared" si="1"/>
        <v>431927.16</v>
      </c>
      <c r="I24" s="213">
        <f t="shared" si="2"/>
        <v>863854.32</v>
      </c>
    </row>
    <row r="25" spans="1:9" ht="36.75" thickBot="1">
      <c r="A25" s="200">
        <v>19</v>
      </c>
      <c r="B25" s="193" t="s">
        <v>20</v>
      </c>
      <c r="C25" s="180" t="s">
        <v>12</v>
      </c>
      <c r="D25" s="182">
        <v>2</v>
      </c>
      <c r="E25" s="177">
        <v>187572</v>
      </c>
      <c r="F25" s="225">
        <f t="shared" si="0"/>
        <v>375144</v>
      </c>
      <c r="G25" s="177"/>
      <c r="H25" s="213">
        <f t="shared" si="1"/>
        <v>223210.68</v>
      </c>
      <c r="I25" s="213">
        <f t="shared" si="2"/>
        <v>446421.36</v>
      </c>
    </row>
    <row r="26" spans="1:9" ht="13.5" thickBot="1">
      <c r="A26" s="200">
        <v>20</v>
      </c>
      <c r="B26" s="201" t="s">
        <v>21</v>
      </c>
      <c r="C26" s="180" t="s">
        <v>12</v>
      </c>
      <c r="D26" s="182">
        <v>1</v>
      </c>
      <c r="E26" s="177">
        <v>17400</v>
      </c>
      <c r="F26" s="225">
        <f t="shared" si="0"/>
        <v>17400</v>
      </c>
      <c r="G26" s="177"/>
      <c r="H26" s="213">
        <f t="shared" si="1"/>
        <v>20706</v>
      </c>
      <c r="I26" s="213">
        <f t="shared" si="2"/>
        <v>20706</v>
      </c>
    </row>
    <row r="27" spans="1:9" ht="24.75" thickBot="1">
      <c r="A27" s="200">
        <v>21</v>
      </c>
      <c r="B27" s="193" t="s">
        <v>23</v>
      </c>
      <c r="C27" s="180" t="s">
        <v>12</v>
      </c>
      <c r="D27" s="182">
        <v>1</v>
      </c>
      <c r="E27" s="177">
        <v>259260</v>
      </c>
      <c r="F27" s="225">
        <f t="shared" si="0"/>
        <v>259260</v>
      </c>
      <c r="G27" s="177"/>
      <c r="H27" s="213">
        <f t="shared" si="1"/>
        <v>308519.40000000002</v>
      </c>
      <c r="I27" s="213">
        <f t="shared" si="2"/>
        <v>308519.40000000002</v>
      </c>
    </row>
    <row r="28" spans="1:9" ht="24.75" thickBot="1">
      <c r="A28" s="200">
        <v>22</v>
      </c>
      <c r="B28" s="193" t="s">
        <v>30</v>
      </c>
      <c r="C28" s="180" t="s">
        <v>12</v>
      </c>
      <c r="D28" s="182">
        <v>1</v>
      </c>
      <c r="E28" s="177">
        <v>120060</v>
      </c>
      <c r="F28" s="225">
        <f t="shared" si="0"/>
        <v>120060</v>
      </c>
      <c r="G28" s="177"/>
      <c r="H28" s="213">
        <f t="shared" si="1"/>
        <v>142871.4</v>
      </c>
      <c r="I28" s="213">
        <f t="shared" si="2"/>
        <v>142871.4</v>
      </c>
    </row>
    <row r="29" spans="1:9" ht="60.75" thickBot="1">
      <c r="A29" s="194">
        <v>23</v>
      </c>
      <c r="B29" s="193" t="s">
        <v>31</v>
      </c>
      <c r="C29" s="180" t="s">
        <v>12</v>
      </c>
      <c r="D29" s="182">
        <v>1</v>
      </c>
      <c r="E29" s="177">
        <v>3800000</v>
      </c>
      <c r="F29" s="225">
        <f t="shared" si="0"/>
        <v>3800000</v>
      </c>
      <c r="G29" s="177"/>
      <c r="H29" s="213">
        <f t="shared" si="1"/>
        <v>4522000</v>
      </c>
      <c r="I29" s="213">
        <f t="shared" si="2"/>
        <v>4522000</v>
      </c>
    </row>
    <row r="30" spans="1:9" ht="36.75" thickBot="1">
      <c r="A30" s="199">
        <v>24</v>
      </c>
      <c r="B30" s="198" t="s">
        <v>32</v>
      </c>
      <c r="C30" s="197" t="s">
        <v>14</v>
      </c>
      <c r="D30" s="196">
        <v>30</v>
      </c>
      <c r="E30" s="195">
        <v>38000</v>
      </c>
      <c r="F30" s="226">
        <f t="shared" si="0"/>
        <v>1140000</v>
      </c>
      <c r="G30" s="195"/>
      <c r="H30" s="214">
        <f t="shared" si="1"/>
        <v>45220</v>
      </c>
      <c r="I30" s="214">
        <f t="shared" si="2"/>
        <v>1356600</v>
      </c>
    </row>
    <row r="31" spans="1:9" ht="36.75" thickBot="1">
      <c r="A31" s="194">
        <v>25</v>
      </c>
      <c r="B31" s="193" t="s">
        <v>33</v>
      </c>
      <c r="C31" s="180" t="s">
        <v>14</v>
      </c>
      <c r="D31" s="182">
        <v>12</v>
      </c>
      <c r="E31" s="177">
        <v>37000</v>
      </c>
      <c r="F31" s="225">
        <f t="shared" si="0"/>
        <v>444000</v>
      </c>
      <c r="G31" s="177"/>
      <c r="H31" s="213">
        <f t="shared" si="1"/>
        <v>44030</v>
      </c>
      <c r="I31" s="213">
        <f t="shared" si="2"/>
        <v>528360</v>
      </c>
    </row>
    <row r="32" spans="1:9" ht="36.75" thickBot="1">
      <c r="A32" s="194">
        <v>26</v>
      </c>
      <c r="B32" s="193" t="s">
        <v>34</v>
      </c>
      <c r="C32" s="180" t="s">
        <v>14</v>
      </c>
      <c r="D32" s="182">
        <v>12</v>
      </c>
      <c r="E32" s="177">
        <v>37000</v>
      </c>
      <c r="F32" s="225">
        <f t="shared" si="0"/>
        <v>444000</v>
      </c>
      <c r="G32" s="177"/>
      <c r="H32" s="213">
        <f t="shared" si="1"/>
        <v>44030</v>
      </c>
      <c r="I32" s="213">
        <f t="shared" si="2"/>
        <v>528360</v>
      </c>
    </row>
    <row r="33" spans="1:9" ht="13.5" thickBot="1">
      <c r="A33" s="192">
        <v>27</v>
      </c>
      <c r="B33" s="191" t="s">
        <v>35</v>
      </c>
      <c r="C33" s="190" t="s">
        <v>12</v>
      </c>
      <c r="D33" s="189">
        <v>2</v>
      </c>
      <c r="E33" s="171">
        <v>400000</v>
      </c>
      <c r="F33" s="227">
        <f t="shared" si="0"/>
        <v>800000</v>
      </c>
      <c r="G33" s="171"/>
      <c r="H33" s="215">
        <f t="shared" si="1"/>
        <v>476000</v>
      </c>
      <c r="I33" s="215">
        <f t="shared" si="2"/>
        <v>952000</v>
      </c>
    </row>
    <row r="34" spans="1:9" ht="13.5" thickBot="1">
      <c r="A34" s="1104" t="s">
        <v>36</v>
      </c>
      <c r="B34" s="1105"/>
      <c r="C34" s="1105"/>
      <c r="D34" s="1106"/>
      <c r="E34" s="179"/>
      <c r="F34" s="228">
        <f>SUM(F7:F33)</f>
        <v>53632859</v>
      </c>
      <c r="G34" s="188"/>
      <c r="H34" s="216"/>
      <c r="I34" s="216"/>
    </row>
    <row r="35" spans="1:9" ht="13.5" thickBot="1">
      <c r="A35" s="1100" t="s">
        <v>37</v>
      </c>
      <c r="B35" s="1101"/>
      <c r="C35" s="1101"/>
      <c r="D35" s="1101"/>
      <c r="E35" s="1102"/>
      <c r="F35" s="1103"/>
      <c r="G35" s="205"/>
      <c r="I35" s="222">
        <f>+SUM(I36:I80)</f>
        <v>51843735.159999989</v>
      </c>
    </row>
    <row r="36" spans="1:9" ht="36.75" thickBot="1">
      <c r="A36" s="183">
        <v>1</v>
      </c>
      <c r="B36" s="181" t="s">
        <v>38</v>
      </c>
      <c r="C36" s="180" t="s">
        <v>12</v>
      </c>
      <c r="D36" s="185">
        <v>1</v>
      </c>
      <c r="E36" s="178">
        <v>180000</v>
      </c>
      <c r="F36" s="225">
        <f t="shared" ref="F36:F80" si="3">D36*E36</f>
        <v>180000</v>
      </c>
      <c r="G36" s="177"/>
      <c r="H36" s="213">
        <f t="shared" si="1"/>
        <v>214200</v>
      </c>
      <c r="I36" s="213">
        <f t="shared" si="2"/>
        <v>214200</v>
      </c>
    </row>
    <row r="37" spans="1:9" ht="36.75" thickBot="1">
      <c r="A37" s="183">
        <v>2</v>
      </c>
      <c r="B37" s="181" t="s">
        <v>39</v>
      </c>
      <c r="C37" s="180" t="s">
        <v>14</v>
      </c>
      <c r="D37" s="185">
        <v>1</v>
      </c>
      <c r="E37" s="178">
        <v>180000</v>
      </c>
      <c r="F37" s="225">
        <f t="shared" si="3"/>
        <v>180000</v>
      </c>
      <c r="G37" s="177"/>
      <c r="H37" s="213">
        <f t="shared" si="1"/>
        <v>214200</v>
      </c>
      <c r="I37" s="213">
        <f t="shared" si="2"/>
        <v>214200</v>
      </c>
    </row>
    <row r="38" spans="1:9" ht="36.75" thickBot="1">
      <c r="A38" s="183">
        <v>3</v>
      </c>
      <c r="B38" s="181" t="s">
        <v>40</v>
      </c>
      <c r="C38" s="180" t="s">
        <v>14</v>
      </c>
      <c r="D38" s="185">
        <v>1</v>
      </c>
      <c r="E38" s="178">
        <v>216000</v>
      </c>
      <c r="F38" s="225">
        <f t="shared" si="3"/>
        <v>216000</v>
      </c>
      <c r="G38" s="177"/>
      <c r="H38" s="213">
        <f t="shared" si="1"/>
        <v>257040</v>
      </c>
      <c r="I38" s="213">
        <f t="shared" si="2"/>
        <v>257040</v>
      </c>
    </row>
    <row r="39" spans="1:9" ht="48.75" thickBot="1">
      <c r="A39" s="183">
        <v>4</v>
      </c>
      <c r="B39" s="181" t="s">
        <v>41</v>
      </c>
      <c r="C39" s="180" t="s">
        <v>14</v>
      </c>
      <c r="D39" s="185">
        <v>1</v>
      </c>
      <c r="E39" s="178">
        <v>216000</v>
      </c>
      <c r="F39" s="225">
        <f t="shared" si="3"/>
        <v>216000</v>
      </c>
      <c r="G39" s="177"/>
      <c r="H39" s="213">
        <f t="shared" si="1"/>
        <v>257040</v>
      </c>
      <c r="I39" s="213">
        <f t="shared" si="2"/>
        <v>257040</v>
      </c>
    </row>
    <row r="40" spans="1:9" ht="13.5" thickBot="1">
      <c r="A40" s="183">
        <v>5</v>
      </c>
      <c r="B40" s="181" t="s">
        <v>42</v>
      </c>
      <c r="C40" s="180" t="s">
        <v>43</v>
      </c>
      <c r="D40" s="185">
        <v>1</v>
      </c>
      <c r="E40" s="178">
        <v>200000</v>
      </c>
      <c r="F40" s="225">
        <f t="shared" si="3"/>
        <v>200000</v>
      </c>
      <c r="G40" s="177"/>
      <c r="H40" s="213">
        <f t="shared" si="1"/>
        <v>238000</v>
      </c>
      <c r="I40" s="213">
        <f t="shared" si="2"/>
        <v>238000</v>
      </c>
    </row>
    <row r="41" spans="1:9" ht="24.75" thickBot="1">
      <c r="A41" s="183">
        <v>6</v>
      </c>
      <c r="B41" s="181" t="s">
        <v>44</v>
      </c>
      <c r="C41" s="180" t="s">
        <v>43</v>
      </c>
      <c r="D41" s="185">
        <v>1</v>
      </c>
      <c r="E41" s="178">
        <v>1800000</v>
      </c>
      <c r="F41" s="225">
        <f t="shared" si="3"/>
        <v>1800000</v>
      </c>
      <c r="G41" s="177"/>
      <c r="H41" s="213">
        <f t="shared" si="1"/>
        <v>2142000</v>
      </c>
      <c r="I41" s="213">
        <f t="shared" si="2"/>
        <v>2142000</v>
      </c>
    </row>
    <row r="42" spans="1:9" ht="13.5" thickBot="1">
      <c r="A42" s="183">
        <v>7</v>
      </c>
      <c r="B42" s="181" t="s">
        <v>45</v>
      </c>
      <c r="C42" s="180" t="s">
        <v>43</v>
      </c>
      <c r="D42" s="185">
        <v>1</v>
      </c>
      <c r="E42" s="178">
        <v>480000</v>
      </c>
      <c r="F42" s="225">
        <f t="shared" si="3"/>
        <v>480000</v>
      </c>
      <c r="G42" s="177"/>
      <c r="H42" s="213">
        <f t="shared" si="1"/>
        <v>571200</v>
      </c>
      <c r="I42" s="213">
        <f t="shared" si="2"/>
        <v>571200</v>
      </c>
    </row>
    <row r="43" spans="1:9" ht="24.75" thickBot="1">
      <c r="A43" s="182">
        <v>8</v>
      </c>
      <c r="B43" s="181" t="s">
        <v>46</v>
      </c>
      <c r="C43" s="180" t="s">
        <v>14</v>
      </c>
      <c r="D43" s="185">
        <v>3.5</v>
      </c>
      <c r="E43" s="178">
        <v>398808</v>
      </c>
      <c r="F43" s="225">
        <f t="shared" si="3"/>
        <v>1395828</v>
      </c>
      <c r="G43" s="177"/>
      <c r="H43" s="213">
        <f t="shared" si="1"/>
        <v>474581.52</v>
      </c>
      <c r="I43" s="213">
        <f t="shared" si="2"/>
        <v>1661035.32</v>
      </c>
    </row>
    <row r="44" spans="1:9" ht="36.75" thickBot="1">
      <c r="A44" s="182">
        <v>9</v>
      </c>
      <c r="B44" s="181" t="s">
        <v>47</v>
      </c>
      <c r="C44" s="180" t="s">
        <v>14</v>
      </c>
      <c r="D44" s="185">
        <v>9</v>
      </c>
      <c r="E44" s="178">
        <v>338991</v>
      </c>
      <c r="F44" s="225">
        <f t="shared" si="3"/>
        <v>3050919</v>
      </c>
      <c r="G44" s="177"/>
      <c r="H44" s="213">
        <f t="shared" si="1"/>
        <v>403399.29</v>
      </c>
      <c r="I44" s="213">
        <f t="shared" si="2"/>
        <v>3630593.61</v>
      </c>
    </row>
    <row r="45" spans="1:9" ht="24.75" thickBot="1">
      <c r="A45" s="182">
        <v>10</v>
      </c>
      <c r="B45" s="181" t="s">
        <v>48</v>
      </c>
      <c r="C45" s="180" t="s">
        <v>14</v>
      </c>
      <c r="D45" s="185">
        <v>2</v>
      </c>
      <c r="E45" s="178">
        <v>279270</v>
      </c>
      <c r="F45" s="225">
        <f t="shared" si="3"/>
        <v>558540</v>
      </c>
      <c r="G45" s="177"/>
      <c r="H45" s="213">
        <f t="shared" si="1"/>
        <v>332331.3</v>
      </c>
      <c r="I45" s="213">
        <f t="shared" si="2"/>
        <v>664662.6</v>
      </c>
    </row>
    <row r="46" spans="1:9" ht="24.75" thickBot="1">
      <c r="A46" s="182">
        <v>11</v>
      </c>
      <c r="B46" s="181" t="s">
        <v>49</v>
      </c>
      <c r="C46" s="180" t="s">
        <v>14</v>
      </c>
      <c r="D46" s="185">
        <v>3</v>
      </c>
      <c r="E46" s="178">
        <v>259260</v>
      </c>
      <c r="F46" s="225">
        <f t="shared" si="3"/>
        <v>777780</v>
      </c>
      <c r="G46" s="177"/>
      <c r="H46" s="213">
        <f t="shared" si="1"/>
        <v>308519.40000000002</v>
      </c>
      <c r="I46" s="213">
        <f t="shared" si="2"/>
        <v>925558.20000000007</v>
      </c>
    </row>
    <row r="47" spans="1:9" ht="36.75" thickBot="1">
      <c r="A47" s="182">
        <v>12</v>
      </c>
      <c r="B47" s="181" t="s">
        <v>50</v>
      </c>
      <c r="C47" s="180" t="s">
        <v>14</v>
      </c>
      <c r="D47" s="185">
        <v>11</v>
      </c>
      <c r="E47" s="178">
        <v>171912</v>
      </c>
      <c r="F47" s="225">
        <f t="shared" si="3"/>
        <v>1891032</v>
      </c>
      <c r="G47" s="177"/>
      <c r="H47" s="213">
        <f t="shared" si="1"/>
        <v>204575.28</v>
      </c>
      <c r="I47" s="213">
        <f t="shared" si="2"/>
        <v>2250328.08</v>
      </c>
    </row>
    <row r="48" spans="1:9" ht="36.75" thickBot="1">
      <c r="A48" s="182">
        <v>13</v>
      </c>
      <c r="B48" s="187" t="s">
        <v>51</v>
      </c>
      <c r="C48" s="180" t="s">
        <v>12</v>
      </c>
      <c r="D48" s="185">
        <v>2</v>
      </c>
      <c r="E48" s="178">
        <v>228262</v>
      </c>
      <c r="F48" s="225">
        <f t="shared" si="3"/>
        <v>456524</v>
      </c>
      <c r="G48" s="177"/>
      <c r="H48" s="213">
        <f t="shared" si="1"/>
        <v>271631.78000000003</v>
      </c>
      <c r="I48" s="213">
        <f t="shared" si="2"/>
        <v>543263.56000000006</v>
      </c>
    </row>
    <row r="49" spans="1:9" ht="36.75" thickBot="1">
      <c r="A49" s="182">
        <v>14</v>
      </c>
      <c r="B49" s="187" t="s">
        <v>52</v>
      </c>
      <c r="C49" s="180" t="s">
        <v>12</v>
      </c>
      <c r="D49" s="185">
        <v>6</v>
      </c>
      <c r="E49" s="178">
        <v>206364</v>
      </c>
      <c r="F49" s="225">
        <f t="shared" si="3"/>
        <v>1238184</v>
      </c>
      <c r="G49" s="177"/>
      <c r="H49" s="213">
        <f t="shared" si="1"/>
        <v>245573.16</v>
      </c>
      <c r="I49" s="213">
        <f t="shared" si="2"/>
        <v>1473438.96</v>
      </c>
    </row>
    <row r="50" spans="1:9" ht="13.5" thickBot="1">
      <c r="A50" s="182">
        <v>15</v>
      </c>
      <c r="B50" s="186" t="s">
        <v>21</v>
      </c>
      <c r="C50" s="180" t="s">
        <v>12</v>
      </c>
      <c r="D50" s="185">
        <v>5</v>
      </c>
      <c r="E50" s="178">
        <v>17400</v>
      </c>
      <c r="F50" s="225">
        <f t="shared" si="3"/>
        <v>87000</v>
      </c>
      <c r="G50" s="177"/>
      <c r="H50" s="213">
        <f t="shared" si="1"/>
        <v>20706</v>
      </c>
      <c r="I50" s="213">
        <f t="shared" si="2"/>
        <v>103530</v>
      </c>
    </row>
    <row r="51" spans="1:9" ht="13.5" thickBot="1">
      <c r="A51" s="182">
        <v>16</v>
      </c>
      <c r="B51" s="186" t="s">
        <v>53</v>
      </c>
      <c r="C51" s="180" t="s">
        <v>12</v>
      </c>
      <c r="D51" s="185">
        <v>1</v>
      </c>
      <c r="E51" s="178">
        <v>34104</v>
      </c>
      <c r="F51" s="225">
        <f t="shared" si="3"/>
        <v>34104</v>
      </c>
      <c r="G51" s="177"/>
      <c r="H51" s="213">
        <f t="shared" si="1"/>
        <v>40583.760000000002</v>
      </c>
      <c r="I51" s="213">
        <f t="shared" si="2"/>
        <v>40583.760000000002</v>
      </c>
    </row>
    <row r="52" spans="1:9" ht="24.75" thickBot="1">
      <c r="A52" s="182">
        <v>17</v>
      </c>
      <c r="B52" s="181" t="s">
        <v>54</v>
      </c>
      <c r="C52" s="180" t="s">
        <v>12</v>
      </c>
      <c r="D52" s="185">
        <v>1</v>
      </c>
      <c r="E52" s="178">
        <v>175392</v>
      </c>
      <c r="F52" s="225">
        <f t="shared" si="3"/>
        <v>175392</v>
      </c>
      <c r="G52" s="177"/>
      <c r="H52" s="213">
        <f t="shared" si="1"/>
        <v>208716.48</v>
      </c>
      <c r="I52" s="213">
        <f t="shared" si="2"/>
        <v>208716.48</v>
      </c>
    </row>
    <row r="53" spans="1:9" ht="24.75" thickBot="1">
      <c r="A53" s="182">
        <v>18</v>
      </c>
      <c r="B53" s="181" t="s">
        <v>55</v>
      </c>
      <c r="C53" s="180" t="s">
        <v>12</v>
      </c>
      <c r="D53" s="185">
        <v>1</v>
      </c>
      <c r="E53" s="178">
        <v>159732</v>
      </c>
      <c r="F53" s="225">
        <f t="shared" si="3"/>
        <v>159732</v>
      </c>
      <c r="G53" s="177"/>
      <c r="H53" s="213">
        <f t="shared" si="1"/>
        <v>190081.08</v>
      </c>
      <c r="I53" s="213">
        <f t="shared" si="2"/>
        <v>190081.08</v>
      </c>
    </row>
    <row r="54" spans="1:9" ht="24.75" thickBot="1">
      <c r="A54" s="182">
        <v>19</v>
      </c>
      <c r="B54" s="181" t="s">
        <v>56</v>
      </c>
      <c r="C54" s="180" t="s">
        <v>12</v>
      </c>
      <c r="D54" s="185">
        <v>1</v>
      </c>
      <c r="E54" s="178">
        <v>135720</v>
      </c>
      <c r="F54" s="225">
        <f t="shared" si="3"/>
        <v>135720</v>
      </c>
      <c r="G54" s="177"/>
      <c r="H54" s="213">
        <f t="shared" si="1"/>
        <v>161506.79999999999</v>
      </c>
      <c r="I54" s="213">
        <f t="shared" si="2"/>
        <v>161506.79999999999</v>
      </c>
    </row>
    <row r="55" spans="1:9" ht="24.75" thickBot="1">
      <c r="A55" s="182">
        <v>20</v>
      </c>
      <c r="B55" s="181" t="s">
        <v>57</v>
      </c>
      <c r="C55" s="180" t="s">
        <v>14</v>
      </c>
      <c r="D55" s="185">
        <v>1</v>
      </c>
      <c r="E55" s="178">
        <v>279096</v>
      </c>
      <c r="F55" s="225">
        <f t="shared" si="3"/>
        <v>279096</v>
      </c>
      <c r="G55" s="177"/>
      <c r="H55" s="213">
        <f t="shared" si="1"/>
        <v>332124.24</v>
      </c>
      <c r="I55" s="213">
        <f t="shared" si="2"/>
        <v>332124.24</v>
      </c>
    </row>
    <row r="56" spans="1:9" ht="24.75" thickBot="1">
      <c r="A56" s="182">
        <v>21</v>
      </c>
      <c r="B56" s="181" t="s">
        <v>58</v>
      </c>
      <c r="C56" s="180" t="s">
        <v>14</v>
      </c>
      <c r="D56" s="185">
        <v>1</v>
      </c>
      <c r="E56" s="178">
        <v>259260</v>
      </c>
      <c r="F56" s="225">
        <f t="shared" si="3"/>
        <v>259260</v>
      </c>
      <c r="G56" s="177"/>
      <c r="H56" s="213">
        <f t="shared" si="1"/>
        <v>308519.40000000002</v>
      </c>
      <c r="I56" s="213">
        <f t="shared" si="2"/>
        <v>308519.40000000002</v>
      </c>
    </row>
    <row r="57" spans="1:9" ht="13.5" thickBot="1">
      <c r="A57" s="182">
        <v>22</v>
      </c>
      <c r="B57" s="181" t="s">
        <v>59</v>
      </c>
      <c r="C57" s="180" t="s">
        <v>14</v>
      </c>
      <c r="D57" s="185">
        <v>6</v>
      </c>
      <c r="E57" s="178">
        <v>174000</v>
      </c>
      <c r="F57" s="225">
        <f t="shared" si="3"/>
        <v>1044000</v>
      </c>
      <c r="G57" s="177"/>
      <c r="H57" s="213">
        <f t="shared" si="1"/>
        <v>207060</v>
      </c>
      <c r="I57" s="213">
        <f t="shared" si="2"/>
        <v>1242360</v>
      </c>
    </row>
    <row r="58" spans="1:9" ht="13.5" thickBot="1">
      <c r="A58" s="182">
        <v>23</v>
      </c>
      <c r="B58" s="181" t="s">
        <v>24</v>
      </c>
      <c r="C58" s="180" t="s">
        <v>14</v>
      </c>
      <c r="D58" s="185">
        <v>2</v>
      </c>
      <c r="E58" s="178">
        <v>208800</v>
      </c>
      <c r="F58" s="225">
        <f t="shared" si="3"/>
        <v>417600</v>
      </c>
      <c r="G58" s="177"/>
      <c r="H58" s="213">
        <f t="shared" si="1"/>
        <v>248472</v>
      </c>
      <c r="I58" s="213">
        <f t="shared" si="2"/>
        <v>496944</v>
      </c>
    </row>
    <row r="59" spans="1:9" ht="24.75" thickBot="1">
      <c r="A59" s="182">
        <v>24</v>
      </c>
      <c r="B59" s="181" t="s">
        <v>60</v>
      </c>
      <c r="C59" s="180" t="s">
        <v>14</v>
      </c>
      <c r="D59" s="185">
        <v>6</v>
      </c>
      <c r="E59" s="178">
        <v>109620</v>
      </c>
      <c r="F59" s="225">
        <f t="shared" si="3"/>
        <v>657720</v>
      </c>
      <c r="G59" s="177"/>
      <c r="H59" s="213">
        <f t="shared" si="1"/>
        <v>130447.8</v>
      </c>
      <c r="I59" s="213">
        <f t="shared" si="2"/>
        <v>782686.8</v>
      </c>
    </row>
    <row r="60" spans="1:9" ht="24.75" thickBot="1">
      <c r="A60" s="182">
        <v>25</v>
      </c>
      <c r="B60" s="181" t="s">
        <v>25</v>
      </c>
      <c r="C60" s="180" t="s">
        <v>14</v>
      </c>
      <c r="D60" s="185">
        <v>2</v>
      </c>
      <c r="E60" s="178">
        <v>120060</v>
      </c>
      <c r="F60" s="225">
        <f t="shared" si="3"/>
        <v>240120</v>
      </c>
      <c r="G60" s="177"/>
      <c r="H60" s="213">
        <f t="shared" si="1"/>
        <v>142871.4</v>
      </c>
      <c r="I60" s="213">
        <f t="shared" si="2"/>
        <v>285742.8</v>
      </c>
    </row>
    <row r="61" spans="1:9" ht="72.75" thickBot="1">
      <c r="A61" s="183">
        <v>26</v>
      </c>
      <c r="B61" s="181" t="s">
        <v>61</v>
      </c>
      <c r="C61" s="180" t="s">
        <v>43</v>
      </c>
      <c r="D61" s="185">
        <v>1</v>
      </c>
      <c r="E61" s="178">
        <v>1600000</v>
      </c>
      <c r="F61" s="225">
        <f t="shared" si="3"/>
        <v>1600000</v>
      </c>
      <c r="G61" s="177"/>
      <c r="H61" s="213">
        <f t="shared" si="1"/>
        <v>1904000</v>
      </c>
      <c r="I61" s="213">
        <f t="shared" si="2"/>
        <v>1904000</v>
      </c>
    </row>
    <row r="62" spans="1:9" ht="36.75" thickBot="1">
      <c r="A62" s="182">
        <v>27</v>
      </c>
      <c r="B62" s="181" t="s">
        <v>62</v>
      </c>
      <c r="C62" s="180" t="s">
        <v>14</v>
      </c>
      <c r="D62" s="185">
        <v>8</v>
      </c>
      <c r="E62" s="178">
        <v>309068</v>
      </c>
      <c r="F62" s="225">
        <f t="shared" si="3"/>
        <v>2472544</v>
      </c>
      <c r="G62" s="177"/>
      <c r="H62" s="213">
        <f t="shared" si="1"/>
        <v>367790.92</v>
      </c>
      <c r="I62" s="213">
        <f t="shared" si="2"/>
        <v>2942327.36</v>
      </c>
    </row>
    <row r="63" spans="1:9" ht="24.75" thickBot="1">
      <c r="A63" s="182">
        <v>28</v>
      </c>
      <c r="B63" s="181" t="s">
        <v>63</v>
      </c>
      <c r="C63" s="180" t="s">
        <v>12</v>
      </c>
      <c r="D63" s="185">
        <v>2</v>
      </c>
      <c r="E63" s="178">
        <v>247428</v>
      </c>
      <c r="F63" s="225">
        <f t="shared" si="3"/>
        <v>494856</v>
      </c>
      <c r="G63" s="177"/>
      <c r="H63" s="213">
        <f t="shared" si="1"/>
        <v>294439.32</v>
      </c>
      <c r="I63" s="213">
        <f t="shared" si="2"/>
        <v>588878.64</v>
      </c>
    </row>
    <row r="64" spans="1:9" ht="24.75" thickBot="1">
      <c r="A64" s="182">
        <v>29</v>
      </c>
      <c r="B64" s="181" t="s">
        <v>64</v>
      </c>
      <c r="C64" s="180" t="s">
        <v>14</v>
      </c>
      <c r="D64" s="185">
        <v>1</v>
      </c>
      <c r="E64" s="178">
        <v>432912</v>
      </c>
      <c r="F64" s="225">
        <f t="shared" si="3"/>
        <v>432912</v>
      </c>
      <c r="G64" s="177"/>
      <c r="H64" s="213">
        <f t="shared" si="1"/>
        <v>515165.28</v>
      </c>
      <c r="I64" s="213">
        <f t="shared" si="2"/>
        <v>515165.28</v>
      </c>
    </row>
    <row r="65" spans="1:9" ht="24.75" thickBot="1">
      <c r="A65" s="182">
        <v>30</v>
      </c>
      <c r="B65" s="181" t="s">
        <v>65</v>
      </c>
      <c r="C65" s="180" t="s">
        <v>14</v>
      </c>
      <c r="D65" s="185">
        <v>2</v>
      </c>
      <c r="E65" s="178">
        <v>279270</v>
      </c>
      <c r="F65" s="225">
        <f t="shared" si="3"/>
        <v>558540</v>
      </c>
      <c r="G65" s="177"/>
      <c r="H65" s="213">
        <f t="shared" si="1"/>
        <v>332331.3</v>
      </c>
      <c r="I65" s="213">
        <f t="shared" si="2"/>
        <v>664662.6</v>
      </c>
    </row>
    <row r="66" spans="1:9" ht="36.75" thickBot="1">
      <c r="A66" s="182">
        <v>31</v>
      </c>
      <c r="B66" s="181" t="s">
        <v>66</v>
      </c>
      <c r="C66" s="180" t="s">
        <v>12</v>
      </c>
      <c r="D66" s="179">
        <v>5</v>
      </c>
      <c r="E66" s="178">
        <v>171912</v>
      </c>
      <c r="F66" s="225">
        <f t="shared" si="3"/>
        <v>859560</v>
      </c>
      <c r="G66" s="177"/>
      <c r="H66" s="213">
        <f t="shared" si="1"/>
        <v>204575.28</v>
      </c>
      <c r="I66" s="213">
        <f t="shared" si="2"/>
        <v>1022876.4</v>
      </c>
    </row>
    <row r="67" spans="1:9" ht="36.75" thickBot="1">
      <c r="A67" s="182">
        <v>32</v>
      </c>
      <c r="B67" s="187" t="s">
        <v>67</v>
      </c>
      <c r="C67" s="180" t="s">
        <v>12</v>
      </c>
      <c r="D67" s="185">
        <v>3</v>
      </c>
      <c r="E67" s="178">
        <v>171912</v>
      </c>
      <c r="F67" s="225">
        <f t="shared" si="3"/>
        <v>515736</v>
      </c>
      <c r="G67" s="177"/>
      <c r="H67" s="213">
        <f t="shared" si="1"/>
        <v>204575.28</v>
      </c>
      <c r="I67" s="213">
        <f t="shared" si="2"/>
        <v>613725.84</v>
      </c>
    </row>
    <row r="68" spans="1:9" ht="24.75" thickBot="1">
      <c r="A68" s="182">
        <v>33</v>
      </c>
      <c r="B68" s="181" t="s">
        <v>68</v>
      </c>
      <c r="C68" s="180" t="s">
        <v>14</v>
      </c>
      <c r="D68" s="185">
        <v>1</v>
      </c>
      <c r="E68" s="178">
        <v>309024</v>
      </c>
      <c r="F68" s="225">
        <f t="shared" si="3"/>
        <v>309024</v>
      </c>
      <c r="G68" s="177"/>
      <c r="H68" s="213">
        <f t="shared" si="1"/>
        <v>367738.56</v>
      </c>
      <c r="I68" s="213">
        <f t="shared" si="2"/>
        <v>367738.56</v>
      </c>
    </row>
    <row r="69" spans="1:9" ht="13.5" thickBot="1">
      <c r="A69" s="182">
        <v>34</v>
      </c>
      <c r="B69" s="186" t="s">
        <v>21</v>
      </c>
      <c r="C69" s="180" t="s">
        <v>12</v>
      </c>
      <c r="D69" s="179">
        <v>2</v>
      </c>
      <c r="E69" s="178">
        <v>17400</v>
      </c>
      <c r="F69" s="225">
        <f t="shared" si="3"/>
        <v>34800</v>
      </c>
      <c r="G69" s="177"/>
      <c r="H69" s="213">
        <f t="shared" si="1"/>
        <v>20706</v>
      </c>
      <c r="I69" s="213">
        <f t="shared" si="2"/>
        <v>41412</v>
      </c>
    </row>
    <row r="70" spans="1:9" ht="24.75" thickBot="1">
      <c r="A70" s="182">
        <v>35</v>
      </c>
      <c r="B70" s="181" t="s">
        <v>69</v>
      </c>
      <c r="C70" s="180" t="s">
        <v>12</v>
      </c>
      <c r="D70" s="179">
        <v>3</v>
      </c>
      <c r="E70" s="178">
        <v>109620</v>
      </c>
      <c r="F70" s="225">
        <f t="shared" si="3"/>
        <v>328860</v>
      </c>
      <c r="G70" s="177"/>
      <c r="H70" s="213">
        <f t="shared" si="1"/>
        <v>130447.8</v>
      </c>
      <c r="I70" s="213">
        <f t="shared" si="2"/>
        <v>391343.4</v>
      </c>
    </row>
    <row r="71" spans="1:9" ht="72.75" thickBot="1">
      <c r="A71" s="182">
        <v>36</v>
      </c>
      <c r="B71" s="181" t="s">
        <v>70</v>
      </c>
      <c r="C71" s="180" t="s">
        <v>43</v>
      </c>
      <c r="D71" s="185">
        <v>1</v>
      </c>
      <c r="E71" s="178">
        <v>2500000</v>
      </c>
      <c r="F71" s="225">
        <f t="shared" si="3"/>
        <v>2500000</v>
      </c>
      <c r="G71" s="177"/>
      <c r="H71" s="213">
        <f t="shared" si="1"/>
        <v>2975000</v>
      </c>
      <c r="I71" s="213">
        <f t="shared" si="2"/>
        <v>2975000</v>
      </c>
    </row>
    <row r="72" spans="1:9" ht="13.5" thickBot="1">
      <c r="A72" s="183">
        <v>37</v>
      </c>
      <c r="B72" s="181" t="s">
        <v>71</v>
      </c>
      <c r="C72" s="180" t="s">
        <v>12</v>
      </c>
      <c r="D72" s="179">
        <v>2</v>
      </c>
      <c r="E72" s="178">
        <v>1551753</v>
      </c>
      <c r="F72" s="225">
        <f t="shared" si="3"/>
        <v>3103506</v>
      </c>
      <c r="G72" s="177"/>
      <c r="H72" s="213">
        <f t="shared" ref="H72:H80" si="4">+ROUND(E72*1.19,2)</f>
        <v>1846586.07</v>
      </c>
      <c r="I72" s="213">
        <f t="shared" ref="I72:I83" si="5">+D72*H72</f>
        <v>3693172.14</v>
      </c>
    </row>
    <row r="73" spans="1:9" ht="24.75" thickBot="1">
      <c r="A73" s="183">
        <v>38</v>
      </c>
      <c r="B73" s="181" t="s">
        <v>72</v>
      </c>
      <c r="C73" s="180" t="s">
        <v>12</v>
      </c>
      <c r="D73" s="179">
        <v>3</v>
      </c>
      <c r="E73" s="184">
        <v>3238140</v>
      </c>
      <c r="F73" s="225">
        <f t="shared" si="3"/>
        <v>9714420</v>
      </c>
      <c r="G73" s="177"/>
      <c r="H73" s="213">
        <f t="shared" si="4"/>
        <v>3853386.6</v>
      </c>
      <c r="I73" s="213">
        <f t="shared" si="5"/>
        <v>11560159.800000001</v>
      </c>
    </row>
    <row r="74" spans="1:9" ht="13.5" thickBot="1">
      <c r="A74" s="182">
        <v>39</v>
      </c>
      <c r="B74" s="181" t="s">
        <v>73</v>
      </c>
      <c r="C74" s="180" t="s">
        <v>12</v>
      </c>
      <c r="D74" s="179">
        <v>3</v>
      </c>
      <c r="E74" s="178">
        <v>695420</v>
      </c>
      <c r="F74" s="225">
        <f t="shared" si="3"/>
        <v>2086260</v>
      </c>
      <c r="G74" s="177"/>
      <c r="H74" s="213">
        <f t="shared" si="4"/>
        <v>827549.8</v>
      </c>
      <c r="I74" s="213">
        <f t="shared" si="5"/>
        <v>2482649.4000000004</v>
      </c>
    </row>
    <row r="75" spans="1:9" ht="13.5" thickBot="1">
      <c r="A75" s="182">
        <v>40</v>
      </c>
      <c r="B75" s="181" t="s">
        <v>74</v>
      </c>
      <c r="C75" s="180" t="s">
        <v>12</v>
      </c>
      <c r="D75" s="179">
        <v>2</v>
      </c>
      <c r="E75" s="178">
        <v>266655</v>
      </c>
      <c r="F75" s="225">
        <f t="shared" si="3"/>
        <v>533310</v>
      </c>
      <c r="G75" s="177"/>
      <c r="H75" s="213">
        <f t="shared" si="4"/>
        <v>317319.45</v>
      </c>
      <c r="I75" s="213">
        <f t="shared" si="5"/>
        <v>634638.9</v>
      </c>
    </row>
    <row r="76" spans="1:9" ht="36.75" thickBot="1">
      <c r="A76" s="183">
        <v>41</v>
      </c>
      <c r="B76" s="181" t="s">
        <v>75</v>
      </c>
      <c r="C76" s="180" t="s">
        <v>43</v>
      </c>
      <c r="D76" s="179">
        <v>1</v>
      </c>
      <c r="E76" s="178">
        <v>300000</v>
      </c>
      <c r="F76" s="225">
        <f t="shared" si="3"/>
        <v>300000</v>
      </c>
      <c r="G76" s="177"/>
      <c r="H76" s="213">
        <f t="shared" si="4"/>
        <v>357000</v>
      </c>
      <c r="I76" s="213">
        <f t="shared" si="5"/>
        <v>357000</v>
      </c>
    </row>
    <row r="77" spans="1:9" ht="13.5" thickBot="1">
      <c r="A77" s="182">
        <v>42</v>
      </c>
      <c r="B77" s="181" t="s">
        <v>76</v>
      </c>
      <c r="C77" s="180" t="s">
        <v>12</v>
      </c>
      <c r="D77" s="179">
        <v>1</v>
      </c>
      <c r="E77" s="178">
        <v>287260</v>
      </c>
      <c r="F77" s="225">
        <f t="shared" si="3"/>
        <v>287260</v>
      </c>
      <c r="G77" s="177"/>
      <c r="H77" s="213">
        <f t="shared" si="4"/>
        <v>341839.4</v>
      </c>
      <c r="I77" s="213">
        <f t="shared" si="5"/>
        <v>341839.4</v>
      </c>
    </row>
    <row r="78" spans="1:9" ht="13.5" thickBot="1">
      <c r="A78" s="182">
        <v>43</v>
      </c>
      <c r="B78" s="181" t="s">
        <v>77</v>
      </c>
      <c r="C78" s="180" t="s">
        <v>12</v>
      </c>
      <c r="D78" s="179">
        <v>4</v>
      </c>
      <c r="E78" s="178">
        <v>131950</v>
      </c>
      <c r="F78" s="225">
        <f t="shared" si="3"/>
        <v>527800</v>
      </c>
      <c r="G78" s="177"/>
      <c r="H78" s="213">
        <f t="shared" si="4"/>
        <v>157020.5</v>
      </c>
      <c r="I78" s="213">
        <f t="shared" si="5"/>
        <v>628082</v>
      </c>
    </row>
    <row r="79" spans="1:9" ht="13.5" thickBot="1">
      <c r="A79" s="182">
        <v>44</v>
      </c>
      <c r="B79" s="181" t="s">
        <v>78</v>
      </c>
      <c r="C79" s="180" t="s">
        <v>12</v>
      </c>
      <c r="D79" s="179">
        <v>3</v>
      </c>
      <c r="E79" s="178">
        <v>92075</v>
      </c>
      <c r="F79" s="225">
        <f t="shared" si="3"/>
        <v>276225</v>
      </c>
      <c r="G79" s="177"/>
      <c r="H79" s="213">
        <f t="shared" si="4"/>
        <v>109569.25</v>
      </c>
      <c r="I79" s="213">
        <f t="shared" si="5"/>
        <v>328707.75</v>
      </c>
    </row>
    <row r="80" spans="1:9" ht="13.5" thickBot="1">
      <c r="A80" s="176">
        <v>45</v>
      </c>
      <c r="B80" s="175" t="s">
        <v>79</v>
      </c>
      <c r="C80" s="174" t="s">
        <v>12</v>
      </c>
      <c r="D80" s="173">
        <v>1</v>
      </c>
      <c r="E80" s="172">
        <v>500000</v>
      </c>
      <c r="F80" s="227">
        <f t="shared" si="3"/>
        <v>500000</v>
      </c>
      <c r="G80" s="171"/>
      <c r="H80" s="215">
        <f t="shared" si="4"/>
        <v>595000</v>
      </c>
      <c r="I80" s="215">
        <f t="shared" si="5"/>
        <v>595000</v>
      </c>
    </row>
    <row r="81" spans="1:9" ht="13.5" thickBot="1">
      <c r="A81" s="1104" t="s">
        <v>36</v>
      </c>
      <c r="B81" s="1105"/>
      <c r="C81" s="1105"/>
      <c r="D81" s="1106"/>
      <c r="E81" s="170"/>
      <c r="F81" s="229">
        <f>SUM(F36:F80)</f>
        <v>43566164</v>
      </c>
      <c r="G81" s="169"/>
      <c r="H81" s="217"/>
      <c r="I81" s="217">
        <f t="shared" si="5"/>
        <v>0</v>
      </c>
    </row>
    <row r="82" spans="1:9" ht="13.5" thickBot="1">
      <c r="A82" s="1092" t="s">
        <v>80</v>
      </c>
      <c r="B82" s="1093"/>
      <c r="C82" s="1093"/>
      <c r="D82" s="1093"/>
      <c r="E82" s="1094"/>
      <c r="F82" s="230">
        <f>F81+F34</f>
        <v>97199023</v>
      </c>
      <c r="G82" s="168"/>
      <c r="H82" s="218"/>
      <c r="I82" s="218">
        <f t="shared" si="5"/>
        <v>0</v>
      </c>
    </row>
    <row r="83" spans="1:9" ht="13.5" thickBot="1">
      <c r="A83" s="1095" t="s">
        <v>81</v>
      </c>
      <c r="B83" s="1096"/>
      <c r="C83" s="1096"/>
      <c r="D83" s="1096"/>
      <c r="E83" s="1096"/>
      <c r="F83" s="231">
        <f>F82*0.19</f>
        <v>18467814.370000001</v>
      </c>
      <c r="G83" s="167"/>
      <c r="H83" s="219"/>
      <c r="I83" s="219">
        <f t="shared" si="5"/>
        <v>0</v>
      </c>
    </row>
    <row r="84" spans="1:9" ht="13.5" thickBot="1">
      <c r="A84" s="1097" t="s">
        <v>82</v>
      </c>
      <c r="B84" s="1098"/>
      <c r="C84" s="1098"/>
      <c r="D84" s="1098"/>
      <c r="E84" s="1099"/>
      <c r="F84" s="232">
        <f>F82+F83</f>
        <v>115666837.37</v>
      </c>
      <c r="G84" s="166"/>
      <c r="H84" s="220"/>
      <c r="I84" s="220"/>
    </row>
  </sheetData>
  <mergeCells count="10">
    <mergeCell ref="A1:F1"/>
    <mergeCell ref="A2:F2"/>
    <mergeCell ref="A3:F3"/>
    <mergeCell ref="A34:D34"/>
    <mergeCell ref="A6:F6"/>
    <mergeCell ref="A82:E82"/>
    <mergeCell ref="A83:E83"/>
    <mergeCell ref="A84:E84"/>
    <mergeCell ref="A35:F35"/>
    <mergeCell ref="A81:D81"/>
  </mergeCells>
  <pageMargins left="0.75" right="0.75" top="1" bottom="1" header="0" footer="0"/>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5"/>
  <sheetViews>
    <sheetView showZeros="0" zoomScale="80" zoomScaleNormal="80" workbookViewId="0">
      <selection activeCell="E18" sqref="E18"/>
    </sheetView>
  </sheetViews>
  <sheetFormatPr baseColWidth="10" defaultColWidth="11.42578125" defaultRowHeight="12.75"/>
  <cols>
    <col min="1" max="1" width="11.42578125" style="3"/>
    <col min="2" max="2" width="86.85546875" style="77" customWidth="1"/>
    <col min="3" max="3" width="10.42578125" style="78" customWidth="1"/>
    <col min="4" max="4" width="10.42578125" style="79" customWidth="1"/>
    <col min="5" max="5" width="13.28515625" style="79" customWidth="1"/>
    <col min="6" max="6" width="20.28515625" style="80" customWidth="1"/>
    <col min="7" max="8" width="17.42578125" style="81" customWidth="1"/>
    <col min="9" max="9" width="14" style="81" customWidth="1"/>
    <col min="10" max="10" width="17.42578125" style="81" customWidth="1"/>
    <col min="11" max="11" width="18.7109375" style="81" customWidth="1"/>
    <col min="12" max="12" width="23" style="81" customWidth="1"/>
    <col min="13" max="13" width="45.7109375" style="81" customWidth="1"/>
    <col min="14" max="14" width="11.42578125" style="81"/>
    <col min="15" max="21" width="11.42578125" style="65"/>
    <col min="22" max="16384" width="11.42578125" style="66"/>
  </cols>
  <sheetData>
    <row r="1" spans="1:21">
      <c r="A1" s="76" t="e">
        <f>+#REF!</f>
        <v>#REF!</v>
      </c>
    </row>
    <row r="2" spans="1:21" ht="13.5" thickBot="1">
      <c r="A2" s="76" t="s">
        <v>83</v>
      </c>
    </row>
    <row r="3" spans="1:21" ht="13.5" thickBot="1">
      <c r="A3" s="82"/>
      <c r="B3" s="83"/>
      <c r="C3" s="84"/>
      <c r="D3" s="85"/>
      <c r="E3" s="1113" t="s">
        <v>84</v>
      </c>
      <c r="F3" s="1116"/>
      <c r="G3" s="1116"/>
      <c r="H3" s="1115"/>
      <c r="I3" s="1113" t="s">
        <v>85</v>
      </c>
      <c r="J3" s="1114"/>
      <c r="K3" s="1115"/>
      <c r="L3" s="86"/>
      <c r="M3" s="86"/>
    </row>
    <row r="4" spans="1:21" ht="39" thickBot="1">
      <c r="A4" s="87" t="s">
        <v>2</v>
      </c>
      <c r="B4" s="88" t="s">
        <v>86</v>
      </c>
      <c r="C4" s="88" t="s">
        <v>4</v>
      </c>
      <c r="D4" s="89" t="s">
        <v>87</v>
      </c>
      <c r="E4" s="90" t="s">
        <v>88</v>
      </c>
      <c r="F4" s="91" t="s">
        <v>89</v>
      </c>
      <c r="G4" s="92" t="s">
        <v>90</v>
      </c>
      <c r="H4" s="89" t="s">
        <v>91</v>
      </c>
      <c r="I4" s="90" t="s">
        <v>88</v>
      </c>
      <c r="J4" s="92" t="s">
        <v>90</v>
      </c>
      <c r="K4" s="89" t="s">
        <v>91</v>
      </c>
      <c r="L4" s="93" t="s">
        <v>92</v>
      </c>
      <c r="M4" s="93" t="s">
        <v>93</v>
      </c>
    </row>
    <row r="5" spans="1:21" ht="51">
      <c r="A5" s="94" t="str">
        <f>+PRESUPUESTO!B75</f>
        <v>13.1.</v>
      </c>
      <c r="B5" s="95" t="str">
        <f>+PRESUPUESTO!C75</f>
        <v>Suministro e instalación de puerta enrrollable eléctrica de fleje cerrado calibre 22 con pintura electrostática, operador hulk uso industrial, con botonera pesada de control, posibilidad de apertura manual, con dos (2) fotoceldas antiaplastamiento Tamaño del vano (paso libre) de 2.15 ancho x 2.35 alto. La altura libre del espacio es de 2.87 m. Plano No. 4</v>
      </c>
      <c r="C5" s="96" t="str">
        <f>+PRESUPUESTO!D75</f>
        <v>UN</v>
      </c>
      <c r="D5" s="97">
        <f>+PRESUPUESTO!E75</f>
        <v>1</v>
      </c>
      <c r="E5" s="98">
        <v>320000</v>
      </c>
      <c r="F5" s="99">
        <v>320000</v>
      </c>
      <c r="G5" s="100">
        <f>+F5*(1+F19)</f>
        <v>383028.01435310097</v>
      </c>
      <c r="H5" s="101">
        <f>+(G5/(0.9*0.8))</f>
        <v>531983.35326819576</v>
      </c>
      <c r="I5" s="102">
        <v>354000</v>
      </c>
      <c r="J5" s="103">
        <f>+D5*I5</f>
        <v>354000</v>
      </c>
      <c r="K5" s="101">
        <f>+J5/(0.9*0.8)</f>
        <v>491666.66666666663</v>
      </c>
      <c r="L5" s="104">
        <f>+ROUND(AVERAGE(G5,J5),0)</f>
        <v>368514</v>
      </c>
      <c r="M5" s="104"/>
    </row>
    <row r="6" spans="1:21" ht="76.5">
      <c r="A6" s="105" t="str">
        <f>+PRESUPUESTO!B84</f>
        <v>14.6.</v>
      </c>
      <c r="B6" s="106" t="str">
        <f>+PRESUPUESTO!C84</f>
        <v xml:space="preserve">Tapa en lámina alfajor (trampa de grasas) de 1/8" doblada en "C"  de 2.05 x 1.10 cm  aprox.  Dos compartimientos cada uno de dos hojas de 0.86 x 0.43 m aprox con contramarco de 1 1/4"  espesor 3/16"embebido con uñas de anclaje; Cada hoja con dos bisagras de pistón laterales de apertura 180° cada hoja,  manija soldada pibotadas sobrepuesta en la tapa, tapa luz en platina de 1" de 1/8",  anticorrosivo y dos manos de pintura esmalte. Plano No. 8
</v>
      </c>
      <c r="C6" s="107" t="str">
        <f>+PRESUPUESTO!D84</f>
        <v>ML</v>
      </c>
      <c r="D6" s="108">
        <f>+PRESUPUESTO!E84</f>
        <v>1</v>
      </c>
      <c r="E6" s="109">
        <v>5540869</v>
      </c>
      <c r="F6" s="110">
        <f>+D6*E6</f>
        <v>5540869</v>
      </c>
      <c r="G6" s="111">
        <f>+F6*(1+$F$19)</f>
        <v>6632212.6589395376</v>
      </c>
      <c r="H6" s="112">
        <f>+G6/(1.4*2.45)</f>
        <v>1933589.6964838302</v>
      </c>
      <c r="I6" s="113"/>
      <c r="J6" s="114"/>
      <c r="K6" s="112">
        <f t="shared" ref="K6:K9" si="0">+D6*I6</f>
        <v>0</v>
      </c>
      <c r="L6" s="115">
        <f>+G6</f>
        <v>6632212.6589395376</v>
      </c>
      <c r="M6" s="115"/>
    </row>
    <row r="7" spans="1:21" ht="51">
      <c r="A7" s="105" t="str">
        <f>+PRESUPUESTO!B85</f>
        <v>14.7.</v>
      </c>
      <c r="B7" s="106" t="str">
        <f>+PRESUPUESTO!C85</f>
        <v>Arreglo de cerramiento y puerta vehicular en reja  conformada por perfiles  tubulares 76  x 38 mm, ángulos 60 x 40 mm altura 2,15 m Incluye cambio de perfiles y angulos  corroidos, cambio de rodamientos y ruedas de pista, cambio de topes, anclajes y cualquier elemento corroido para dejar en correcto estado de funcionamiento</v>
      </c>
      <c r="C7" s="107" t="str">
        <f>+PRESUPUESTO!D85</f>
        <v>M2</v>
      </c>
      <c r="D7" s="108">
        <f>+PRESUPUESTO!E85</f>
        <v>52</v>
      </c>
      <c r="E7" s="116">
        <v>5791257</v>
      </c>
      <c r="F7" s="110">
        <f>+D7*E7</f>
        <v>301145364</v>
      </c>
      <c r="G7" s="111">
        <f>+F7*(1+$F$19)</f>
        <v>360459721.26425564</v>
      </c>
      <c r="H7" s="112">
        <f>+G7/(1.5*2.45)</f>
        <v>98084277.895035535</v>
      </c>
      <c r="I7" s="113"/>
      <c r="J7" s="114"/>
      <c r="K7" s="112">
        <f t="shared" si="0"/>
        <v>0</v>
      </c>
      <c r="L7" s="115">
        <f>+G7</f>
        <v>360459721.26425564</v>
      </c>
      <c r="M7" s="115"/>
    </row>
    <row r="8" spans="1:21">
      <c r="A8" s="105"/>
      <c r="B8" s="106"/>
      <c r="C8" s="107"/>
      <c r="D8" s="108"/>
      <c r="E8" s="109"/>
      <c r="F8" s="110"/>
      <c r="G8" s="111"/>
      <c r="H8" s="112"/>
      <c r="I8" s="113"/>
      <c r="J8" s="114"/>
      <c r="K8" s="112">
        <f t="shared" si="0"/>
        <v>0</v>
      </c>
      <c r="L8" s="115"/>
      <c r="M8" s="115"/>
    </row>
    <row r="9" spans="1:21" ht="89.25">
      <c r="A9" s="105" t="str">
        <f>+PRESUPUESTO!B76</f>
        <v>13.2.</v>
      </c>
      <c r="B9" s="106" t="str">
        <f>+PRESUPUESTO!C76</f>
        <v>Suministro e instalación de puerta  automatica  sencilla de 1 hoja corrediza lateral en vidrio laminado 5+5 templado con PVB color hielo, operador (Componente de automatismo de la puerta:  motor, programación,  carros deslizantes, riel, baterias, tarjeta electrónica, pestillo (Seguro) electromecánico, banda deslizante, correas, poleas, ets.), zocalos inferior y superior en aluminio, con sensores de movimiento de entrada y salida, fotoceldas de seguridad, baterías de respaldo, dos controles remotos, selector de llave de cuatro posiciones.  Tamaño Vano (paso libre) ancho 1.50 m y alto 2.35 m. Acceso morgue. Plano No. 5</v>
      </c>
      <c r="C9" s="107"/>
      <c r="D9" s="108"/>
      <c r="E9" s="109"/>
      <c r="F9" s="110"/>
      <c r="G9" s="111"/>
      <c r="H9" s="112"/>
      <c r="I9" s="113"/>
      <c r="J9" s="114"/>
      <c r="K9" s="112">
        <f t="shared" si="0"/>
        <v>0</v>
      </c>
      <c r="L9" s="115"/>
      <c r="M9" s="115"/>
    </row>
    <row r="10" spans="1:21">
      <c r="A10" s="105"/>
      <c r="B10" s="106" t="s">
        <v>94</v>
      </c>
      <c r="C10" s="107" t="s">
        <v>95</v>
      </c>
      <c r="D10" s="108">
        <v>2</v>
      </c>
      <c r="E10" s="109">
        <v>216000</v>
      </c>
      <c r="F10" s="110">
        <f>+D10*E10</f>
        <v>432000</v>
      </c>
      <c r="G10" s="111">
        <f>+F10*(1+$F$19)</f>
        <v>517087.8193766863</v>
      </c>
      <c r="H10" s="112">
        <f>+G10/(2*1.5*0.8)</f>
        <v>215453.25807361925</v>
      </c>
      <c r="I10" s="113">
        <f>264000/2</f>
        <v>132000</v>
      </c>
      <c r="J10" s="114">
        <f>+D10*I10</f>
        <v>264000</v>
      </c>
      <c r="K10" s="112">
        <f>+J10/(2*1.5*0.8)</f>
        <v>109999.99999999999</v>
      </c>
      <c r="L10" s="115">
        <f>+AVERAGE(K10)</f>
        <v>109999.99999999999</v>
      </c>
      <c r="M10" s="1117" t="s">
        <v>96</v>
      </c>
    </row>
    <row r="11" spans="1:21">
      <c r="A11" s="105"/>
      <c r="B11" s="106" t="s">
        <v>97</v>
      </c>
      <c r="C11" s="107" t="s">
        <v>95</v>
      </c>
      <c r="D11" s="108">
        <v>2</v>
      </c>
      <c r="E11" s="109">
        <v>81000</v>
      </c>
      <c r="F11" s="110">
        <f t="shared" ref="F11:F12" si="1">+D11*E11</f>
        <v>162000</v>
      </c>
      <c r="G11" s="111">
        <f>+F11*(1+$F$19)</f>
        <v>193907.93226625735</v>
      </c>
      <c r="H11" s="112">
        <f>+G11/(2*0.45)</f>
        <v>215453.25807361928</v>
      </c>
      <c r="I11" s="113">
        <v>49500</v>
      </c>
      <c r="J11" s="114">
        <f t="shared" ref="J11:J12" si="2">+D11*I11</f>
        <v>99000</v>
      </c>
      <c r="K11" s="112">
        <f>+J11/(2*1.5*0.3)</f>
        <v>110000.00000000001</v>
      </c>
      <c r="L11" s="115">
        <f t="shared" ref="L11:L12" si="3">+AVERAGE(K11)</f>
        <v>110000.00000000001</v>
      </c>
      <c r="M11" s="1118"/>
    </row>
    <row r="12" spans="1:21">
      <c r="A12" s="105"/>
      <c r="B12" s="106" t="s">
        <v>98</v>
      </c>
      <c r="C12" s="107" t="s">
        <v>95</v>
      </c>
      <c r="D12" s="108">
        <v>1</v>
      </c>
      <c r="E12" s="109">
        <v>45900</v>
      </c>
      <c r="F12" s="110">
        <f t="shared" si="1"/>
        <v>45900</v>
      </c>
      <c r="G12" s="111">
        <f>+F12*(1+$F$19)</f>
        <v>54940.580808772916</v>
      </c>
      <c r="H12" s="112">
        <f>+G12/0.26</f>
        <v>211309.92618758813</v>
      </c>
      <c r="I12" s="113">
        <f>56100/2</f>
        <v>28050</v>
      </c>
      <c r="J12" s="114">
        <f t="shared" si="2"/>
        <v>28050</v>
      </c>
      <c r="K12" s="112">
        <f>+J12/(0.85*0.3)</f>
        <v>110000</v>
      </c>
      <c r="L12" s="115">
        <f t="shared" si="3"/>
        <v>110000</v>
      </c>
      <c r="M12" s="1119"/>
    </row>
    <row r="13" spans="1:21">
      <c r="A13" s="105"/>
      <c r="B13" s="106"/>
      <c r="C13" s="107"/>
      <c r="D13" s="108"/>
      <c r="E13" s="109"/>
      <c r="F13" s="110"/>
      <c r="G13" s="111"/>
      <c r="H13" s="112"/>
      <c r="I13" s="113"/>
      <c r="J13" s="114"/>
      <c r="K13" s="112"/>
      <c r="L13" s="115"/>
      <c r="M13" s="115"/>
    </row>
    <row r="14" spans="1:21">
      <c r="A14" s="105"/>
      <c r="B14" s="117" t="s">
        <v>99</v>
      </c>
      <c r="C14" s="107"/>
      <c r="D14" s="108"/>
      <c r="E14" s="109"/>
      <c r="F14" s="118">
        <f>+SUM(F5:F12)</f>
        <v>307646133</v>
      </c>
      <c r="G14" s="111"/>
      <c r="H14" s="112"/>
      <c r="I14" s="113"/>
      <c r="J14" s="114"/>
      <c r="K14" s="112"/>
      <c r="L14" s="115"/>
      <c r="M14" s="115"/>
    </row>
    <row r="15" spans="1:21">
      <c r="A15" s="105"/>
      <c r="B15" s="106" t="s">
        <v>100</v>
      </c>
      <c r="C15" s="107"/>
      <c r="D15" s="108"/>
      <c r="E15" s="109"/>
      <c r="F15" s="110">
        <v>1800000</v>
      </c>
      <c r="G15" s="111"/>
      <c r="H15" s="112"/>
      <c r="I15" s="113"/>
      <c r="J15" s="114"/>
      <c r="K15" s="112"/>
      <c r="L15" s="115"/>
      <c r="M15" s="115"/>
    </row>
    <row r="16" spans="1:21" s="64" customFormat="1">
      <c r="A16" s="119"/>
      <c r="B16" s="117" t="s">
        <v>101</v>
      </c>
      <c r="C16" s="120"/>
      <c r="D16" s="121"/>
      <c r="E16" s="122"/>
      <c r="F16" s="118">
        <f>+F14+F15</f>
        <v>309446133</v>
      </c>
      <c r="G16" s="123"/>
      <c r="H16" s="124"/>
      <c r="I16" s="125"/>
      <c r="J16" s="126"/>
      <c r="K16" s="124"/>
      <c r="L16" s="127"/>
      <c r="M16" s="127"/>
      <c r="N16" s="128"/>
      <c r="O16" s="75"/>
      <c r="P16" s="75"/>
      <c r="Q16" s="75"/>
      <c r="R16" s="75"/>
      <c r="S16" s="75"/>
      <c r="T16" s="75"/>
      <c r="U16" s="75"/>
    </row>
    <row r="17" spans="1:21">
      <c r="A17" s="105"/>
      <c r="B17" s="106" t="s">
        <v>102</v>
      </c>
      <c r="C17" s="129">
        <v>0.19</v>
      </c>
      <c r="D17" s="108"/>
      <c r="E17" s="109"/>
      <c r="F17" s="110">
        <f>+F16*C17</f>
        <v>58794765.270000003</v>
      </c>
      <c r="G17" s="111"/>
      <c r="H17" s="112"/>
      <c r="I17" s="113"/>
      <c r="J17" s="114"/>
      <c r="K17" s="112"/>
      <c r="L17" s="115"/>
      <c r="M17" s="115"/>
    </row>
    <row r="18" spans="1:21" s="64" customFormat="1">
      <c r="A18" s="119"/>
      <c r="B18" s="117" t="s">
        <v>103</v>
      </c>
      <c r="C18" s="120"/>
      <c r="D18" s="121"/>
      <c r="E18" s="122"/>
      <c r="F18" s="118">
        <f>+F16+F17</f>
        <v>368240898.26999998</v>
      </c>
      <c r="G18" s="123">
        <f>+SUM(G4:G12)</f>
        <v>368240898.26999998</v>
      </c>
      <c r="H18" s="124"/>
      <c r="I18" s="125"/>
      <c r="J18" s="126">
        <f>+SUM(J5:J12)</f>
        <v>745050</v>
      </c>
      <c r="K18" s="124"/>
      <c r="L18" s="127"/>
      <c r="M18" s="127"/>
      <c r="N18" s="128"/>
      <c r="O18" s="75"/>
      <c r="P18" s="75"/>
      <c r="Q18" s="75"/>
      <c r="R18" s="75"/>
      <c r="S18" s="75"/>
      <c r="T18" s="75"/>
      <c r="U18" s="75"/>
    </row>
    <row r="19" spans="1:21" ht="13.5" thickBot="1">
      <c r="A19" s="130"/>
      <c r="B19" s="131"/>
      <c r="C19" s="132"/>
      <c r="D19" s="133"/>
      <c r="E19" s="134"/>
      <c r="F19" s="135">
        <f>+F18/F14-1</f>
        <v>0.19696254485344045</v>
      </c>
      <c r="G19" s="136"/>
      <c r="H19" s="137"/>
      <c r="I19" s="138"/>
      <c r="J19" s="139"/>
      <c r="K19" s="137"/>
      <c r="L19" s="140"/>
      <c r="M19" s="140"/>
    </row>
    <row r="21" spans="1:21" ht="13.5" thickBot="1"/>
    <row r="22" spans="1:21" ht="45" customHeight="1" thickBot="1">
      <c r="A22" s="141" t="s">
        <v>2</v>
      </c>
      <c r="B22" s="88" t="s">
        <v>86</v>
      </c>
      <c r="C22" s="88" t="s">
        <v>4</v>
      </c>
      <c r="D22" s="89" t="s">
        <v>87</v>
      </c>
      <c r="E22" s="1108" t="s">
        <v>104</v>
      </c>
      <c r="F22" s="1109"/>
      <c r="G22" s="1109"/>
      <c r="H22" s="1110"/>
      <c r="I22" s="1111" t="s">
        <v>105</v>
      </c>
      <c r="J22" s="1111"/>
      <c r="K22" s="1112"/>
      <c r="L22" s="93" t="s">
        <v>92</v>
      </c>
      <c r="M22" s="93" t="s">
        <v>93</v>
      </c>
    </row>
    <row r="23" spans="1:21" ht="93.75" customHeight="1" thickBot="1">
      <c r="A23" s="142" t="str">
        <f>+PRESUPUESTO!B77</f>
        <v>13.3.</v>
      </c>
      <c r="B23" s="143" t="str">
        <f>+PRESUPUESTO!C77</f>
        <v>Suministro e instalacion de división en vidrio templado 10 mm   altura 2.10 m soportada en postes  de acero inoxidable 2.5" anclados con brida y chazos expansivos a piso y muros.  Incluye soporte de vidrios en acero inoxidable, puerta de hoja sencilla en vidrio templado 10 mm  soportada sobre poste en acero inoxidable 2.5 "con bisagra evolvente, con portacerradura y  cerradura de palanca Yale o Schlage. Recepción clínica. Palno No. 6</v>
      </c>
      <c r="C23" s="144" t="str">
        <f>+PRESUPUESTO!D77</f>
        <v>M2</v>
      </c>
      <c r="D23" s="145">
        <v>1</v>
      </c>
      <c r="E23" s="146">
        <v>15288644</v>
      </c>
      <c r="F23" s="147">
        <f>+D23*E23</f>
        <v>15288644</v>
      </c>
      <c r="G23" s="148">
        <f>+F23</f>
        <v>15288644</v>
      </c>
      <c r="H23" s="149"/>
      <c r="I23" s="150">
        <v>19924170</v>
      </c>
      <c r="J23" s="151">
        <f>+D23*I23</f>
        <v>19924170</v>
      </c>
      <c r="K23" s="149"/>
      <c r="L23" s="152">
        <f>+AVERAGE(G23,J23)</f>
        <v>17606407</v>
      </c>
      <c r="M23" s="152"/>
    </row>
    <row r="24" spans="1:21" ht="45" customHeight="1" thickBot="1">
      <c r="A24" s="141" t="s">
        <v>2</v>
      </c>
      <c r="B24" s="88" t="s">
        <v>86</v>
      </c>
      <c r="C24" s="88" t="s">
        <v>4</v>
      </c>
      <c r="D24" s="89" t="s">
        <v>87</v>
      </c>
      <c r="E24" s="1108" t="s">
        <v>106</v>
      </c>
      <c r="F24" s="1109"/>
      <c r="G24" s="1109"/>
      <c r="H24" s="1110"/>
      <c r="I24" s="1111" t="s">
        <v>107</v>
      </c>
      <c r="J24" s="1111"/>
      <c r="K24" s="1112"/>
      <c r="L24" s="93" t="s">
        <v>92</v>
      </c>
      <c r="M24" s="93" t="s">
        <v>93</v>
      </c>
    </row>
    <row r="25" spans="1:21" ht="39" thickBot="1">
      <c r="A25" s="105" t="str">
        <f>+PRESUPUESTO!B86</f>
        <v>14.8.</v>
      </c>
      <c r="B25" s="106" t="str">
        <f>+PRESUPUESTO!C86</f>
        <v xml:space="preserve">Suministro e instalacion de baranda protectora en  acero inoxidable  largo 1.60 x 1.20 alto marrco  1 1/2"  cal 16 y verticales en 3/4" ; Incluye soportes acero inoxidable para fijar en muro y piso. Plano No. 9. Acceso Morgue </v>
      </c>
      <c r="C25" s="107" t="str">
        <f>+PRESUPUESTO!D86</f>
        <v>UN</v>
      </c>
      <c r="D25" s="108">
        <f>+PRESUPUESTO!E86</f>
        <v>1</v>
      </c>
      <c r="E25" s="348">
        <v>1380000</v>
      </c>
      <c r="F25" s="153">
        <f>+D25*E25</f>
        <v>1380000</v>
      </c>
      <c r="G25" s="154">
        <f>+F25*1.19</f>
        <v>1642200</v>
      </c>
      <c r="H25" s="155"/>
      <c r="I25" s="349">
        <v>1200000</v>
      </c>
      <c r="J25" s="154">
        <v>1428000</v>
      </c>
      <c r="K25" s="155"/>
      <c r="L25" s="156">
        <f>+AVERAGE(G25,J25)</f>
        <v>1535100</v>
      </c>
      <c r="M25" s="157"/>
    </row>
  </sheetData>
  <mergeCells count="7">
    <mergeCell ref="E24:H24"/>
    <mergeCell ref="I24:K24"/>
    <mergeCell ref="I3:K3"/>
    <mergeCell ref="E3:H3"/>
    <mergeCell ref="M10:M12"/>
    <mergeCell ref="E22:H22"/>
    <mergeCell ref="I22:K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showZeros="0" zoomScale="80" zoomScaleNormal="80" workbookViewId="0">
      <selection activeCell="R9" sqref="R9"/>
    </sheetView>
  </sheetViews>
  <sheetFormatPr baseColWidth="10" defaultColWidth="11.42578125" defaultRowHeight="15"/>
  <cols>
    <col min="1" max="1" width="4.7109375" style="4" customWidth="1"/>
    <col min="2" max="2" width="60.42578125" style="4" customWidth="1"/>
    <col min="3" max="3" width="9.7109375" style="4" customWidth="1"/>
    <col min="4" max="15" width="8.7109375" style="4" customWidth="1"/>
    <col min="16" max="16" width="12.140625" style="63" customWidth="1"/>
    <col min="17" max="17" width="12.42578125" style="63" customWidth="1"/>
    <col min="18" max="18" width="17.28515625" style="63" customWidth="1"/>
    <col min="19" max="19" width="34.140625" style="4" customWidth="1"/>
    <col min="20" max="16384" width="11.42578125" style="4"/>
  </cols>
  <sheetData>
    <row r="1" spans="1:19">
      <c r="A1" s="16" t="e">
        <f>+#REF!</f>
        <v>#REF!</v>
      </c>
    </row>
    <row r="2" spans="1:19">
      <c r="A2" s="16" t="s">
        <v>108</v>
      </c>
    </row>
    <row r="3" spans="1:19" ht="15.75" thickBot="1"/>
    <row r="4" spans="1:19">
      <c r="D4" s="1122" t="s">
        <v>109</v>
      </c>
      <c r="E4" s="1123"/>
      <c r="F4" s="1123"/>
      <c r="G4" s="1122" t="s">
        <v>110</v>
      </c>
      <c r="H4" s="1123"/>
      <c r="I4" s="1123"/>
      <c r="J4" s="1122" t="s">
        <v>111</v>
      </c>
      <c r="K4" s="1123"/>
      <c r="L4" s="1124"/>
      <c r="M4" s="1122" t="s">
        <v>112</v>
      </c>
      <c r="N4" s="1123"/>
      <c r="O4" s="1124"/>
      <c r="P4" s="1120" t="s">
        <v>103</v>
      </c>
      <c r="Q4" s="1120" t="s">
        <v>113</v>
      </c>
      <c r="R4" s="1120" t="s">
        <v>103</v>
      </c>
      <c r="S4" s="158" t="s">
        <v>114</v>
      </c>
    </row>
    <row r="5" spans="1:19" ht="41.25">
      <c r="A5" s="4" t="s">
        <v>115</v>
      </c>
      <c r="B5" s="771" t="s">
        <v>116</v>
      </c>
      <c r="C5" s="772" t="s">
        <v>117</v>
      </c>
      <c r="D5" s="773" t="s">
        <v>118</v>
      </c>
      <c r="E5" s="774" t="s">
        <v>119</v>
      </c>
      <c r="F5" s="775" t="s">
        <v>103</v>
      </c>
      <c r="G5" s="773" t="s">
        <v>118</v>
      </c>
      <c r="H5" s="774" t="s">
        <v>119</v>
      </c>
      <c r="I5" s="775" t="s">
        <v>103</v>
      </c>
      <c r="J5" s="773" t="s">
        <v>118</v>
      </c>
      <c r="K5" s="774" t="s">
        <v>119</v>
      </c>
      <c r="L5" s="776" t="s">
        <v>103</v>
      </c>
      <c r="M5" s="773" t="s">
        <v>118</v>
      </c>
      <c r="N5" s="774" t="s">
        <v>119</v>
      </c>
      <c r="O5" s="776" t="s">
        <v>103</v>
      </c>
      <c r="P5" s="1121"/>
      <c r="Q5" s="1121"/>
      <c r="R5" s="1121"/>
    </row>
    <row r="6" spans="1:19">
      <c r="B6" s="777"/>
      <c r="C6" s="778"/>
      <c r="D6" s="779"/>
      <c r="E6" s="401"/>
      <c r="F6" s="780"/>
      <c r="G6" s="779"/>
      <c r="H6" s="401"/>
      <c r="I6" s="780"/>
      <c r="J6" s="779"/>
      <c r="K6" s="781"/>
      <c r="L6" s="782"/>
      <c r="M6" s="779"/>
      <c r="N6" s="781"/>
      <c r="O6" s="782"/>
      <c r="P6" s="783"/>
      <c r="Q6" s="783"/>
      <c r="R6" s="783"/>
    </row>
    <row r="7" spans="1:19" ht="39" customHeight="1">
      <c r="A7" s="784" t="str">
        <f>+PRESUPUESTO!B62</f>
        <v>10.1.</v>
      </c>
      <c r="B7" s="785" t="str">
        <f>+PRESUPUESTO!C62</f>
        <v>Conformación de poceta de aseo enchapada interior y exteriormente en ceramica Boticino blanco 45 x 45 cm o similar. Incluye pegante tipo pegacor y filos con win de aluminio</v>
      </c>
      <c r="C7" s="786" t="str">
        <f>+PRESUPUESTO!D62</f>
        <v>UN</v>
      </c>
      <c r="D7" s="787"/>
      <c r="E7" s="402"/>
      <c r="F7" s="788">
        <v>2</v>
      </c>
      <c r="G7" s="787"/>
      <c r="H7" s="402"/>
      <c r="I7" s="788">
        <f t="shared" ref="I7" si="0">+ROUND(G7*H7,2)</f>
        <v>0</v>
      </c>
      <c r="J7" s="787"/>
      <c r="K7" s="789"/>
      <c r="L7" s="790">
        <f>+ROUND(J7*K7,2)</f>
        <v>0</v>
      </c>
      <c r="M7" s="787"/>
      <c r="N7" s="789"/>
      <c r="O7" s="790">
        <f>+ROUND(M7*N7,2)</f>
        <v>0</v>
      </c>
      <c r="P7" s="783">
        <f>+F7+I7+L7+O7</f>
        <v>2</v>
      </c>
      <c r="Q7" s="783">
        <v>1</v>
      </c>
      <c r="R7" s="783">
        <f>+P7*Q7</f>
        <v>2</v>
      </c>
    </row>
    <row r="8" spans="1:19" ht="40.5" customHeight="1">
      <c r="A8" s="784" t="str">
        <f>+PRESUPUESTO!B63</f>
        <v>10.2.</v>
      </c>
      <c r="B8" s="785" t="str">
        <f>+PRESUPUESTO!C63</f>
        <v>Suministro e instalación de ceramica Boticino Blanco 45 x 45 cm o similar incluye pegante tipo pegacor y boquilla (vestier hombres y mujeres y cocineta)</v>
      </c>
      <c r="C8" s="786" t="str">
        <f>+PRESUPUESTO!D63</f>
        <v>M2</v>
      </c>
      <c r="D8" s="787"/>
      <c r="E8" s="402"/>
      <c r="F8" s="788"/>
      <c r="G8" s="787">
        <f>3.36+0.57+0.57</f>
        <v>4.5</v>
      </c>
      <c r="H8" s="402">
        <v>0.7</v>
      </c>
      <c r="I8" s="788">
        <f t="shared" ref="I8" si="1">+ROUND(G8*H8,2)</f>
        <v>3.15</v>
      </c>
      <c r="J8" s="787">
        <v>18.7</v>
      </c>
      <c r="K8" s="789">
        <v>2.33</v>
      </c>
      <c r="L8" s="790">
        <f>+ROUND(J8*K8,2)</f>
        <v>43.57</v>
      </c>
      <c r="M8" s="787">
        <v>18.7</v>
      </c>
      <c r="N8" s="789">
        <v>2.33</v>
      </c>
      <c r="O8" s="790">
        <f>+ROUND(M8*N8,2)</f>
        <v>43.57</v>
      </c>
      <c r="P8" s="783">
        <f>+F8+I8+L8+O8</f>
        <v>90.289999999999992</v>
      </c>
      <c r="Q8" s="783">
        <v>1.1000000000000001</v>
      </c>
      <c r="R8" s="783">
        <f>+ROUND(P8*Q8,0)</f>
        <v>99</v>
      </c>
    </row>
  </sheetData>
  <mergeCells count="7">
    <mergeCell ref="Q4:Q5"/>
    <mergeCell ref="R4:R5"/>
    <mergeCell ref="P4:P5"/>
    <mergeCell ref="D4:F4"/>
    <mergeCell ref="G4:I4"/>
    <mergeCell ref="J4:L4"/>
    <mergeCell ref="M4:O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9"/>
  <sheetViews>
    <sheetView showZeros="0" zoomScale="80" zoomScaleNormal="80" workbookViewId="0">
      <selection activeCell="B8" sqref="B8"/>
    </sheetView>
  </sheetViews>
  <sheetFormatPr baseColWidth="10" defaultColWidth="11.42578125" defaultRowHeight="15"/>
  <cols>
    <col min="1" max="1" width="4.7109375" style="4" customWidth="1"/>
    <col min="2" max="2" width="67.28515625" style="4" customWidth="1"/>
    <col min="3" max="3" width="9.7109375" style="4" customWidth="1"/>
    <col min="4" max="15" width="8.7109375" style="4" customWidth="1"/>
    <col min="16" max="16" width="10.28515625" style="63" customWidth="1"/>
    <col min="17" max="17" width="9" style="63" customWidth="1"/>
    <col min="18" max="18" width="14.42578125" style="63" customWidth="1"/>
    <col min="19" max="19" width="34.140625" style="4" customWidth="1"/>
    <col min="20" max="16384" width="11.42578125" style="4"/>
  </cols>
  <sheetData>
    <row r="1" spans="1:19">
      <c r="A1" s="16" t="e">
        <f>+#REF!</f>
        <v>#REF!</v>
      </c>
    </row>
    <row r="2" spans="1:19">
      <c r="A2" s="16" t="s">
        <v>120</v>
      </c>
    </row>
    <row r="3" spans="1:19" ht="15.75" thickBot="1"/>
    <row r="4" spans="1:19">
      <c r="D4" s="1122" t="s">
        <v>121</v>
      </c>
      <c r="E4" s="1123"/>
      <c r="F4" s="1123"/>
      <c r="G4" s="1122" t="s">
        <v>122</v>
      </c>
      <c r="H4" s="1123"/>
      <c r="I4" s="1123"/>
      <c r="J4" s="1122" t="s">
        <v>123</v>
      </c>
      <c r="K4" s="1123"/>
      <c r="L4" s="1124"/>
      <c r="M4" s="1122" t="s">
        <v>124</v>
      </c>
      <c r="N4" s="1123"/>
      <c r="O4" s="1124"/>
      <c r="P4" s="1120" t="s">
        <v>103</v>
      </c>
      <c r="Q4" s="1120" t="s">
        <v>113</v>
      </c>
      <c r="R4" s="1120" t="s">
        <v>125</v>
      </c>
      <c r="S4" s="158" t="s">
        <v>114</v>
      </c>
    </row>
    <row r="5" spans="1:19" ht="69" customHeight="1">
      <c r="A5" s="4" t="s">
        <v>115</v>
      </c>
      <c r="B5" s="771" t="s">
        <v>116</v>
      </c>
      <c r="C5" s="772" t="s">
        <v>117</v>
      </c>
      <c r="D5" s="773" t="s">
        <v>126</v>
      </c>
      <c r="E5" s="774" t="s">
        <v>119</v>
      </c>
      <c r="F5" s="775" t="s">
        <v>103</v>
      </c>
      <c r="G5" s="773" t="s">
        <v>126</v>
      </c>
      <c r="H5" s="774" t="s">
        <v>119</v>
      </c>
      <c r="I5" s="775" t="s">
        <v>103</v>
      </c>
      <c r="J5" s="773" t="s">
        <v>126</v>
      </c>
      <c r="K5" s="774" t="s">
        <v>119</v>
      </c>
      <c r="L5" s="776" t="s">
        <v>103</v>
      </c>
      <c r="M5" s="773" t="s">
        <v>126</v>
      </c>
      <c r="N5" s="774" t="s">
        <v>119</v>
      </c>
      <c r="O5" s="776" t="s">
        <v>103</v>
      </c>
      <c r="P5" s="1121"/>
      <c r="Q5" s="1121"/>
      <c r="R5" s="1121"/>
    </row>
    <row r="6" spans="1:19">
      <c r="B6" s="777"/>
      <c r="C6" s="778"/>
      <c r="D6" s="779"/>
      <c r="E6" s="401"/>
      <c r="F6" s="780"/>
      <c r="G6" s="779"/>
      <c r="H6" s="401"/>
      <c r="I6" s="780"/>
      <c r="J6" s="779"/>
      <c r="K6" s="781"/>
      <c r="L6" s="782"/>
      <c r="M6" s="779"/>
      <c r="N6" s="781"/>
      <c r="O6" s="782"/>
      <c r="P6" s="783"/>
      <c r="Q6" s="783"/>
      <c r="R6" s="783"/>
    </row>
    <row r="7" spans="1:19" ht="75.75" customHeight="1">
      <c r="A7" s="784" t="str">
        <f>+PRESUPUESTO!B80</f>
        <v>14.2.</v>
      </c>
      <c r="B7" s="791" t="str">
        <f>+PRESUPUESTO!C80</f>
        <v>Suministro e instalación de flanches en lamina galvanizada cal 24, desarrollo 22.5 cm (2.5 - 15 - 5 cm) , incluye anclaje superior y lateral con tornillo cabeza hexagonal con arandela y empaque de neopreno punta broca 10 x 1 1/2" cada 30 cms. Incluye desmonte de flanches existentes (Zona 1-1, Zona 1-2 , Zona 1-3 y Zona 2-1) Plano No. 7</v>
      </c>
      <c r="C7" s="786" t="str">
        <f>+PRESUPUESTO!D80</f>
        <v>ML</v>
      </c>
      <c r="D7" s="787">
        <f>3.61+3.17+2.71+1.81+4.19+1.23</f>
        <v>16.72</v>
      </c>
      <c r="E7" s="402"/>
      <c r="F7" s="788">
        <f>+D7</f>
        <v>16.72</v>
      </c>
      <c r="G7" s="787">
        <v>13.21</v>
      </c>
      <c r="H7" s="402"/>
      <c r="I7" s="788">
        <f>+G7</f>
        <v>13.21</v>
      </c>
      <c r="J7" s="787">
        <v>7.23</v>
      </c>
      <c r="K7" s="789"/>
      <c r="L7" s="788">
        <f>+J7</f>
        <v>7.23</v>
      </c>
      <c r="M7" s="787">
        <f>3.6+3.17+2.71</f>
        <v>9.48</v>
      </c>
      <c r="N7" s="789"/>
      <c r="O7" s="788">
        <f>+M7</f>
        <v>9.48</v>
      </c>
      <c r="P7" s="783">
        <f t="shared" ref="P7:P9" si="0">+F7+I7+L7+O7</f>
        <v>46.64</v>
      </c>
      <c r="Q7" s="783">
        <v>1.1000000000000001</v>
      </c>
      <c r="R7" s="783">
        <f>+ROUND(P7*Q7,0)</f>
        <v>51</v>
      </c>
    </row>
    <row r="8" spans="1:19" ht="60" customHeight="1">
      <c r="A8" s="784" t="str">
        <f>+PRESUPUESTO!B81</f>
        <v>14.3.</v>
      </c>
      <c r="B8" s="791" t="str">
        <f>+PRESUPUESTO!C81</f>
        <v>Suministro e instalación de flanches en lamina galvanizada cal 24 desarrollo entre 0,45  y 1.00 m.  incluye anclajes con tornillo cabeza hexagonal con arandela y empaque de neopreno punta broca 10 x 1 1/2" cada 30 cms. Incluye desmonte de flanches existentes (Zona 1-1) Plano No. 7</v>
      </c>
      <c r="C8" s="786" t="str">
        <f>+PRESUPUESTO!D81</f>
        <v>ML</v>
      </c>
      <c r="D8" s="787">
        <f>3.61+3.17+2.71+1.81+4.19+1.23</f>
        <v>16.72</v>
      </c>
      <c r="E8" s="402"/>
      <c r="F8" s="788">
        <f t="shared" ref="F8:F9" si="1">+D8</f>
        <v>16.72</v>
      </c>
      <c r="G8" s="787"/>
      <c r="H8" s="402"/>
      <c r="I8" s="788">
        <f t="shared" ref="I8:I9" si="2">+G8</f>
        <v>0</v>
      </c>
      <c r="J8" s="787"/>
      <c r="K8" s="789"/>
      <c r="L8" s="788">
        <f t="shared" ref="L8:L9" si="3">+J8</f>
        <v>0</v>
      </c>
      <c r="M8" s="787"/>
      <c r="N8" s="789"/>
      <c r="O8" s="788">
        <f t="shared" ref="O8:O9" si="4">+M8</f>
        <v>0</v>
      </c>
      <c r="P8" s="783">
        <f t="shared" si="0"/>
        <v>16.72</v>
      </c>
      <c r="Q8" s="783">
        <v>1.1000000000000001</v>
      </c>
      <c r="R8" s="783">
        <f>+ROUND(P8*Q8,0)</f>
        <v>18</v>
      </c>
    </row>
    <row r="9" spans="1:19" ht="60" customHeight="1">
      <c r="A9" s="784" t="str">
        <f>+PRESUPUESTO!B82</f>
        <v>14.4.</v>
      </c>
      <c r="B9" s="791" t="str">
        <f>+PRESUPUESTO!C82</f>
        <v>Suministro e instalación de flanches en lamina galvanizada cal 24, desarrollo 1.05 a 1.65 m, incluye anclajes con tornillo cabeza hexagonal con arandela y empaque de neopreno punta broca 10 x 1 1/2" cada 30 cms. Incluye desmonte de flanches existentes (Zona 1-2 , Zona 1-3 y Zona 2-1) Plano No. 7.</v>
      </c>
      <c r="C9" s="786" t="str">
        <f>+PRESUPUESTO!D82</f>
        <v>ML</v>
      </c>
      <c r="D9" s="787"/>
      <c r="E9" s="402"/>
      <c r="F9" s="788">
        <f t="shared" si="1"/>
        <v>0</v>
      </c>
      <c r="G9" s="787">
        <f>10.69+2.52</f>
        <v>13.209999999999999</v>
      </c>
      <c r="H9" s="402"/>
      <c r="I9" s="788">
        <f t="shared" si="2"/>
        <v>13.209999999999999</v>
      </c>
      <c r="J9" s="787">
        <f>1.81+4.19+1.23</f>
        <v>7.23</v>
      </c>
      <c r="K9" s="789"/>
      <c r="L9" s="788">
        <f t="shared" si="3"/>
        <v>7.23</v>
      </c>
      <c r="M9" s="787">
        <f>3.6+3.17+2.71</f>
        <v>9.48</v>
      </c>
      <c r="N9" s="789"/>
      <c r="O9" s="788">
        <f t="shared" si="4"/>
        <v>9.48</v>
      </c>
      <c r="P9" s="783">
        <f t="shared" si="0"/>
        <v>29.919999999999998</v>
      </c>
      <c r="Q9" s="783">
        <v>1.1000000000000001</v>
      </c>
      <c r="R9" s="783">
        <f>+ROUND(P9*Q9,0)</f>
        <v>33</v>
      </c>
    </row>
  </sheetData>
  <mergeCells count="7">
    <mergeCell ref="R4:R5"/>
    <mergeCell ref="D4:F4"/>
    <mergeCell ref="G4:I4"/>
    <mergeCell ref="J4:L4"/>
    <mergeCell ref="M4:O4"/>
    <mergeCell ref="P4:P5"/>
    <mergeCell ref="Q4:Q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1:S226"/>
  <sheetViews>
    <sheetView tabSelected="1" view="pageBreakPreview" topLeftCell="A200" zoomScale="60" zoomScaleNormal="70" workbookViewId="0">
      <selection activeCell="H223" sqref="H223"/>
    </sheetView>
  </sheetViews>
  <sheetFormatPr baseColWidth="10" defaultColWidth="11.42578125" defaultRowHeight="15"/>
  <cols>
    <col min="1" max="1" width="3.7109375" style="350" customWidth="1"/>
    <col min="2" max="2" width="2" style="350" customWidth="1"/>
    <col min="3" max="3" width="13" style="673" customWidth="1"/>
    <col min="4" max="4" width="10.85546875" style="350" customWidth="1"/>
    <col min="5" max="5" width="12.42578125" style="362" customWidth="1"/>
    <col min="6" max="6" width="76.140625" style="350" customWidth="1"/>
    <col min="7" max="7" width="8.42578125" style="350" customWidth="1"/>
    <col min="8" max="8" width="12.42578125" style="363" customWidth="1"/>
    <col min="9" max="9" width="18.85546875" style="629" customWidth="1"/>
    <col min="10" max="10" width="24.28515625" style="630" customWidth="1"/>
    <col min="11" max="11" width="3.42578125" style="350" customWidth="1"/>
    <col min="12" max="12" width="5.42578125" style="350" customWidth="1"/>
    <col min="13" max="13" width="16.42578125" style="350" hidden="1" customWidth="1"/>
    <col min="14" max="14" width="25" style="350" hidden="1" customWidth="1"/>
    <col min="15" max="15" width="11.42578125" style="350" hidden="1" customWidth="1"/>
    <col min="16" max="16" width="13.7109375" style="350" hidden="1" customWidth="1"/>
    <col min="17" max="17" width="11.42578125" style="350" hidden="1" customWidth="1"/>
    <col min="18" max="18" width="13.7109375" style="350" hidden="1" customWidth="1"/>
    <col min="19" max="19" width="23.140625" style="350" customWidth="1"/>
    <col min="20" max="16384" width="11.42578125" style="350"/>
  </cols>
  <sheetData>
    <row r="1" spans="2:18" thickBot="1">
      <c r="C1" s="350"/>
      <c r="E1" s="350"/>
      <c r="H1" s="350"/>
      <c r="I1" s="350"/>
      <c r="J1" s="350"/>
    </row>
    <row r="2" spans="2:18" ht="15.75" thickTop="1">
      <c r="B2" s="364"/>
      <c r="C2" s="625"/>
      <c r="D2" s="351"/>
      <c r="E2" s="365"/>
      <c r="F2" s="351"/>
      <c r="G2" s="351"/>
      <c r="H2" s="366"/>
      <c r="I2" s="626"/>
      <c r="J2" s="627"/>
      <c r="K2" s="628"/>
    </row>
    <row r="3" spans="2:18" ht="27" customHeight="1">
      <c r="B3" s="369"/>
      <c r="C3" s="1138" t="s">
        <v>127</v>
      </c>
      <c r="D3" s="1139"/>
      <c r="E3" s="1139"/>
      <c r="K3" s="631"/>
    </row>
    <row r="4" spans="2:18">
      <c r="B4" s="369"/>
      <c r="C4" s="370" t="s">
        <v>128</v>
      </c>
      <c r="D4" s="371" t="s">
        <v>129</v>
      </c>
      <c r="E4" s="372" t="s">
        <v>130</v>
      </c>
      <c r="K4" s="631"/>
    </row>
    <row r="5" spans="2:18">
      <c r="B5" s="369"/>
      <c r="C5" s="1140"/>
      <c r="D5" s="1140"/>
      <c r="E5" s="1140"/>
      <c r="F5" s="1140"/>
      <c r="G5" s="1140"/>
      <c r="H5" s="1140"/>
      <c r="I5" s="1140"/>
      <c r="J5" s="1140"/>
      <c r="K5" s="631"/>
    </row>
    <row r="6" spans="2:18" ht="15.75" thickBot="1">
      <c r="B6" s="369"/>
      <c r="C6" s="1141" t="s">
        <v>1202</v>
      </c>
      <c r="D6" s="1141"/>
      <c r="E6" s="1141"/>
      <c r="F6" s="1141"/>
      <c r="G6" s="1141"/>
      <c r="H6" s="1141"/>
      <c r="I6" s="1141"/>
      <c r="J6" s="1141"/>
      <c r="K6" s="631"/>
    </row>
    <row r="7" spans="2:18" ht="30" customHeight="1" thickBot="1">
      <c r="B7" s="369"/>
      <c r="C7" s="1135"/>
      <c r="D7" s="1136"/>
      <c r="E7" s="1136"/>
      <c r="F7" s="1136"/>
      <c r="G7" s="1136"/>
      <c r="H7" s="1136"/>
      <c r="I7" s="1136"/>
      <c r="J7" s="1137"/>
      <c r="K7" s="631"/>
    </row>
    <row r="8" spans="2:18" ht="15" customHeight="1">
      <c r="B8" s="369"/>
      <c r="C8" s="1142" t="s">
        <v>134</v>
      </c>
      <c r="D8" s="1144" t="s">
        <v>135</v>
      </c>
      <c r="E8" s="633" t="s">
        <v>136</v>
      </c>
      <c r="F8" s="1146" t="s">
        <v>3</v>
      </c>
      <c r="G8" s="1148" t="s">
        <v>137</v>
      </c>
      <c r="H8" s="1150" t="s">
        <v>87</v>
      </c>
      <c r="I8" s="1129" t="s">
        <v>138</v>
      </c>
      <c r="J8" s="1152" t="s">
        <v>139</v>
      </c>
      <c r="K8" s="631"/>
    </row>
    <row r="9" spans="2:18" ht="15" customHeight="1" thickBot="1">
      <c r="B9" s="369"/>
      <c r="C9" s="1143"/>
      <c r="D9" s="1145"/>
      <c r="E9" s="634" t="s">
        <v>140</v>
      </c>
      <c r="F9" s="1147"/>
      <c r="G9" s="1149"/>
      <c r="H9" s="1151"/>
      <c r="I9" s="1130"/>
      <c r="J9" s="1153"/>
      <c r="K9" s="631"/>
    </row>
    <row r="10" spans="2:18" ht="24.95" customHeight="1" thickBot="1">
      <c r="B10" s="369"/>
      <c r="C10" s="344" t="s">
        <v>141</v>
      </c>
      <c r="D10" s="345"/>
      <c r="E10" s="345"/>
      <c r="F10" s="345" t="s">
        <v>142</v>
      </c>
      <c r="G10" s="345"/>
      <c r="H10" s="346"/>
      <c r="I10" s="635"/>
      <c r="J10" s="636"/>
      <c r="K10" s="631"/>
    </row>
    <row r="11" spans="2:18" s="352" customFormat="1" ht="28.5">
      <c r="B11" s="375"/>
      <c r="C11" s="303" t="s">
        <v>143</v>
      </c>
      <c r="D11" s="341"/>
      <c r="E11" s="342"/>
      <c r="F11" s="353" t="s">
        <v>144</v>
      </c>
      <c r="G11" s="376" t="s">
        <v>145</v>
      </c>
      <c r="H11" s="794">
        <v>70</v>
      </c>
      <c r="I11" s="637">
        <v>21959</v>
      </c>
      <c r="J11" s="1089">
        <f>+H11*I11</f>
        <v>1537130</v>
      </c>
      <c r="K11" s="632"/>
      <c r="M11" s="770" t="s">
        <v>144</v>
      </c>
      <c r="N11" s="770" t="b">
        <v>1</v>
      </c>
      <c r="O11" s="770" t="s">
        <v>145</v>
      </c>
      <c r="P11" s="770" t="b">
        <v>1</v>
      </c>
      <c r="Q11" s="770">
        <v>70</v>
      </c>
      <c r="R11" s="770" t="b">
        <v>1</v>
      </c>
    </row>
    <row r="12" spans="2:18" s="352" customFormat="1" ht="28.5">
      <c r="B12" s="375"/>
      <c r="C12" s="638" t="s">
        <v>146</v>
      </c>
      <c r="D12" s="403"/>
      <c r="E12" s="792"/>
      <c r="F12" s="793" t="s">
        <v>147</v>
      </c>
      <c r="G12" s="404" t="s">
        <v>117</v>
      </c>
      <c r="H12" s="794">
        <v>18</v>
      </c>
      <c r="I12" s="795">
        <v>35140</v>
      </c>
      <c r="J12" s="1089">
        <f t="shared" ref="J12:J31" si="0">+H12*I12</f>
        <v>632520</v>
      </c>
      <c r="K12" s="632"/>
      <c r="M12" s="770" t="s">
        <v>147</v>
      </c>
      <c r="N12" s="770" t="b">
        <v>1</v>
      </c>
      <c r="O12" s="770" t="s">
        <v>117</v>
      </c>
      <c r="P12" s="770" t="b">
        <v>1</v>
      </c>
      <c r="Q12" s="770">
        <v>18</v>
      </c>
      <c r="R12" s="770" t="b">
        <v>1</v>
      </c>
    </row>
    <row r="13" spans="2:18" s="352" customFormat="1" ht="33" customHeight="1">
      <c r="B13" s="375"/>
      <c r="C13" s="638" t="s">
        <v>148</v>
      </c>
      <c r="D13" s="403"/>
      <c r="E13" s="792"/>
      <c r="F13" s="793" t="s">
        <v>149</v>
      </c>
      <c r="G13" s="404" t="s">
        <v>145</v>
      </c>
      <c r="H13" s="794">
        <v>21</v>
      </c>
      <c r="I13" s="795">
        <v>19119</v>
      </c>
      <c r="J13" s="1089">
        <f t="shared" si="0"/>
        <v>401499</v>
      </c>
      <c r="K13" s="632"/>
      <c r="M13" s="770" t="s">
        <v>149</v>
      </c>
      <c r="N13" s="770" t="b">
        <v>1</v>
      </c>
      <c r="O13" s="770" t="s">
        <v>145</v>
      </c>
      <c r="P13" s="770" t="b">
        <v>1</v>
      </c>
      <c r="Q13" s="770">
        <v>20</v>
      </c>
      <c r="R13" s="770" t="b">
        <v>0</v>
      </c>
    </row>
    <row r="14" spans="2:18" s="352" customFormat="1" ht="28.5">
      <c r="B14" s="375"/>
      <c r="C14" s="638" t="s">
        <v>150</v>
      </c>
      <c r="D14" s="403"/>
      <c r="E14" s="792"/>
      <c r="F14" s="793" t="s">
        <v>151</v>
      </c>
      <c r="G14" s="404" t="s">
        <v>145</v>
      </c>
      <c r="H14" s="794">
        <v>95</v>
      </c>
      <c r="I14" s="795">
        <v>19391</v>
      </c>
      <c r="J14" s="1089">
        <f t="shared" si="0"/>
        <v>1842145</v>
      </c>
      <c r="K14" s="632"/>
      <c r="M14" s="770" t="s">
        <v>151</v>
      </c>
      <c r="N14" s="770" t="b">
        <v>1</v>
      </c>
      <c r="O14" s="770" t="s">
        <v>145</v>
      </c>
      <c r="P14" s="770" t="b">
        <v>1</v>
      </c>
      <c r="Q14" s="770">
        <v>95</v>
      </c>
      <c r="R14" s="770" t="b">
        <v>1</v>
      </c>
    </row>
    <row r="15" spans="2:18" s="352" customFormat="1" ht="28.5">
      <c r="B15" s="375"/>
      <c r="C15" s="638" t="s">
        <v>152</v>
      </c>
      <c r="D15" s="403"/>
      <c r="E15" s="792"/>
      <c r="F15" s="793" t="s">
        <v>153</v>
      </c>
      <c r="G15" s="404" t="s">
        <v>154</v>
      </c>
      <c r="H15" s="794">
        <v>15</v>
      </c>
      <c r="I15" s="795">
        <v>9415</v>
      </c>
      <c r="J15" s="1089">
        <f t="shared" si="0"/>
        <v>141225</v>
      </c>
      <c r="K15" s="632"/>
      <c r="M15" s="770" t="s">
        <v>153</v>
      </c>
      <c r="N15" s="770" t="b">
        <v>1</v>
      </c>
      <c r="O15" s="770" t="s">
        <v>154</v>
      </c>
      <c r="P15" s="770" t="b">
        <v>1</v>
      </c>
      <c r="Q15" s="770">
        <v>15</v>
      </c>
      <c r="R15" s="770" t="b">
        <v>1</v>
      </c>
    </row>
    <row r="16" spans="2:18" s="352" customFormat="1" ht="42.75">
      <c r="B16" s="375"/>
      <c r="C16" s="638" t="s">
        <v>155</v>
      </c>
      <c r="D16" s="403"/>
      <c r="E16" s="792"/>
      <c r="F16" s="793" t="s">
        <v>156</v>
      </c>
      <c r="G16" s="404" t="s">
        <v>145</v>
      </c>
      <c r="H16" s="794">
        <v>70</v>
      </c>
      <c r="I16" s="795">
        <v>22349</v>
      </c>
      <c r="J16" s="1089">
        <f t="shared" si="0"/>
        <v>1564430</v>
      </c>
      <c r="K16" s="632"/>
      <c r="M16" s="770" t="s">
        <v>156</v>
      </c>
      <c r="N16" s="770" t="b">
        <v>1</v>
      </c>
      <c r="O16" s="770" t="s">
        <v>145</v>
      </c>
      <c r="P16" s="770" t="b">
        <v>1</v>
      </c>
      <c r="Q16" s="770">
        <v>70</v>
      </c>
      <c r="R16" s="770" t="b">
        <v>1</v>
      </c>
    </row>
    <row r="17" spans="2:18" s="352" customFormat="1" ht="28.5">
      <c r="B17" s="375"/>
      <c r="C17" s="638" t="s">
        <v>157</v>
      </c>
      <c r="D17" s="403"/>
      <c r="E17" s="792"/>
      <c r="F17" s="793" t="s">
        <v>158</v>
      </c>
      <c r="G17" s="404" t="s">
        <v>154</v>
      </c>
      <c r="H17" s="794">
        <v>35</v>
      </c>
      <c r="I17" s="795">
        <v>5137</v>
      </c>
      <c r="J17" s="1089">
        <f t="shared" si="0"/>
        <v>179795</v>
      </c>
      <c r="K17" s="632"/>
      <c r="M17" s="770" t="s">
        <v>158</v>
      </c>
      <c r="N17" s="770" t="b">
        <v>1</v>
      </c>
      <c r="O17" s="770" t="s">
        <v>154</v>
      </c>
      <c r="P17" s="770" t="b">
        <v>1</v>
      </c>
      <c r="Q17" s="770">
        <v>35</v>
      </c>
      <c r="R17" s="770" t="b">
        <v>1</v>
      </c>
    </row>
    <row r="18" spans="2:18" s="352" customFormat="1" ht="28.5">
      <c r="B18" s="375"/>
      <c r="C18" s="638" t="s">
        <v>159</v>
      </c>
      <c r="D18" s="403"/>
      <c r="E18" s="792"/>
      <c r="F18" s="793" t="s">
        <v>160</v>
      </c>
      <c r="G18" s="404" t="s">
        <v>117</v>
      </c>
      <c r="H18" s="794">
        <v>4</v>
      </c>
      <c r="I18" s="795">
        <v>295278</v>
      </c>
      <c r="J18" s="1089">
        <f t="shared" si="0"/>
        <v>1181112</v>
      </c>
      <c r="K18" s="632"/>
      <c r="M18" s="770" t="s">
        <v>160</v>
      </c>
      <c r="N18" s="770" t="b">
        <v>1</v>
      </c>
      <c r="O18" s="770" t="s">
        <v>117</v>
      </c>
      <c r="P18" s="770" t="b">
        <v>1</v>
      </c>
      <c r="Q18" s="770">
        <v>4</v>
      </c>
      <c r="R18" s="770" t="b">
        <v>1</v>
      </c>
    </row>
    <row r="19" spans="2:18" s="352" customFormat="1">
      <c r="B19" s="375"/>
      <c r="C19" s="638" t="s">
        <v>161</v>
      </c>
      <c r="D19" s="403"/>
      <c r="E19" s="792"/>
      <c r="F19" s="793" t="s">
        <v>162</v>
      </c>
      <c r="G19" s="404" t="s">
        <v>117</v>
      </c>
      <c r="H19" s="794">
        <v>20</v>
      </c>
      <c r="I19" s="795">
        <v>74139</v>
      </c>
      <c r="J19" s="1089">
        <f t="shared" si="0"/>
        <v>1482780</v>
      </c>
      <c r="K19" s="632"/>
      <c r="M19" s="770" t="s">
        <v>162</v>
      </c>
      <c r="N19" s="770" t="b">
        <v>1</v>
      </c>
      <c r="O19" s="770" t="s">
        <v>117</v>
      </c>
      <c r="P19" s="770" t="b">
        <v>1</v>
      </c>
      <c r="Q19" s="770">
        <v>20</v>
      </c>
      <c r="R19" s="770" t="b">
        <v>1</v>
      </c>
    </row>
    <row r="20" spans="2:18" s="352" customFormat="1" ht="28.5">
      <c r="B20" s="375"/>
      <c r="C20" s="638" t="s">
        <v>163</v>
      </c>
      <c r="D20" s="403"/>
      <c r="E20" s="792"/>
      <c r="F20" s="793" t="s">
        <v>164</v>
      </c>
      <c r="G20" s="404" t="s">
        <v>145</v>
      </c>
      <c r="H20" s="794">
        <v>310</v>
      </c>
      <c r="I20" s="795">
        <v>14569</v>
      </c>
      <c r="J20" s="1089">
        <f t="shared" si="0"/>
        <v>4516390</v>
      </c>
      <c r="K20" s="632"/>
      <c r="M20" s="770" t="s">
        <v>164</v>
      </c>
      <c r="N20" s="770" t="b">
        <v>1</v>
      </c>
      <c r="O20" s="770" t="s">
        <v>145</v>
      </c>
      <c r="P20" s="770" t="b">
        <v>1</v>
      </c>
      <c r="Q20" s="770">
        <v>310</v>
      </c>
      <c r="R20" s="770" t="b">
        <v>1</v>
      </c>
    </row>
    <row r="21" spans="2:18" s="352" customFormat="1" ht="28.5">
      <c r="B21" s="375"/>
      <c r="C21" s="638" t="s">
        <v>165</v>
      </c>
      <c r="D21" s="403"/>
      <c r="E21" s="792"/>
      <c r="F21" s="793" t="s">
        <v>166</v>
      </c>
      <c r="G21" s="404" t="s">
        <v>145</v>
      </c>
      <c r="H21" s="794">
        <v>60</v>
      </c>
      <c r="I21" s="795">
        <v>36234</v>
      </c>
      <c r="J21" s="1089">
        <f t="shared" si="0"/>
        <v>2174040</v>
      </c>
      <c r="K21" s="632"/>
      <c r="M21" s="770" t="s">
        <v>166</v>
      </c>
      <c r="N21" s="770" t="b">
        <v>1</v>
      </c>
      <c r="O21" s="770" t="s">
        <v>145</v>
      </c>
      <c r="P21" s="770" t="b">
        <v>1</v>
      </c>
      <c r="Q21" s="770">
        <v>60</v>
      </c>
      <c r="R21" s="770" t="b">
        <v>1</v>
      </c>
    </row>
    <row r="22" spans="2:18" s="352" customFormat="1" ht="28.5">
      <c r="B22" s="375"/>
      <c r="C22" s="638" t="s">
        <v>167</v>
      </c>
      <c r="D22" s="403"/>
      <c r="E22" s="792"/>
      <c r="F22" s="793" t="s">
        <v>168</v>
      </c>
      <c r="G22" s="404" t="s">
        <v>145</v>
      </c>
      <c r="H22" s="794">
        <v>35</v>
      </c>
      <c r="I22" s="795">
        <v>21987</v>
      </c>
      <c r="J22" s="1089">
        <f t="shared" si="0"/>
        <v>769545</v>
      </c>
      <c r="K22" s="632"/>
      <c r="M22" s="770" t="s">
        <v>168</v>
      </c>
      <c r="N22" s="770" t="b">
        <v>1</v>
      </c>
      <c r="O22" s="770" t="s">
        <v>145</v>
      </c>
      <c r="P22" s="770" t="b">
        <v>1</v>
      </c>
      <c r="Q22" s="770">
        <v>35</v>
      </c>
      <c r="R22" s="770" t="b">
        <v>1</v>
      </c>
    </row>
    <row r="23" spans="2:18" s="352" customFormat="1" ht="28.5">
      <c r="B23" s="375"/>
      <c r="C23" s="638" t="s">
        <v>169</v>
      </c>
      <c r="D23" s="403"/>
      <c r="E23" s="792"/>
      <c r="F23" s="793" t="s">
        <v>170</v>
      </c>
      <c r="G23" s="404" t="s">
        <v>145</v>
      </c>
      <c r="H23" s="794">
        <v>40</v>
      </c>
      <c r="I23" s="795">
        <v>4373</v>
      </c>
      <c r="J23" s="1089">
        <f t="shared" si="0"/>
        <v>174920</v>
      </c>
      <c r="K23" s="632"/>
      <c r="M23" s="770" t="s">
        <v>170</v>
      </c>
      <c r="N23" s="770" t="b">
        <v>1</v>
      </c>
      <c r="O23" s="770" t="s">
        <v>145</v>
      </c>
      <c r="P23" s="770" t="b">
        <v>1</v>
      </c>
      <c r="Q23" s="770">
        <v>40</v>
      </c>
      <c r="R23" s="770" t="b">
        <v>1</v>
      </c>
    </row>
    <row r="24" spans="2:18" s="352" customFormat="1" ht="48" customHeight="1" thickBot="1">
      <c r="B24" s="375"/>
      <c r="C24" s="638" t="s">
        <v>171</v>
      </c>
      <c r="D24" s="403"/>
      <c r="E24" s="792"/>
      <c r="F24" s="793" t="s">
        <v>172</v>
      </c>
      <c r="G24" s="404" t="s">
        <v>145</v>
      </c>
      <c r="H24" s="794">
        <v>7</v>
      </c>
      <c r="I24" s="795">
        <v>9885</v>
      </c>
      <c r="J24" s="1089">
        <f t="shared" si="0"/>
        <v>69195</v>
      </c>
      <c r="K24" s="632"/>
      <c r="M24" s="770" t="s">
        <v>172</v>
      </c>
      <c r="N24" s="770" t="b">
        <v>1</v>
      </c>
      <c r="O24" s="770" t="s">
        <v>145</v>
      </c>
      <c r="P24" s="770" t="b">
        <v>1</v>
      </c>
      <c r="Q24" s="770">
        <v>7</v>
      </c>
      <c r="R24" s="770" t="b">
        <v>1</v>
      </c>
    </row>
    <row r="25" spans="2:18" ht="24.95" customHeight="1" thickBot="1">
      <c r="B25" s="369"/>
      <c r="C25" s="309" t="s">
        <v>173</v>
      </c>
      <c r="D25" s="316"/>
      <c r="E25" s="317"/>
      <c r="F25" s="354" t="s">
        <v>174</v>
      </c>
      <c r="G25" s="317"/>
      <c r="H25" s="1087"/>
      <c r="I25" s="639"/>
      <c r="J25" s="1088"/>
      <c r="K25" s="631"/>
      <c r="M25" s="770" t="s">
        <v>174</v>
      </c>
      <c r="N25" s="770" t="b">
        <v>1</v>
      </c>
      <c r="O25" s="770">
        <v>0</v>
      </c>
      <c r="P25" s="770" t="b">
        <v>1</v>
      </c>
      <c r="Q25" s="770">
        <v>0</v>
      </c>
      <c r="R25" s="770" t="b">
        <v>1</v>
      </c>
    </row>
    <row r="26" spans="2:18" ht="28.5">
      <c r="B26" s="369"/>
      <c r="C26" s="638" t="s">
        <v>175</v>
      </c>
      <c r="D26" s="403"/>
      <c r="E26" s="792"/>
      <c r="F26" s="793" t="s">
        <v>176</v>
      </c>
      <c r="G26" s="404" t="s">
        <v>117</v>
      </c>
      <c r="H26" s="794">
        <v>4</v>
      </c>
      <c r="I26" s="795">
        <v>127809</v>
      </c>
      <c r="J26" s="1089">
        <f t="shared" si="0"/>
        <v>511236</v>
      </c>
      <c r="K26" s="631"/>
      <c r="M26" s="770" t="s">
        <v>176</v>
      </c>
      <c r="N26" s="770" t="b">
        <v>1</v>
      </c>
      <c r="O26" s="770" t="s">
        <v>117</v>
      </c>
      <c r="P26" s="770" t="b">
        <v>1</v>
      </c>
      <c r="Q26" s="770">
        <v>4</v>
      </c>
      <c r="R26" s="770" t="b">
        <v>1</v>
      </c>
    </row>
    <row r="27" spans="2:18" ht="28.5">
      <c r="B27" s="369"/>
      <c r="C27" s="638" t="s">
        <v>177</v>
      </c>
      <c r="D27" s="403"/>
      <c r="E27" s="792"/>
      <c r="F27" s="793" t="s">
        <v>178</v>
      </c>
      <c r="G27" s="404" t="s">
        <v>154</v>
      </c>
      <c r="H27" s="794">
        <v>20</v>
      </c>
      <c r="I27" s="795">
        <v>27673</v>
      </c>
      <c r="J27" s="1089">
        <f t="shared" si="0"/>
        <v>553460</v>
      </c>
      <c r="K27" s="631"/>
      <c r="M27" s="770" t="s">
        <v>178</v>
      </c>
      <c r="N27" s="770" t="b">
        <v>1</v>
      </c>
      <c r="O27" s="770" t="s">
        <v>154</v>
      </c>
      <c r="P27" s="770" t="b">
        <v>1</v>
      </c>
      <c r="Q27" s="770">
        <v>20</v>
      </c>
      <c r="R27" s="770" t="b">
        <v>1</v>
      </c>
    </row>
    <row r="28" spans="2:18" ht="28.5">
      <c r="B28" s="369"/>
      <c r="C28" s="638" t="s">
        <v>179</v>
      </c>
      <c r="D28" s="403"/>
      <c r="E28" s="792"/>
      <c r="F28" s="793" t="s">
        <v>180</v>
      </c>
      <c r="G28" s="404" t="s">
        <v>117</v>
      </c>
      <c r="H28" s="794">
        <v>5</v>
      </c>
      <c r="I28" s="795">
        <v>26889</v>
      </c>
      <c r="J28" s="1089">
        <f t="shared" si="0"/>
        <v>134445</v>
      </c>
      <c r="K28" s="631"/>
      <c r="M28" s="770" t="s">
        <v>180</v>
      </c>
      <c r="N28" s="770" t="b">
        <v>1</v>
      </c>
      <c r="O28" s="770" t="s">
        <v>117</v>
      </c>
      <c r="P28" s="770" t="b">
        <v>1</v>
      </c>
      <c r="Q28" s="770">
        <v>4</v>
      </c>
      <c r="R28" s="770" t="b">
        <v>0</v>
      </c>
    </row>
    <row r="29" spans="2:18" ht="28.5">
      <c r="B29" s="369"/>
      <c r="C29" s="638" t="s">
        <v>181</v>
      </c>
      <c r="D29" s="403"/>
      <c r="E29" s="792"/>
      <c r="F29" s="793" t="s">
        <v>182</v>
      </c>
      <c r="G29" s="404" t="s">
        <v>154</v>
      </c>
      <c r="H29" s="794">
        <v>15</v>
      </c>
      <c r="I29" s="795">
        <v>26122</v>
      </c>
      <c r="J29" s="1089">
        <f t="shared" si="0"/>
        <v>391830</v>
      </c>
      <c r="K29" s="631"/>
      <c r="M29" s="770" t="s">
        <v>182</v>
      </c>
      <c r="N29" s="770" t="b">
        <v>1</v>
      </c>
      <c r="O29" s="770" t="s">
        <v>154</v>
      </c>
      <c r="P29" s="770" t="b">
        <v>1</v>
      </c>
      <c r="Q29" s="770">
        <v>15</v>
      </c>
      <c r="R29" s="770" t="b">
        <v>1</v>
      </c>
    </row>
    <row r="30" spans="2:18">
      <c r="B30" s="369"/>
      <c r="C30" s="638" t="s">
        <v>183</v>
      </c>
      <c r="D30" s="403"/>
      <c r="E30" s="792"/>
      <c r="F30" s="793" t="s">
        <v>184</v>
      </c>
      <c r="G30" s="404" t="s">
        <v>117</v>
      </c>
      <c r="H30" s="794">
        <v>4</v>
      </c>
      <c r="I30" s="795">
        <v>46192</v>
      </c>
      <c r="J30" s="1089">
        <f t="shared" si="0"/>
        <v>184768</v>
      </c>
      <c r="K30" s="631"/>
      <c r="M30" s="770" t="s">
        <v>184</v>
      </c>
      <c r="N30" s="770" t="b">
        <v>1</v>
      </c>
      <c r="O30" s="770" t="s">
        <v>117</v>
      </c>
      <c r="P30" s="770" t="b">
        <v>1</v>
      </c>
      <c r="Q30" s="770">
        <v>4</v>
      </c>
      <c r="R30" s="770" t="b">
        <v>1</v>
      </c>
    </row>
    <row r="31" spans="2:18" ht="29.25" thickBot="1">
      <c r="B31" s="369"/>
      <c r="C31" s="638" t="s">
        <v>185</v>
      </c>
      <c r="D31" s="403"/>
      <c r="E31" s="792"/>
      <c r="F31" s="793" t="s">
        <v>186</v>
      </c>
      <c r="G31" s="404" t="s">
        <v>137</v>
      </c>
      <c r="H31" s="794">
        <v>18</v>
      </c>
      <c r="I31" s="795">
        <v>45705</v>
      </c>
      <c r="J31" s="1089">
        <f t="shared" si="0"/>
        <v>822690</v>
      </c>
      <c r="K31" s="631"/>
      <c r="M31" s="770" t="s">
        <v>186</v>
      </c>
      <c r="N31" s="770" t="b">
        <v>1</v>
      </c>
      <c r="O31" s="770" t="s">
        <v>137</v>
      </c>
      <c r="P31" s="770" t="b">
        <v>1</v>
      </c>
      <c r="Q31" s="770">
        <v>18</v>
      </c>
      <c r="R31" s="770" t="b">
        <v>1</v>
      </c>
    </row>
    <row r="32" spans="2:18" ht="24.95" customHeight="1" thickBot="1">
      <c r="B32" s="369"/>
      <c r="C32" s="309" t="s">
        <v>187</v>
      </c>
      <c r="D32" s="310"/>
      <c r="E32" s="310"/>
      <c r="F32" s="354" t="s">
        <v>505</v>
      </c>
      <c r="G32" s="310"/>
      <c r="H32" s="314"/>
      <c r="I32" s="639"/>
      <c r="J32" s="640"/>
      <c r="K32" s="631"/>
      <c r="M32" s="770" t="s">
        <v>505</v>
      </c>
      <c r="N32" s="770" t="b">
        <v>1</v>
      </c>
      <c r="O32" s="770">
        <v>0</v>
      </c>
      <c r="P32" s="770" t="b">
        <v>1</v>
      </c>
      <c r="Q32" s="770">
        <v>0</v>
      </c>
      <c r="R32" s="770" t="b">
        <v>1</v>
      </c>
    </row>
    <row r="33" spans="2:18">
      <c r="B33" s="369"/>
      <c r="C33" s="303" t="s">
        <v>188</v>
      </c>
      <c r="D33" s="302"/>
      <c r="E33" s="298"/>
      <c r="F33" s="355" t="s">
        <v>189</v>
      </c>
      <c r="G33" s="332" t="s">
        <v>145</v>
      </c>
      <c r="H33" s="326">
        <v>87</v>
      </c>
      <c r="I33" s="641">
        <v>52600</v>
      </c>
      <c r="J33" s="1089">
        <f t="shared" ref="J33:J42" si="1">+H33*I33</f>
        <v>4576200</v>
      </c>
      <c r="K33" s="631"/>
      <c r="M33" s="770" t="s">
        <v>189</v>
      </c>
      <c r="N33" s="770" t="b">
        <v>1</v>
      </c>
      <c r="O33" s="770" t="s">
        <v>145</v>
      </c>
      <c r="P33" s="770" t="b">
        <v>1</v>
      </c>
      <c r="Q33" s="770">
        <v>87</v>
      </c>
      <c r="R33" s="770" t="b">
        <v>1</v>
      </c>
    </row>
    <row r="34" spans="2:18" ht="28.5">
      <c r="B34" s="369"/>
      <c r="C34" s="638" t="s">
        <v>190</v>
      </c>
      <c r="D34" s="406"/>
      <c r="E34" s="796"/>
      <c r="F34" s="793" t="s">
        <v>191</v>
      </c>
      <c r="G34" s="796" t="s">
        <v>95</v>
      </c>
      <c r="H34" s="326">
        <v>20</v>
      </c>
      <c r="I34" s="641">
        <v>24146</v>
      </c>
      <c r="J34" s="1089">
        <f t="shared" si="1"/>
        <v>482920</v>
      </c>
      <c r="K34" s="631"/>
      <c r="M34" s="770" t="s">
        <v>191</v>
      </c>
      <c r="N34" s="770" t="b">
        <v>1</v>
      </c>
      <c r="O34" s="770" t="s">
        <v>95</v>
      </c>
      <c r="P34" s="770" t="b">
        <v>1</v>
      </c>
      <c r="Q34" s="770">
        <v>20</v>
      </c>
      <c r="R34" s="770" t="b">
        <v>1</v>
      </c>
    </row>
    <row r="35" spans="2:18" ht="29.25" thickBot="1">
      <c r="B35" s="369"/>
      <c r="C35" s="638" t="s">
        <v>192</v>
      </c>
      <c r="D35" s="406"/>
      <c r="E35" s="796"/>
      <c r="F35" s="793" t="s">
        <v>193</v>
      </c>
      <c r="G35" s="796" t="s">
        <v>154</v>
      </c>
      <c r="H35" s="326">
        <v>10</v>
      </c>
      <c r="I35" s="641">
        <v>167775</v>
      </c>
      <c r="J35" s="1089">
        <f t="shared" si="1"/>
        <v>1677750</v>
      </c>
      <c r="K35" s="631"/>
      <c r="M35" s="770" t="s">
        <v>193</v>
      </c>
      <c r="N35" s="770" t="b">
        <v>1</v>
      </c>
      <c r="O35" s="770" t="s">
        <v>154</v>
      </c>
      <c r="P35" s="770" t="b">
        <v>1</v>
      </c>
      <c r="Q35" s="770">
        <v>10</v>
      </c>
      <c r="R35" s="770" t="b">
        <v>1</v>
      </c>
    </row>
    <row r="36" spans="2:18" ht="24.95" customHeight="1" thickBot="1">
      <c r="B36" s="369"/>
      <c r="C36" s="306" t="s">
        <v>194</v>
      </c>
      <c r="D36" s="300"/>
      <c r="E36" s="300"/>
      <c r="F36" s="354" t="s">
        <v>506</v>
      </c>
      <c r="G36" s="310"/>
      <c r="H36" s="314"/>
      <c r="I36" s="639"/>
      <c r="J36" s="640"/>
      <c r="K36" s="631"/>
      <c r="M36" s="770" t="s">
        <v>506</v>
      </c>
      <c r="N36" s="770" t="b">
        <v>1</v>
      </c>
      <c r="O36" s="770">
        <v>0</v>
      </c>
      <c r="P36" s="770" t="b">
        <v>1</v>
      </c>
      <c r="Q36" s="770">
        <v>0</v>
      </c>
      <c r="R36" s="770" t="b">
        <v>1</v>
      </c>
    </row>
    <row r="37" spans="2:18" s="352" customFormat="1" ht="28.5">
      <c r="B37" s="375"/>
      <c r="C37" s="303" t="s">
        <v>195</v>
      </c>
      <c r="D37" s="341"/>
      <c r="E37" s="342"/>
      <c r="F37" s="642" t="s">
        <v>196</v>
      </c>
      <c r="G37" s="332" t="s">
        <v>154</v>
      </c>
      <c r="H37" s="326">
        <v>26</v>
      </c>
      <c r="I37" s="641">
        <v>103639</v>
      </c>
      <c r="J37" s="1089">
        <f t="shared" si="1"/>
        <v>2694614</v>
      </c>
      <c r="K37" s="632"/>
      <c r="M37" s="770" t="s">
        <v>196</v>
      </c>
      <c r="N37" s="770" t="b">
        <v>1</v>
      </c>
      <c r="O37" s="770" t="s">
        <v>154</v>
      </c>
      <c r="P37" s="770" t="b">
        <v>1</v>
      </c>
      <c r="Q37" s="770">
        <v>26</v>
      </c>
      <c r="R37" s="770" t="b">
        <v>1</v>
      </c>
    </row>
    <row r="38" spans="2:18" s="352" customFormat="1" ht="28.5">
      <c r="B38" s="375"/>
      <c r="C38" s="638" t="s">
        <v>197</v>
      </c>
      <c r="D38" s="406"/>
      <c r="E38" s="796"/>
      <c r="F38" s="793" t="s">
        <v>198</v>
      </c>
      <c r="G38" s="796" t="s">
        <v>145</v>
      </c>
      <c r="H38" s="326">
        <v>45</v>
      </c>
      <c r="I38" s="641">
        <v>63952</v>
      </c>
      <c r="J38" s="1089">
        <f t="shared" si="1"/>
        <v>2877840</v>
      </c>
      <c r="K38" s="632"/>
      <c r="M38" s="770" t="s">
        <v>198</v>
      </c>
      <c r="N38" s="770" t="b">
        <v>1</v>
      </c>
      <c r="O38" s="770" t="s">
        <v>145</v>
      </c>
      <c r="P38" s="770" t="b">
        <v>1</v>
      </c>
      <c r="Q38" s="770">
        <v>45</v>
      </c>
      <c r="R38" s="770" t="b">
        <v>1</v>
      </c>
    </row>
    <row r="39" spans="2:18" s="352" customFormat="1" ht="61.5" customHeight="1">
      <c r="B39" s="375"/>
      <c r="C39" s="638" t="s">
        <v>199</v>
      </c>
      <c r="D39" s="406"/>
      <c r="E39" s="796"/>
      <c r="F39" s="798" t="s">
        <v>200</v>
      </c>
      <c r="G39" s="796" t="s">
        <v>145</v>
      </c>
      <c r="H39" s="326">
        <v>45</v>
      </c>
      <c r="I39" s="641">
        <v>394790</v>
      </c>
      <c r="J39" s="1089">
        <f t="shared" si="1"/>
        <v>17765550</v>
      </c>
      <c r="K39" s="632"/>
      <c r="M39" s="770" t="s">
        <v>200</v>
      </c>
      <c r="N39" s="770" t="b">
        <v>1</v>
      </c>
      <c r="O39" s="770" t="s">
        <v>145</v>
      </c>
      <c r="P39" s="770" t="b">
        <v>1</v>
      </c>
      <c r="Q39" s="770">
        <v>45</v>
      </c>
      <c r="R39" s="770" t="b">
        <v>1</v>
      </c>
    </row>
    <row r="40" spans="2:18" s="352" customFormat="1" ht="39" customHeight="1">
      <c r="B40" s="375"/>
      <c r="C40" s="638" t="s">
        <v>201</v>
      </c>
      <c r="D40" s="406"/>
      <c r="E40" s="796"/>
      <c r="F40" s="793" t="s">
        <v>507</v>
      </c>
      <c r="G40" s="796" t="s">
        <v>154</v>
      </c>
      <c r="H40" s="326">
        <v>27</v>
      </c>
      <c r="I40" s="641">
        <v>111694</v>
      </c>
      <c r="J40" s="1089">
        <f t="shared" si="1"/>
        <v>3015738</v>
      </c>
      <c r="K40" s="632"/>
      <c r="M40" s="770" t="s">
        <v>507</v>
      </c>
      <c r="N40" s="770" t="b">
        <v>1</v>
      </c>
      <c r="O40" s="770" t="s">
        <v>154</v>
      </c>
      <c r="P40" s="770" t="b">
        <v>1</v>
      </c>
      <c r="Q40" s="770">
        <v>27</v>
      </c>
      <c r="R40" s="770" t="b">
        <v>1</v>
      </c>
    </row>
    <row r="41" spans="2:18" s="352" customFormat="1">
      <c r="B41" s="375"/>
      <c r="C41" s="638" t="s">
        <v>202</v>
      </c>
      <c r="D41" s="406"/>
      <c r="E41" s="796"/>
      <c r="F41" s="793" t="s">
        <v>203</v>
      </c>
      <c r="G41" s="796" t="s">
        <v>145</v>
      </c>
      <c r="H41" s="326">
        <v>45</v>
      </c>
      <c r="I41" s="641">
        <v>128727</v>
      </c>
      <c r="J41" s="1089">
        <f t="shared" si="1"/>
        <v>5792715</v>
      </c>
      <c r="K41" s="632"/>
      <c r="M41" s="770" t="s">
        <v>203</v>
      </c>
      <c r="N41" s="770" t="b">
        <v>1</v>
      </c>
      <c r="O41" s="770" t="s">
        <v>145</v>
      </c>
      <c r="P41" s="770" t="b">
        <v>1</v>
      </c>
      <c r="Q41" s="770">
        <v>45</v>
      </c>
      <c r="R41" s="770" t="b">
        <v>1</v>
      </c>
    </row>
    <row r="42" spans="2:18" s="352" customFormat="1" ht="29.25" thickBot="1">
      <c r="B42" s="375"/>
      <c r="C42" s="638" t="s">
        <v>204</v>
      </c>
      <c r="D42" s="406"/>
      <c r="E42" s="796"/>
      <c r="F42" s="793" t="s">
        <v>205</v>
      </c>
      <c r="G42" s="796" t="s">
        <v>145</v>
      </c>
      <c r="H42" s="326">
        <v>16</v>
      </c>
      <c r="I42" s="641">
        <v>86331</v>
      </c>
      <c r="J42" s="1089">
        <f t="shared" si="1"/>
        <v>1381296</v>
      </c>
      <c r="K42" s="632"/>
      <c r="M42" s="770" t="s">
        <v>205</v>
      </c>
      <c r="N42" s="770" t="b">
        <v>1</v>
      </c>
      <c r="O42" s="770" t="s">
        <v>145</v>
      </c>
      <c r="P42" s="770" t="b">
        <v>1</v>
      </c>
      <c r="Q42" s="770">
        <v>16</v>
      </c>
      <c r="R42" s="770" t="b">
        <v>1</v>
      </c>
    </row>
    <row r="43" spans="2:18" ht="24.95" customHeight="1" thickBot="1">
      <c r="B43" s="369"/>
      <c r="C43" s="306" t="s">
        <v>206</v>
      </c>
      <c r="D43" s="300"/>
      <c r="E43" s="300"/>
      <c r="F43" s="356" t="s">
        <v>508</v>
      </c>
      <c r="G43" s="310"/>
      <c r="H43" s="314"/>
      <c r="I43" s="639"/>
      <c r="J43" s="640"/>
      <c r="K43" s="631"/>
      <c r="M43" s="770" t="s">
        <v>508</v>
      </c>
      <c r="N43" s="770" t="b">
        <v>1</v>
      </c>
      <c r="O43" s="770">
        <v>0</v>
      </c>
      <c r="P43" s="770" t="b">
        <v>1</v>
      </c>
      <c r="Q43" s="770">
        <v>0</v>
      </c>
      <c r="R43" s="770" t="b">
        <v>1</v>
      </c>
    </row>
    <row r="44" spans="2:18" ht="28.5">
      <c r="B44" s="369"/>
      <c r="C44" s="303" t="s">
        <v>207</v>
      </c>
      <c r="D44" s="406"/>
      <c r="E44" s="796"/>
      <c r="F44" s="355" t="s">
        <v>208</v>
      </c>
      <c r="G44" s="332" t="s">
        <v>145</v>
      </c>
      <c r="H44" s="326">
        <v>70</v>
      </c>
      <c r="I44" s="641">
        <v>93698</v>
      </c>
      <c r="J44" s="1089">
        <f t="shared" ref="J44:J46" si="2">+H44*I44</f>
        <v>6558860</v>
      </c>
      <c r="K44" s="631"/>
      <c r="M44" s="770" t="s">
        <v>208</v>
      </c>
      <c r="N44" s="770" t="b">
        <v>1</v>
      </c>
      <c r="O44" s="770" t="s">
        <v>145</v>
      </c>
      <c r="P44" s="770" t="b">
        <v>1</v>
      </c>
      <c r="Q44" s="770">
        <v>70</v>
      </c>
      <c r="R44" s="770" t="b">
        <v>1</v>
      </c>
    </row>
    <row r="45" spans="2:18">
      <c r="B45" s="369"/>
      <c r="C45" s="304" t="s">
        <v>209</v>
      </c>
      <c r="D45" s="406"/>
      <c r="E45" s="796"/>
      <c r="F45" s="355" t="s">
        <v>210</v>
      </c>
      <c r="G45" s="332" t="s">
        <v>117</v>
      </c>
      <c r="H45" s="326">
        <v>20</v>
      </c>
      <c r="I45" s="641">
        <v>30007</v>
      </c>
      <c r="J45" s="1089">
        <f t="shared" si="2"/>
        <v>600140</v>
      </c>
      <c r="K45" s="631"/>
      <c r="M45" s="770" t="s">
        <v>210</v>
      </c>
      <c r="N45" s="770" t="b">
        <v>1</v>
      </c>
      <c r="O45" s="770" t="s">
        <v>117</v>
      </c>
      <c r="P45" s="770" t="b">
        <v>1</v>
      </c>
      <c r="Q45" s="770">
        <v>20</v>
      </c>
      <c r="R45" s="770" t="b">
        <v>1</v>
      </c>
    </row>
    <row r="46" spans="2:18" ht="29.25" thickBot="1">
      <c r="B46" s="369"/>
      <c r="C46" s="304" t="s">
        <v>211</v>
      </c>
      <c r="D46" s="406"/>
      <c r="E46" s="796"/>
      <c r="F46" s="355" t="s">
        <v>212</v>
      </c>
      <c r="G46" s="332" t="s">
        <v>145</v>
      </c>
      <c r="H46" s="326">
        <v>45</v>
      </c>
      <c r="I46" s="641">
        <v>92984</v>
      </c>
      <c r="J46" s="1089">
        <f t="shared" si="2"/>
        <v>4184280</v>
      </c>
      <c r="K46" s="631"/>
      <c r="M46" s="770" t="s">
        <v>212</v>
      </c>
      <c r="N46" s="770" t="b">
        <v>1</v>
      </c>
      <c r="O46" s="770" t="s">
        <v>145</v>
      </c>
      <c r="P46" s="770" t="b">
        <v>1</v>
      </c>
      <c r="Q46" s="770">
        <v>45</v>
      </c>
      <c r="R46" s="770" t="b">
        <v>1</v>
      </c>
    </row>
    <row r="47" spans="2:18" ht="24.95" customHeight="1" thickBot="1">
      <c r="B47" s="369"/>
      <c r="C47" s="309" t="s">
        <v>213</v>
      </c>
      <c r="D47" s="340"/>
      <c r="E47" s="329"/>
      <c r="F47" s="356" t="s">
        <v>509</v>
      </c>
      <c r="G47" s="329"/>
      <c r="H47" s="330"/>
      <c r="I47" s="639"/>
      <c r="J47" s="643"/>
      <c r="K47" s="631"/>
      <c r="M47" s="770" t="s">
        <v>509</v>
      </c>
      <c r="N47" s="770" t="b">
        <v>1</v>
      </c>
      <c r="O47" s="770">
        <v>0</v>
      </c>
      <c r="P47" s="770" t="b">
        <v>1</v>
      </c>
      <c r="Q47" s="770">
        <v>0</v>
      </c>
      <c r="R47" s="770" t="b">
        <v>1</v>
      </c>
    </row>
    <row r="48" spans="2:18" ht="28.5">
      <c r="B48" s="369"/>
      <c r="C48" s="305" t="s">
        <v>214</v>
      </c>
      <c r="D48" s="302"/>
      <c r="E48" s="298"/>
      <c r="F48" s="642" t="s">
        <v>215</v>
      </c>
      <c r="G48" s="332" t="s">
        <v>145</v>
      </c>
      <c r="H48" s="326">
        <v>88</v>
      </c>
      <c r="I48" s="641">
        <v>42760</v>
      </c>
      <c r="J48" s="1089">
        <f t="shared" ref="J48:J64" si="3">+H48*I48</f>
        <v>3762880</v>
      </c>
      <c r="K48" s="631"/>
      <c r="M48" s="770" t="s">
        <v>215</v>
      </c>
      <c r="N48" s="770" t="b">
        <v>1</v>
      </c>
      <c r="O48" s="770" t="s">
        <v>145</v>
      </c>
      <c r="P48" s="770" t="b">
        <v>1</v>
      </c>
      <c r="Q48" s="770">
        <v>88</v>
      </c>
      <c r="R48" s="770" t="b">
        <v>1</v>
      </c>
    </row>
    <row r="49" spans="2:18" ht="28.5">
      <c r="B49" s="369"/>
      <c r="C49" s="304" t="s">
        <v>216</v>
      </c>
      <c r="D49" s="406"/>
      <c r="E49" s="796"/>
      <c r="F49" s="355" t="s">
        <v>217</v>
      </c>
      <c r="G49" s="332" t="s">
        <v>154</v>
      </c>
      <c r="H49" s="326">
        <v>15</v>
      </c>
      <c r="I49" s="641">
        <v>371446</v>
      </c>
      <c r="J49" s="1089">
        <f t="shared" si="3"/>
        <v>5571690</v>
      </c>
      <c r="K49" s="631"/>
      <c r="M49" s="770" t="s">
        <v>217</v>
      </c>
      <c r="N49" s="770" t="b">
        <v>1</v>
      </c>
      <c r="O49" s="770" t="s">
        <v>154</v>
      </c>
      <c r="P49" s="770" t="b">
        <v>1</v>
      </c>
      <c r="Q49" s="770">
        <v>15</v>
      </c>
      <c r="R49" s="770" t="b">
        <v>1</v>
      </c>
    </row>
    <row r="50" spans="2:18">
      <c r="B50" s="369"/>
      <c r="C50" s="304" t="s">
        <v>218</v>
      </c>
      <c r="D50" s="406"/>
      <c r="E50" s="796"/>
      <c r="F50" s="355" t="s">
        <v>219</v>
      </c>
      <c r="G50" s="332" t="s">
        <v>145</v>
      </c>
      <c r="H50" s="326">
        <v>450</v>
      </c>
      <c r="I50" s="641">
        <v>14816</v>
      </c>
      <c r="J50" s="1089">
        <f t="shared" si="3"/>
        <v>6667200</v>
      </c>
      <c r="K50" s="631"/>
      <c r="M50" s="770" t="s">
        <v>219</v>
      </c>
      <c r="N50" s="770" t="b">
        <v>1</v>
      </c>
      <c r="O50" s="770" t="s">
        <v>145</v>
      </c>
      <c r="P50" s="770" t="b">
        <v>1</v>
      </c>
      <c r="Q50" s="770">
        <v>450</v>
      </c>
      <c r="R50" s="770" t="b">
        <v>1</v>
      </c>
    </row>
    <row r="51" spans="2:18">
      <c r="B51" s="369"/>
      <c r="C51" s="304" t="s">
        <v>220</v>
      </c>
      <c r="D51" s="406"/>
      <c r="E51" s="796"/>
      <c r="F51" s="355" t="s">
        <v>221</v>
      </c>
      <c r="G51" s="332" t="s">
        <v>145</v>
      </c>
      <c r="H51" s="326">
        <v>3</v>
      </c>
      <c r="I51" s="641">
        <v>25195</v>
      </c>
      <c r="J51" s="1089">
        <f t="shared" si="3"/>
        <v>75585</v>
      </c>
      <c r="K51" s="631"/>
      <c r="M51" s="770" t="s">
        <v>221</v>
      </c>
      <c r="N51" s="770" t="b">
        <v>1</v>
      </c>
      <c r="O51" s="770" t="s">
        <v>145</v>
      </c>
      <c r="P51" s="770" t="b">
        <v>1</v>
      </c>
      <c r="Q51" s="770">
        <v>3</v>
      </c>
      <c r="R51" s="770" t="b">
        <v>1</v>
      </c>
    </row>
    <row r="52" spans="2:18" ht="28.5">
      <c r="B52" s="369"/>
      <c r="C52" s="304" t="s">
        <v>222</v>
      </c>
      <c r="D52" s="406"/>
      <c r="E52" s="796"/>
      <c r="F52" s="355" t="s">
        <v>223</v>
      </c>
      <c r="G52" s="332" t="s">
        <v>145</v>
      </c>
      <c r="H52" s="326">
        <v>450</v>
      </c>
      <c r="I52" s="641">
        <v>15909</v>
      </c>
      <c r="J52" s="1089">
        <f t="shared" si="3"/>
        <v>7159050</v>
      </c>
      <c r="K52" s="631"/>
      <c r="M52" s="770" t="s">
        <v>223</v>
      </c>
      <c r="N52" s="770" t="b">
        <v>1</v>
      </c>
      <c r="O52" s="770" t="s">
        <v>145</v>
      </c>
      <c r="P52" s="770" t="b">
        <v>1</v>
      </c>
      <c r="Q52" s="770">
        <v>450</v>
      </c>
      <c r="R52" s="770" t="b">
        <v>1</v>
      </c>
    </row>
    <row r="53" spans="2:18">
      <c r="B53" s="369"/>
      <c r="C53" s="304" t="s">
        <v>224</v>
      </c>
      <c r="D53" s="406"/>
      <c r="E53" s="796"/>
      <c r="F53" s="355" t="s">
        <v>225</v>
      </c>
      <c r="G53" s="332" t="s">
        <v>154</v>
      </c>
      <c r="H53" s="326">
        <v>45</v>
      </c>
      <c r="I53" s="641">
        <v>20286</v>
      </c>
      <c r="J53" s="1089">
        <f t="shared" si="3"/>
        <v>912870</v>
      </c>
      <c r="K53" s="631"/>
      <c r="M53" s="770" t="s">
        <v>225</v>
      </c>
      <c r="N53" s="770" t="b">
        <v>1</v>
      </c>
      <c r="O53" s="770" t="s">
        <v>154</v>
      </c>
      <c r="P53" s="770" t="b">
        <v>1</v>
      </c>
      <c r="Q53" s="770">
        <v>45</v>
      </c>
      <c r="R53" s="770" t="b">
        <v>1</v>
      </c>
    </row>
    <row r="54" spans="2:18">
      <c r="B54" s="369"/>
      <c r="C54" s="304" t="s">
        <v>226</v>
      </c>
      <c r="D54" s="406"/>
      <c r="E54" s="796"/>
      <c r="F54" s="355" t="s">
        <v>227</v>
      </c>
      <c r="G54" s="332" t="s">
        <v>145</v>
      </c>
      <c r="H54" s="326">
        <v>80</v>
      </c>
      <c r="I54" s="641">
        <v>10368</v>
      </c>
      <c r="J54" s="1089">
        <f t="shared" si="3"/>
        <v>829440</v>
      </c>
      <c r="K54" s="631"/>
      <c r="M54" s="770" t="s">
        <v>227</v>
      </c>
      <c r="N54" s="770" t="b">
        <v>1</v>
      </c>
      <c r="O54" s="770" t="s">
        <v>145</v>
      </c>
      <c r="P54" s="770" t="b">
        <v>1</v>
      </c>
      <c r="Q54" s="770">
        <v>80</v>
      </c>
      <c r="R54" s="770" t="b">
        <v>1</v>
      </c>
    </row>
    <row r="55" spans="2:18">
      <c r="B55" s="369"/>
      <c r="C55" s="304" t="s">
        <v>228</v>
      </c>
      <c r="D55" s="406"/>
      <c r="E55" s="796"/>
      <c r="F55" s="355" t="s">
        <v>229</v>
      </c>
      <c r="G55" s="332" t="s">
        <v>145</v>
      </c>
      <c r="H55" s="326">
        <v>310</v>
      </c>
      <c r="I55" s="641">
        <v>255288</v>
      </c>
      <c r="J55" s="1089">
        <f t="shared" si="3"/>
        <v>79139280</v>
      </c>
      <c r="K55" s="631"/>
      <c r="M55" s="770" t="s">
        <v>229</v>
      </c>
      <c r="N55" s="770" t="b">
        <v>1</v>
      </c>
      <c r="O55" s="770" t="s">
        <v>145</v>
      </c>
      <c r="P55" s="770" t="b">
        <v>1</v>
      </c>
      <c r="Q55" s="770">
        <v>310</v>
      </c>
      <c r="R55" s="770" t="b">
        <v>1</v>
      </c>
    </row>
    <row r="56" spans="2:18" ht="29.25" thickBot="1">
      <c r="B56" s="369"/>
      <c r="C56" s="304" t="s">
        <v>230</v>
      </c>
      <c r="D56" s="406"/>
      <c r="E56" s="796"/>
      <c r="F56" s="355" t="s">
        <v>231</v>
      </c>
      <c r="G56" s="332" t="s">
        <v>145</v>
      </c>
      <c r="H56" s="326">
        <v>15</v>
      </c>
      <c r="I56" s="641">
        <v>55025</v>
      </c>
      <c r="J56" s="1089">
        <f t="shared" si="3"/>
        <v>825375</v>
      </c>
      <c r="K56" s="631"/>
      <c r="M56" s="770" t="s">
        <v>231</v>
      </c>
      <c r="N56" s="770" t="b">
        <v>1</v>
      </c>
      <c r="O56" s="770" t="s">
        <v>145</v>
      </c>
      <c r="P56" s="770" t="b">
        <v>1</v>
      </c>
      <c r="Q56" s="770">
        <v>15</v>
      </c>
      <c r="R56" s="770" t="b">
        <v>1</v>
      </c>
    </row>
    <row r="57" spans="2:18" ht="24.95" customHeight="1" thickBot="1">
      <c r="B57" s="369"/>
      <c r="C57" s="309" t="s">
        <v>232</v>
      </c>
      <c r="D57" s="335"/>
      <c r="E57" s="335"/>
      <c r="F57" s="357" t="s">
        <v>510</v>
      </c>
      <c r="G57" s="335"/>
      <c r="H57" s="336"/>
      <c r="I57" s="639"/>
      <c r="J57" s="644"/>
      <c r="K57" s="631"/>
      <c r="M57" s="770" t="s">
        <v>510</v>
      </c>
      <c r="N57" s="770" t="b">
        <v>1</v>
      </c>
      <c r="O57" s="770">
        <v>0</v>
      </c>
      <c r="P57" s="770" t="b">
        <v>1</v>
      </c>
      <c r="Q57" s="770">
        <v>0</v>
      </c>
      <c r="R57" s="770" t="b">
        <v>1</v>
      </c>
    </row>
    <row r="58" spans="2:18" ht="28.5">
      <c r="B58" s="369"/>
      <c r="C58" s="304">
        <v>7.1</v>
      </c>
      <c r="D58" s="645"/>
      <c r="E58" s="646"/>
      <c r="F58" s="358" t="s">
        <v>233</v>
      </c>
      <c r="G58" s="332" t="s">
        <v>137</v>
      </c>
      <c r="H58" s="326">
        <v>3</v>
      </c>
      <c r="I58" s="641">
        <v>1057671</v>
      </c>
      <c r="J58" s="1089">
        <f t="shared" si="3"/>
        <v>3173013</v>
      </c>
      <c r="K58" s="631"/>
      <c r="M58" s="770" t="s">
        <v>233</v>
      </c>
      <c r="N58" s="770" t="b">
        <v>1</v>
      </c>
      <c r="O58" s="770" t="s">
        <v>137</v>
      </c>
      <c r="P58" s="770" t="b">
        <v>1</v>
      </c>
      <c r="Q58" s="770">
        <v>3</v>
      </c>
      <c r="R58" s="770" t="b">
        <v>1</v>
      </c>
    </row>
    <row r="59" spans="2:18" ht="28.5">
      <c r="B59" s="369"/>
      <c r="C59" s="638">
        <v>7.2</v>
      </c>
      <c r="D59" s="409"/>
      <c r="E59" s="799"/>
      <c r="F59" s="800" t="s">
        <v>234</v>
      </c>
      <c r="G59" s="796" t="s">
        <v>137</v>
      </c>
      <c r="H59" s="326">
        <v>4</v>
      </c>
      <c r="I59" s="641">
        <v>788687</v>
      </c>
      <c r="J59" s="1089">
        <f t="shared" si="3"/>
        <v>3154748</v>
      </c>
      <c r="K59" s="631"/>
      <c r="M59" s="770" t="s">
        <v>234</v>
      </c>
      <c r="N59" s="770" t="b">
        <v>1</v>
      </c>
      <c r="O59" s="770" t="s">
        <v>137</v>
      </c>
      <c r="P59" s="770" t="b">
        <v>1</v>
      </c>
      <c r="Q59" s="770">
        <v>4</v>
      </c>
      <c r="R59" s="770" t="b">
        <v>1</v>
      </c>
    </row>
    <row r="60" spans="2:18" ht="28.5">
      <c r="B60" s="369"/>
      <c r="C60" s="638">
        <v>7.3</v>
      </c>
      <c r="D60" s="409"/>
      <c r="E60" s="799"/>
      <c r="F60" s="800" t="s">
        <v>235</v>
      </c>
      <c r="G60" s="796" t="s">
        <v>137</v>
      </c>
      <c r="H60" s="326">
        <v>8</v>
      </c>
      <c r="I60" s="641">
        <v>360076</v>
      </c>
      <c r="J60" s="1089">
        <f t="shared" si="3"/>
        <v>2880608</v>
      </c>
      <c r="K60" s="631"/>
      <c r="M60" s="770" t="s">
        <v>235</v>
      </c>
      <c r="N60" s="770" t="b">
        <v>1</v>
      </c>
      <c r="O60" s="770" t="s">
        <v>137</v>
      </c>
      <c r="P60" s="770" t="b">
        <v>1</v>
      </c>
      <c r="Q60" s="770">
        <v>8</v>
      </c>
      <c r="R60" s="770" t="b">
        <v>1</v>
      </c>
    </row>
    <row r="61" spans="2:18" ht="28.5">
      <c r="B61" s="369"/>
      <c r="C61" s="638">
        <v>7.4</v>
      </c>
      <c r="D61" s="409"/>
      <c r="E61" s="799"/>
      <c r="F61" s="801" t="s">
        <v>236</v>
      </c>
      <c r="G61" s="796" t="s">
        <v>137</v>
      </c>
      <c r="H61" s="326">
        <v>9</v>
      </c>
      <c r="I61" s="641">
        <v>401037</v>
      </c>
      <c r="J61" s="1089">
        <f t="shared" si="3"/>
        <v>3609333</v>
      </c>
      <c r="K61" s="631"/>
      <c r="M61" s="770" t="s">
        <v>236</v>
      </c>
      <c r="N61" s="770" t="b">
        <v>1</v>
      </c>
      <c r="O61" s="770" t="s">
        <v>137</v>
      </c>
      <c r="P61" s="770" t="b">
        <v>1</v>
      </c>
      <c r="Q61" s="770">
        <v>9</v>
      </c>
      <c r="R61" s="770" t="b">
        <v>1</v>
      </c>
    </row>
    <row r="62" spans="2:18" ht="28.5">
      <c r="B62" s="369"/>
      <c r="C62" s="638">
        <v>7.5</v>
      </c>
      <c r="D62" s="409"/>
      <c r="E62" s="799"/>
      <c r="F62" s="800" t="s">
        <v>237</v>
      </c>
      <c r="G62" s="796" t="s">
        <v>137</v>
      </c>
      <c r="H62" s="326">
        <v>16</v>
      </c>
      <c r="I62" s="641">
        <v>79500</v>
      </c>
      <c r="J62" s="1089">
        <f t="shared" si="3"/>
        <v>1272000</v>
      </c>
      <c r="K62" s="631"/>
      <c r="M62" s="770" t="s">
        <v>237</v>
      </c>
      <c r="N62" s="770" t="b">
        <v>1</v>
      </c>
      <c r="O62" s="770" t="s">
        <v>137</v>
      </c>
      <c r="P62" s="770" t="b">
        <v>1</v>
      </c>
      <c r="Q62" s="770">
        <v>16</v>
      </c>
      <c r="R62" s="770" t="b">
        <v>1</v>
      </c>
    </row>
    <row r="63" spans="2:18" ht="28.5">
      <c r="B63" s="369"/>
      <c r="C63" s="638">
        <v>7.6</v>
      </c>
      <c r="D63" s="409"/>
      <c r="E63" s="799"/>
      <c r="F63" s="793" t="s">
        <v>238</v>
      </c>
      <c r="G63" s="796" t="s">
        <v>137</v>
      </c>
      <c r="H63" s="326">
        <v>5</v>
      </c>
      <c r="I63" s="641">
        <v>3624180</v>
      </c>
      <c r="J63" s="1089">
        <f t="shared" si="3"/>
        <v>18120900</v>
      </c>
      <c r="K63" s="631"/>
      <c r="M63" s="770" t="s">
        <v>238</v>
      </c>
      <c r="N63" s="770" t="b">
        <v>1</v>
      </c>
      <c r="O63" s="770" t="s">
        <v>137</v>
      </c>
      <c r="P63" s="770" t="b">
        <v>1</v>
      </c>
      <c r="Q63" s="770">
        <v>5</v>
      </c>
      <c r="R63" s="770" t="b">
        <v>1</v>
      </c>
    </row>
    <row r="64" spans="2:18" ht="29.25" thickBot="1">
      <c r="B64" s="369"/>
      <c r="C64" s="647">
        <v>7.7</v>
      </c>
      <c r="D64" s="406"/>
      <c r="E64" s="796"/>
      <c r="F64" s="802" t="s">
        <v>239</v>
      </c>
      <c r="G64" s="796" t="s">
        <v>137</v>
      </c>
      <c r="H64" s="326">
        <v>37</v>
      </c>
      <c r="I64" s="641">
        <v>258182</v>
      </c>
      <c r="J64" s="1089">
        <f t="shared" si="3"/>
        <v>9552734</v>
      </c>
      <c r="K64" s="631"/>
      <c r="M64" s="770" t="s">
        <v>239</v>
      </c>
      <c r="N64" s="770" t="b">
        <v>1</v>
      </c>
      <c r="O64" s="770" t="s">
        <v>137</v>
      </c>
      <c r="P64" s="770" t="b">
        <v>1</v>
      </c>
      <c r="Q64" s="770">
        <v>37</v>
      </c>
      <c r="R64" s="770" t="b">
        <v>1</v>
      </c>
    </row>
    <row r="65" spans="2:18" ht="24.95" customHeight="1" thickBot="1">
      <c r="B65" s="369"/>
      <c r="C65" s="309" t="s">
        <v>240</v>
      </c>
      <c r="D65" s="335"/>
      <c r="E65" s="335"/>
      <c r="F65" s="359" t="s">
        <v>511</v>
      </c>
      <c r="G65" s="335"/>
      <c r="H65" s="336"/>
      <c r="I65" s="639"/>
      <c r="J65" s="644"/>
      <c r="K65" s="631"/>
      <c r="M65" s="770" t="s">
        <v>511</v>
      </c>
      <c r="N65" s="770" t="b">
        <v>1</v>
      </c>
      <c r="O65" s="770">
        <v>0</v>
      </c>
      <c r="P65" s="770" t="b">
        <v>1</v>
      </c>
      <c r="Q65" s="770">
        <v>0</v>
      </c>
      <c r="R65" s="770" t="b">
        <v>1</v>
      </c>
    </row>
    <row r="66" spans="2:18" ht="28.5">
      <c r="B66" s="369"/>
      <c r="C66" s="303">
        <v>8.1</v>
      </c>
      <c r="D66" s="648"/>
      <c r="E66" s="649"/>
      <c r="F66" s="355" t="s">
        <v>241</v>
      </c>
      <c r="G66" s="332" t="s">
        <v>145</v>
      </c>
      <c r="H66" s="326">
        <v>16</v>
      </c>
      <c r="I66" s="641">
        <v>88415</v>
      </c>
      <c r="J66" s="1089">
        <f t="shared" ref="J66:J70" si="4">+H66*I66</f>
        <v>1414640</v>
      </c>
      <c r="K66" s="631"/>
      <c r="M66" s="770" t="s">
        <v>241</v>
      </c>
      <c r="N66" s="770" t="b">
        <v>1</v>
      </c>
      <c r="O66" s="770" t="s">
        <v>145</v>
      </c>
      <c r="P66" s="770" t="b">
        <v>1</v>
      </c>
      <c r="Q66" s="770">
        <v>16</v>
      </c>
      <c r="R66" s="770" t="b">
        <v>1</v>
      </c>
    </row>
    <row r="67" spans="2:18" ht="28.5">
      <c r="B67" s="369"/>
      <c r="C67" s="638">
        <v>8.1999999999999993</v>
      </c>
      <c r="D67" s="403"/>
      <c r="E67" s="792"/>
      <c r="F67" s="793" t="s">
        <v>242</v>
      </c>
      <c r="G67" s="796" t="s">
        <v>154</v>
      </c>
      <c r="H67" s="326">
        <v>7</v>
      </c>
      <c r="I67" s="641">
        <v>90097</v>
      </c>
      <c r="J67" s="1089">
        <f t="shared" si="4"/>
        <v>630679</v>
      </c>
      <c r="K67" s="631"/>
      <c r="M67" s="770" t="s">
        <v>242</v>
      </c>
      <c r="N67" s="770" t="b">
        <v>1</v>
      </c>
      <c r="O67" s="770" t="s">
        <v>154</v>
      </c>
      <c r="P67" s="770" t="b">
        <v>1</v>
      </c>
      <c r="Q67" s="770">
        <v>7</v>
      </c>
      <c r="R67" s="770" t="b">
        <v>1</v>
      </c>
    </row>
    <row r="68" spans="2:18" ht="28.5">
      <c r="B68" s="369"/>
      <c r="C68" s="638">
        <v>8.3000000000000007</v>
      </c>
      <c r="D68" s="403"/>
      <c r="E68" s="792"/>
      <c r="F68" s="803" t="s">
        <v>243</v>
      </c>
      <c r="G68" s="796" t="s">
        <v>145</v>
      </c>
      <c r="H68" s="326">
        <v>8</v>
      </c>
      <c r="I68" s="641">
        <v>1301213</v>
      </c>
      <c r="J68" s="1089">
        <f t="shared" si="4"/>
        <v>10409704</v>
      </c>
      <c r="K68" s="631"/>
      <c r="M68" s="770" t="s">
        <v>243</v>
      </c>
      <c r="N68" s="770" t="b">
        <v>1</v>
      </c>
      <c r="O68" s="770" t="s">
        <v>145</v>
      </c>
      <c r="P68" s="770" t="b">
        <v>1</v>
      </c>
      <c r="Q68" s="770">
        <v>8</v>
      </c>
      <c r="R68" s="770" t="b">
        <v>1</v>
      </c>
    </row>
    <row r="69" spans="2:18" ht="28.5">
      <c r="B69" s="369"/>
      <c r="C69" s="638">
        <v>8.4</v>
      </c>
      <c r="D69" s="403"/>
      <c r="E69" s="792"/>
      <c r="F69" s="803" t="s">
        <v>244</v>
      </c>
      <c r="G69" s="796" t="s">
        <v>117</v>
      </c>
      <c r="H69" s="326">
        <v>4</v>
      </c>
      <c r="I69" s="641">
        <v>1238724</v>
      </c>
      <c r="J69" s="1089">
        <f t="shared" si="4"/>
        <v>4954896</v>
      </c>
      <c r="K69" s="631"/>
      <c r="M69" s="770" t="s">
        <v>244</v>
      </c>
      <c r="N69" s="770" t="b">
        <v>1</v>
      </c>
      <c r="O69" s="770" t="s">
        <v>117</v>
      </c>
      <c r="P69" s="770" t="b">
        <v>1</v>
      </c>
      <c r="Q69" s="770">
        <v>4</v>
      </c>
      <c r="R69" s="770" t="b">
        <v>1</v>
      </c>
    </row>
    <row r="70" spans="2:18" ht="29.25" thickBot="1">
      <c r="B70" s="369"/>
      <c r="C70" s="638">
        <v>8.5</v>
      </c>
      <c r="D70" s="403"/>
      <c r="E70" s="792"/>
      <c r="F70" s="793" t="s">
        <v>245</v>
      </c>
      <c r="G70" s="796" t="s">
        <v>154</v>
      </c>
      <c r="H70" s="326">
        <v>5</v>
      </c>
      <c r="I70" s="641">
        <v>771578</v>
      </c>
      <c r="J70" s="1089">
        <f t="shared" si="4"/>
        <v>3857890</v>
      </c>
      <c r="K70" s="631"/>
      <c r="M70" s="770" t="s">
        <v>245</v>
      </c>
      <c r="N70" s="770" t="b">
        <v>1</v>
      </c>
      <c r="O70" s="770" t="s">
        <v>154</v>
      </c>
      <c r="P70" s="770" t="b">
        <v>1</v>
      </c>
      <c r="Q70" s="770">
        <v>5</v>
      </c>
      <c r="R70" s="770" t="b">
        <v>1</v>
      </c>
    </row>
    <row r="71" spans="2:18" ht="24.95" customHeight="1" thickBot="1">
      <c r="B71" s="369"/>
      <c r="C71" s="309" t="s">
        <v>246</v>
      </c>
      <c r="D71" s="333"/>
      <c r="E71" s="334"/>
      <c r="F71" s="356" t="s">
        <v>512</v>
      </c>
      <c r="G71" s="329"/>
      <c r="H71" s="330"/>
      <c r="I71" s="639"/>
      <c r="J71" s="650"/>
      <c r="K71" s="631"/>
      <c r="M71" s="770" t="s">
        <v>512</v>
      </c>
      <c r="N71" s="770" t="b">
        <v>1</v>
      </c>
      <c r="O71" s="770">
        <v>0</v>
      </c>
      <c r="P71" s="770" t="b">
        <v>1</v>
      </c>
      <c r="Q71" s="770">
        <v>0</v>
      </c>
      <c r="R71" s="770" t="b">
        <v>1</v>
      </c>
    </row>
    <row r="72" spans="2:18">
      <c r="B72" s="388"/>
      <c r="C72" s="304">
        <v>9.1</v>
      </c>
      <c r="D72" s="448"/>
      <c r="E72" s="299"/>
      <c r="F72" s="355" t="s">
        <v>247</v>
      </c>
      <c r="G72" s="332" t="s">
        <v>145</v>
      </c>
      <c r="H72" s="326">
        <v>95</v>
      </c>
      <c r="I72" s="641">
        <v>24729</v>
      </c>
      <c r="J72" s="1089">
        <f t="shared" ref="J72:J84" si="5">+H72*I72</f>
        <v>2349255</v>
      </c>
      <c r="K72" s="631"/>
      <c r="M72" s="770" t="s">
        <v>247</v>
      </c>
      <c r="N72" s="770" t="b">
        <v>1</v>
      </c>
      <c r="O72" s="770" t="s">
        <v>145</v>
      </c>
      <c r="P72" s="770" t="b">
        <v>1</v>
      </c>
      <c r="Q72" s="770">
        <v>95</v>
      </c>
      <c r="R72" s="770" t="b">
        <v>1</v>
      </c>
    </row>
    <row r="73" spans="2:18" ht="28.5">
      <c r="B73" s="369"/>
      <c r="C73" s="638">
        <v>9.1999999999999993</v>
      </c>
      <c r="D73" s="448"/>
      <c r="E73" s="299"/>
      <c r="F73" s="793" t="s">
        <v>248</v>
      </c>
      <c r="G73" s="796" t="s">
        <v>145</v>
      </c>
      <c r="H73" s="326">
        <v>95</v>
      </c>
      <c r="I73" s="641">
        <v>45127</v>
      </c>
      <c r="J73" s="1089">
        <f t="shared" si="5"/>
        <v>4287065</v>
      </c>
      <c r="K73" s="631"/>
      <c r="M73" s="770" t="s">
        <v>248</v>
      </c>
      <c r="N73" s="770" t="b">
        <v>1</v>
      </c>
      <c r="O73" s="770" t="s">
        <v>145</v>
      </c>
      <c r="P73" s="770" t="b">
        <v>1</v>
      </c>
      <c r="Q73" s="770">
        <v>95</v>
      </c>
      <c r="R73" s="770" t="b">
        <v>1</v>
      </c>
    </row>
    <row r="74" spans="2:18" ht="29.25" thickBot="1">
      <c r="B74" s="369"/>
      <c r="C74" s="638">
        <v>9.3000000000000007</v>
      </c>
      <c r="D74" s="448"/>
      <c r="E74" s="299"/>
      <c r="F74" s="804" t="s">
        <v>249</v>
      </c>
      <c r="G74" s="796" t="s">
        <v>145</v>
      </c>
      <c r="H74" s="326">
        <v>2935</v>
      </c>
      <c r="I74" s="641">
        <v>33227</v>
      </c>
      <c r="J74" s="1089">
        <f t="shared" si="5"/>
        <v>97521245</v>
      </c>
      <c r="K74" s="631"/>
      <c r="M74" s="770" t="s">
        <v>249</v>
      </c>
      <c r="N74" s="770" t="b">
        <v>1</v>
      </c>
      <c r="O74" s="770" t="s">
        <v>145</v>
      </c>
      <c r="P74" s="770" t="b">
        <v>1</v>
      </c>
      <c r="Q74" s="770">
        <v>2500</v>
      </c>
      <c r="R74" s="770" t="b">
        <v>0</v>
      </c>
    </row>
    <row r="75" spans="2:18" ht="24.95" customHeight="1" thickBot="1">
      <c r="B75" s="369"/>
      <c r="C75" s="309" t="s">
        <v>250</v>
      </c>
      <c r="D75" s="327"/>
      <c r="E75" s="328"/>
      <c r="F75" s="360" t="s">
        <v>513</v>
      </c>
      <c r="G75" s="329"/>
      <c r="H75" s="330"/>
      <c r="I75" s="639"/>
      <c r="J75" s="650"/>
      <c r="K75" s="631"/>
      <c r="M75" s="770" t="s">
        <v>513</v>
      </c>
      <c r="N75" s="770" t="b">
        <v>1</v>
      </c>
      <c r="O75" s="770">
        <v>0</v>
      </c>
      <c r="P75" s="770" t="b">
        <v>1</v>
      </c>
      <c r="Q75" s="770">
        <v>0</v>
      </c>
      <c r="R75" s="770" t="b">
        <v>1</v>
      </c>
    </row>
    <row r="76" spans="2:18">
      <c r="B76" s="369"/>
      <c r="C76" s="304" t="s">
        <v>251</v>
      </c>
      <c r="D76" s="324"/>
      <c r="E76" s="325"/>
      <c r="F76" s="651" t="s">
        <v>252</v>
      </c>
      <c r="G76" s="322" t="s">
        <v>145</v>
      </c>
      <c r="H76" s="326">
        <v>9</v>
      </c>
      <c r="I76" s="641">
        <v>345722</v>
      </c>
      <c r="J76" s="1089">
        <f t="shared" si="5"/>
        <v>3111498</v>
      </c>
      <c r="K76" s="631"/>
      <c r="M76" s="770" t="s">
        <v>252</v>
      </c>
      <c r="N76" s="770" t="b">
        <v>1</v>
      </c>
      <c r="O76" s="770" t="s">
        <v>145</v>
      </c>
      <c r="P76" s="770" t="b">
        <v>1</v>
      </c>
      <c r="Q76" s="770">
        <v>9</v>
      </c>
      <c r="R76" s="770" t="b">
        <v>1</v>
      </c>
    </row>
    <row r="77" spans="2:18" ht="28.5">
      <c r="B77" s="369"/>
      <c r="C77" s="304" t="s">
        <v>253</v>
      </c>
      <c r="D77" s="324"/>
      <c r="E77" s="325"/>
      <c r="F77" s="651" t="s">
        <v>254</v>
      </c>
      <c r="G77" s="322" t="s">
        <v>154</v>
      </c>
      <c r="H77" s="326">
        <v>7</v>
      </c>
      <c r="I77" s="641">
        <v>31499</v>
      </c>
      <c r="J77" s="1089">
        <f t="shared" si="5"/>
        <v>220493</v>
      </c>
      <c r="K77" s="631"/>
      <c r="M77" s="770" t="s">
        <v>254</v>
      </c>
      <c r="N77" s="770" t="b">
        <v>1</v>
      </c>
      <c r="O77" s="770" t="s">
        <v>154</v>
      </c>
      <c r="P77" s="770" t="b">
        <v>1</v>
      </c>
      <c r="Q77" s="770">
        <v>7</v>
      </c>
      <c r="R77" s="770" t="b">
        <v>1</v>
      </c>
    </row>
    <row r="78" spans="2:18" ht="28.5">
      <c r="B78" s="369"/>
      <c r="C78" s="304" t="s">
        <v>255</v>
      </c>
      <c r="D78" s="324"/>
      <c r="E78" s="325"/>
      <c r="F78" s="651" t="s">
        <v>256</v>
      </c>
      <c r="G78" s="322" t="s">
        <v>137</v>
      </c>
      <c r="H78" s="326">
        <v>5</v>
      </c>
      <c r="I78" s="641">
        <v>181552</v>
      </c>
      <c r="J78" s="1089">
        <f t="shared" si="5"/>
        <v>907760</v>
      </c>
      <c r="K78" s="631"/>
      <c r="M78" s="770" t="s">
        <v>256</v>
      </c>
      <c r="N78" s="770" t="b">
        <v>1</v>
      </c>
      <c r="O78" s="770" t="s">
        <v>137</v>
      </c>
      <c r="P78" s="770" t="b">
        <v>1</v>
      </c>
      <c r="Q78" s="770">
        <v>5</v>
      </c>
      <c r="R78" s="770" t="b">
        <v>1</v>
      </c>
    </row>
    <row r="79" spans="2:18">
      <c r="B79" s="369"/>
      <c r="C79" s="304" t="s">
        <v>257</v>
      </c>
      <c r="D79" s="324"/>
      <c r="E79" s="325"/>
      <c r="F79" s="651" t="s">
        <v>258</v>
      </c>
      <c r="G79" s="322" t="s">
        <v>154</v>
      </c>
      <c r="H79" s="326">
        <v>35</v>
      </c>
      <c r="I79" s="641">
        <v>393606</v>
      </c>
      <c r="J79" s="1089">
        <f t="shared" si="5"/>
        <v>13776210</v>
      </c>
      <c r="K79" s="631"/>
      <c r="M79" s="770" t="s">
        <v>258</v>
      </c>
      <c r="N79" s="770" t="b">
        <v>1</v>
      </c>
      <c r="O79" s="770" t="s">
        <v>154</v>
      </c>
      <c r="P79" s="770" t="b">
        <v>1</v>
      </c>
      <c r="Q79" s="770">
        <v>35</v>
      </c>
      <c r="R79" s="770" t="b">
        <v>1</v>
      </c>
    </row>
    <row r="80" spans="2:18" ht="28.5">
      <c r="B80" s="369"/>
      <c r="C80" s="304" t="s">
        <v>259</v>
      </c>
      <c r="D80" s="324"/>
      <c r="E80" s="325"/>
      <c r="F80" s="651" t="s">
        <v>260</v>
      </c>
      <c r="G80" s="322" t="s">
        <v>137</v>
      </c>
      <c r="H80" s="326">
        <v>12</v>
      </c>
      <c r="I80" s="641">
        <v>63979</v>
      </c>
      <c r="J80" s="1089">
        <f t="shared" si="5"/>
        <v>767748</v>
      </c>
      <c r="K80" s="631"/>
      <c r="M80" s="770" t="s">
        <v>260</v>
      </c>
      <c r="N80" s="770" t="b">
        <v>1</v>
      </c>
      <c r="O80" s="770" t="s">
        <v>137</v>
      </c>
      <c r="P80" s="770" t="b">
        <v>1</v>
      </c>
      <c r="Q80" s="770">
        <v>12</v>
      </c>
      <c r="R80" s="770" t="b">
        <v>1</v>
      </c>
    </row>
    <row r="81" spans="2:18" ht="28.5">
      <c r="B81" s="369"/>
      <c r="C81" s="304" t="s">
        <v>261</v>
      </c>
      <c r="D81" s="324"/>
      <c r="E81" s="325"/>
      <c r="F81" s="651" t="s">
        <v>262</v>
      </c>
      <c r="G81" s="322" t="s">
        <v>137</v>
      </c>
      <c r="H81" s="326">
        <v>4</v>
      </c>
      <c r="I81" s="641">
        <v>104857</v>
      </c>
      <c r="J81" s="1089">
        <f t="shared" si="5"/>
        <v>419428</v>
      </c>
      <c r="K81" s="631"/>
      <c r="M81" s="770" t="s">
        <v>262</v>
      </c>
      <c r="N81" s="770" t="b">
        <v>1</v>
      </c>
      <c r="O81" s="770" t="s">
        <v>137</v>
      </c>
      <c r="P81" s="770" t="b">
        <v>1</v>
      </c>
      <c r="Q81" s="770">
        <v>4</v>
      </c>
      <c r="R81" s="770" t="b">
        <v>1</v>
      </c>
    </row>
    <row r="82" spans="2:18" ht="28.5">
      <c r="B82" s="369"/>
      <c r="C82" s="304" t="s">
        <v>263</v>
      </c>
      <c r="D82" s="324"/>
      <c r="E82" s="325"/>
      <c r="F82" s="651" t="s">
        <v>264</v>
      </c>
      <c r="G82" s="322" t="s">
        <v>137</v>
      </c>
      <c r="H82" s="326">
        <v>2</v>
      </c>
      <c r="I82" s="641">
        <v>92238</v>
      </c>
      <c r="J82" s="1089">
        <f t="shared" si="5"/>
        <v>184476</v>
      </c>
      <c r="K82" s="631"/>
      <c r="M82" s="770" t="s">
        <v>264</v>
      </c>
      <c r="N82" s="770" t="b">
        <v>1</v>
      </c>
      <c r="O82" s="770" t="s">
        <v>137</v>
      </c>
      <c r="P82" s="770" t="b">
        <v>1</v>
      </c>
      <c r="Q82" s="770">
        <v>2</v>
      </c>
      <c r="R82" s="770" t="b">
        <v>1</v>
      </c>
    </row>
    <row r="83" spans="2:18" ht="28.5">
      <c r="B83" s="369"/>
      <c r="C83" s="304" t="s">
        <v>265</v>
      </c>
      <c r="D83" s="324"/>
      <c r="E83" s="325"/>
      <c r="F83" s="651" t="s">
        <v>266</v>
      </c>
      <c r="G83" s="322" t="s">
        <v>137</v>
      </c>
      <c r="H83" s="326">
        <v>14</v>
      </c>
      <c r="I83" s="641">
        <v>318594</v>
      </c>
      <c r="J83" s="1089">
        <f t="shared" si="5"/>
        <v>4460316</v>
      </c>
      <c r="K83" s="631"/>
      <c r="M83" s="770" t="s">
        <v>266</v>
      </c>
      <c r="N83" s="770" t="b">
        <v>1</v>
      </c>
      <c r="O83" s="770" t="s">
        <v>137</v>
      </c>
      <c r="P83" s="770" t="b">
        <v>1</v>
      </c>
      <c r="Q83" s="770">
        <v>14</v>
      </c>
      <c r="R83" s="770" t="b">
        <v>1</v>
      </c>
    </row>
    <row r="84" spans="2:18" ht="29.25" thickBot="1">
      <c r="B84" s="369"/>
      <c r="C84" s="304" t="s">
        <v>267</v>
      </c>
      <c r="D84" s="324"/>
      <c r="E84" s="325"/>
      <c r="F84" s="651" t="s">
        <v>268</v>
      </c>
      <c r="G84" s="322" t="s">
        <v>137</v>
      </c>
      <c r="H84" s="326">
        <v>4</v>
      </c>
      <c r="I84" s="641">
        <v>134518</v>
      </c>
      <c r="J84" s="1089">
        <f t="shared" si="5"/>
        <v>538072</v>
      </c>
      <c r="K84" s="631"/>
      <c r="M84" s="770" t="s">
        <v>268</v>
      </c>
      <c r="N84" s="770" t="b">
        <v>1</v>
      </c>
      <c r="O84" s="770" t="s">
        <v>137</v>
      </c>
      <c r="P84" s="770" t="b">
        <v>1</v>
      </c>
      <c r="Q84" s="770">
        <v>4</v>
      </c>
      <c r="R84" s="770" t="b">
        <v>1</v>
      </c>
    </row>
    <row r="85" spans="2:18" ht="24.95" customHeight="1" thickBot="1">
      <c r="B85" s="369"/>
      <c r="C85" s="309" t="s">
        <v>269</v>
      </c>
      <c r="D85" s="327"/>
      <c r="E85" s="328"/>
      <c r="F85" s="360" t="s">
        <v>514</v>
      </c>
      <c r="G85" s="329"/>
      <c r="H85" s="330"/>
      <c r="I85" s="639"/>
      <c r="J85" s="650"/>
      <c r="K85" s="631"/>
      <c r="M85" s="770" t="s">
        <v>514</v>
      </c>
      <c r="N85" s="770" t="b">
        <v>1</v>
      </c>
      <c r="O85" s="770">
        <v>0</v>
      </c>
      <c r="P85" s="770" t="b">
        <v>1</v>
      </c>
      <c r="Q85" s="770">
        <v>0</v>
      </c>
      <c r="R85" s="770" t="b">
        <v>1</v>
      </c>
    </row>
    <row r="86" spans="2:18" ht="24.95" customHeight="1">
      <c r="B86" s="369"/>
      <c r="C86" s="306"/>
      <c r="D86" s="674"/>
      <c r="E86" s="675"/>
      <c r="F86" s="676" t="s">
        <v>515</v>
      </c>
      <c r="G86" s="677"/>
      <c r="H86" s="678"/>
      <c r="I86" s="679"/>
      <c r="J86" s="680"/>
      <c r="K86" s="631"/>
      <c r="M86" s="770" t="e">
        <v>#N/A</v>
      </c>
      <c r="N86" s="770" t="e">
        <v>#N/A</v>
      </c>
      <c r="O86" s="770" t="e">
        <v>#N/A</v>
      </c>
      <c r="P86" s="770" t="e">
        <v>#N/A</v>
      </c>
      <c r="Q86" s="770" t="e">
        <v>#N/A</v>
      </c>
      <c r="R86" s="770" t="e">
        <v>#N/A</v>
      </c>
    </row>
    <row r="87" spans="2:18" ht="28.5">
      <c r="B87" s="369"/>
      <c r="C87" s="304" t="s">
        <v>270</v>
      </c>
      <c r="D87" s="324"/>
      <c r="E87" s="325"/>
      <c r="F87" s="651" t="s">
        <v>271</v>
      </c>
      <c r="G87" s="322" t="s">
        <v>272</v>
      </c>
      <c r="H87" s="326">
        <v>1</v>
      </c>
      <c r="I87" s="641">
        <v>314070</v>
      </c>
      <c r="J87" s="1089">
        <f t="shared" ref="J87:J123" si="6">+H87*I87</f>
        <v>314070</v>
      </c>
      <c r="K87" s="631"/>
      <c r="M87" s="770" t="s">
        <v>271</v>
      </c>
      <c r="N87" s="770" t="b">
        <v>1</v>
      </c>
      <c r="O87" s="770" t="s">
        <v>272</v>
      </c>
      <c r="P87" s="770" t="b">
        <v>1</v>
      </c>
      <c r="Q87" s="770">
        <v>1</v>
      </c>
      <c r="R87" s="770" t="b">
        <v>1</v>
      </c>
    </row>
    <row r="88" spans="2:18" ht="28.5">
      <c r="B88" s="369"/>
      <c r="C88" s="304" t="s">
        <v>273</v>
      </c>
      <c r="D88" s="324"/>
      <c r="E88" s="325"/>
      <c r="F88" s="651" t="s">
        <v>274</v>
      </c>
      <c r="G88" s="322" t="s">
        <v>275</v>
      </c>
      <c r="H88" s="326">
        <v>2</v>
      </c>
      <c r="I88" s="641">
        <v>590266</v>
      </c>
      <c r="J88" s="1089">
        <f t="shared" si="6"/>
        <v>1180532</v>
      </c>
      <c r="K88" s="631"/>
      <c r="M88" s="770" t="s">
        <v>274</v>
      </c>
      <c r="N88" s="770" t="b">
        <v>1</v>
      </c>
      <c r="O88" s="770" t="s">
        <v>275</v>
      </c>
      <c r="P88" s="770" t="b">
        <v>1</v>
      </c>
      <c r="Q88" s="770">
        <v>2</v>
      </c>
      <c r="R88" s="770" t="b">
        <v>1</v>
      </c>
    </row>
    <row r="89" spans="2:18" ht="42.75">
      <c r="B89" s="369"/>
      <c r="C89" s="304" t="s">
        <v>276</v>
      </c>
      <c r="D89" s="324"/>
      <c r="E89" s="325"/>
      <c r="F89" s="642" t="s">
        <v>277</v>
      </c>
      <c r="G89" s="322" t="s">
        <v>275</v>
      </c>
      <c r="H89" s="326">
        <v>5</v>
      </c>
      <c r="I89" s="641">
        <v>77990</v>
      </c>
      <c r="J89" s="1089">
        <f t="shared" si="6"/>
        <v>389950</v>
      </c>
      <c r="K89" s="631"/>
      <c r="M89" s="770" t="s">
        <v>277</v>
      </c>
      <c r="N89" s="770" t="b">
        <v>1</v>
      </c>
      <c r="O89" s="770" t="s">
        <v>275</v>
      </c>
      <c r="P89" s="770" t="b">
        <v>1</v>
      </c>
      <c r="Q89" s="770">
        <v>5</v>
      </c>
      <c r="R89" s="770" t="b">
        <v>1</v>
      </c>
    </row>
    <row r="90" spans="2:18" ht="28.5">
      <c r="B90" s="369"/>
      <c r="C90" s="304" t="s">
        <v>278</v>
      </c>
      <c r="D90" s="324"/>
      <c r="E90" s="325"/>
      <c r="F90" s="642" t="s">
        <v>279</v>
      </c>
      <c r="G90" s="322" t="s">
        <v>275</v>
      </c>
      <c r="H90" s="326">
        <v>6</v>
      </c>
      <c r="I90" s="641">
        <v>282690</v>
      </c>
      <c r="J90" s="1089">
        <f t="shared" si="6"/>
        <v>1696140</v>
      </c>
      <c r="K90" s="631"/>
      <c r="M90" s="770" t="s">
        <v>279</v>
      </c>
      <c r="N90" s="770" t="b">
        <v>1</v>
      </c>
      <c r="O90" s="770" t="s">
        <v>275</v>
      </c>
      <c r="P90" s="770" t="b">
        <v>1</v>
      </c>
      <c r="Q90" s="770">
        <v>6</v>
      </c>
      <c r="R90" s="770" t="b">
        <v>1</v>
      </c>
    </row>
    <row r="91" spans="2:18" ht="28.5">
      <c r="B91" s="369"/>
      <c r="C91" s="304" t="s">
        <v>280</v>
      </c>
      <c r="D91" s="324"/>
      <c r="E91" s="325"/>
      <c r="F91" s="642" t="s">
        <v>281</v>
      </c>
      <c r="G91" s="322" t="s">
        <v>275</v>
      </c>
      <c r="H91" s="326">
        <v>6</v>
      </c>
      <c r="I91" s="641">
        <v>165732</v>
      </c>
      <c r="J91" s="1089">
        <f t="shared" si="6"/>
        <v>994392</v>
      </c>
      <c r="K91" s="631"/>
      <c r="M91" s="770" t="s">
        <v>281</v>
      </c>
      <c r="N91" s="770" t="b">
        <v>1</v>
      </c>
      <c r="O91" s="770" t="s">
        <v>275</v>
      </c>
      <c r="P91" s="770" t="b">
        <v>1</v>
      </c>
      <c r="Q91" s="770">
        <v>6</v>
      </c>
      <c r="R91" s="770" t="b">
        <v>1</v>
      </c>
    </row>
    <row r="92" spans="2:18" ht="42.75">
      <c r="B92" s="369"/>
      <c r="C92" s="304" t="s">
        <v>282</v>
      </c>
      <c r="D92" s="324"/>
      <c r="E92" s="325"/>
      <c r="F92" s="651" t="s">
        <v>283</v>
      </c>
      <c r="G92" s="322" t="s">
        <v>275</v>
      </c>
      <c r="H92" s="326">
        <v>9</v>
      </c>
      <c r="I92" s="641">
        <v>60019</v>
      </c>
      <c r="J92" s="1089">
        <f t="shared" si="6"/>
        <v>540171</v>
      </c>
      <c r="K92" s="631"/>
      <c r="M92" s="770" t="s">
        <v>283</v>
      </c>
      <c r="N92" s="770" t="b">
        <v>1</v>
      </c>
      <c r="O92" s="770" t="s">
        <v>275</v>
      </c>
      <c r="P92" s="770" t="b">
        <v>1</v>
      </c>
      <c r="Q92" s="770">
        <v>9</v>
      </c>
      <c r="R92" s="770" t="b">
        <v>1</v>
      </c>
    </row>
    <row r="93" spans="2:18" ht="28.5">
      <c r="B93" s="369"/>
      <c r="C93" s="304" t="s">
        <v>284</v>
      </c>
      <c r="D93" s="324"/>
      <c r="E93" s="325"/>
      <c r="F93" s="651" t="s">
        <v>285</v>
      </c>
      <c r="G93" s="322" t="s">
        <v>95</v>
      </c>
      <c r="H93" s="326">
        <v>4</v>
      </c>
      <c r="I93" s="641">
        <v>268797</v>
      </c>
      <c r="J93" s="1089">
        <f t="shared" si="6"/>
        <v>1075188</v>
      </c>
      <c r="K93" s="631"/>
      <c r="M93" s="770" t="s">
        <v>285</v>
      </c>
      <c r="N93" s="770" t="b">
        <v>1</v>
      </c>
      <c r="O93" s="770" t="s">
        <v>95</v>
      </c>
      <c r="P93" s="770" t="b">
        <v>1</v>
      </c>
      <c r="Q93" s="770">
        <v>4</v>
      </c>
      <c r="R93" s="770" t="b">
        <v>1</v>
      </c>
    </row>
    <row r="94" spans="2:18" ht="42.75">
      <c r="B94" s="369"/>
      <c r="C94" s="304" t="s">
        <v>286</v>
      </c>
      <c r="D94" s="324"/>
      <c r="E94" s="325"/>
      <c r="F94" s="651" t="s">
        <v>287</v>
      </c>
      <c r="G94" s="322" t="s">
        <v>275</v>
      </c>
      <c r="H94" s="326">
        <v>3</v>
      </c>
      <c r="I94" s="641">
        <v>107272</v>
      </c>
      <c r="J94" s="1089">
        <f t="shared" si="6"/>
        <v>321816</v>
      </c>
      <c r="K94" s="631"/>
      <c r="M94" s="770" t="s">
        <v>287</v>
      </c>
      <c r="N94" s="770" t="b">
        <v>1</v>
      </c>
      <c r="O94" s="770" t="s">
        <v>275</v>
      </c>
      <c r="P94" s="770" t="b">
        <v>1</v>
      </c>
      <c r="Q94" s="770">
        <v>3</v>
      </c>
      <c r="R94" s="770" t="b">
        <v>1</v>
      </c>
    </row>
    <row r="95" spans="2:18" ht="42.75">
      <c r="B95" s="369"/>
      <c r="C95" s="304" t="s">
        <v>288</v>
      </c>
      <c r="D95" s="324"/>
      <c r="E95" s="325"/>
      <c r="F95" s="651" t="s">
        <v>289</v>
      </c>
      <c r="G95" s="322" t="s">
        <v>275</v>
      </c>
      <c r="H95" s="326">
        <v>4</v>
      </c>
      <c r="I95" s="641">
        <v>169903</v>
      </c>
      <c r="J95" s="1089">
        <f t="shared" si="6"/>
        <v>679612</v>
      </c>
      <c r="K95" s="631"/>
      <c r="M95" s="770" t="s">
        <v>289</v>
      </c>
      <c r="N95" s="770" t="b">
        <v>1</v>
      </c>
      <c r="O95" s="770" t="s">
        <v>275</v>
      </c>
      <c r="P95" s="770" t="b">
        <v>1</v>
      </c>
      <c r="Q95" s="770">
        <v>4</v>
      </c>
      <c r="R95" s="770" t="b">
        <v>1</v>
      </c>
    </row>
    <row r="96" spans="2:18" ht="42.75">
      <c r="B96" s="369"/>
      <c r="C96" s="304" t="s">
        <v>290</v>
      </c>
      <c r="D96" s="324"/>
      <c r="E96" s="325"/>
      <c r="F96" s="651" t="s">
        <v>291</v>
      </c>
      <c r="G96" s="322" t="s">
        <v>275</v>
      </c>
      <c r="H96" s="326">
        <v>3</v>
      </c>
      <c r="I96" s="641">
        <v>191248</v>
      </c>
      <c r="J96" s="1089">
        <f t="shared" si="6"/>
        <v>573744</v>
      </c>
      <c r="K96" s="631"/>
      <c r="M96" s="770" t="s">
        <v>291</v>
      </c>
      <c r="N96" s="770" t="b">
        <v>1</v>
      </c>
      <c r="O96" s="770" t="s">
        <v>275</v>
      </c>
      <c r="P96" s="770" t="b">
        <v>1</v>
      </c>
      <c r="Q96" s="770">
        <v>3</v>
      </c>
      <c r="R96" s="770" t="b">
        <v>1</v>
      </c>
    </row>
    <row r="97" spans="2:18" ht="42.75">
      <c r="B97" s="369"/>
      <c r="C97" s="304" t="s">
        <v>292</v>
      </c>
      <c r="D97" s="324"/>
      <c r="E97" s="325"/>
      <c r="F97" s="651" t="s">
        <v>293</v>
      </c>
      <c r="G97" s="322" t="s">
        <v>275</v>
      </c>
      <c r="H97" s="326">
        <v>2</v>
      </c>
      <c r="I97" s="641">
        <v>114550</v>
      </c>
      <c r="J97" s="1089">
        <f t="shared" si="6"/>
        <v>229100</v>
      </c>
      <c r="K97" s="631"/>
      <c r="M97" s="770" t="s">
        <v>293</v>
      </c>
      <c r="N97" s="770" t="b">
        <v>1</v>
      </c>
      <c r="O97" s="770" t="s">
        <v>275</v>
      </c>
      <c r="P97" s="770" t="b">
        <v>1</v>
      </c>
      <c r="Q97" s="770">
        <v>2</v>
      </c>
      <c r="R97" s="770" t="b">
        <v>1</v>
      </c>
    </row>
    <row r="98" spans="2:18" ht="28.5">
      <c r="B98" s="369"/>
      <c r="C98" s="304" t="s">
        <v>294</v>
      </c>
      <c r="D98" s="324"/>
      <c r="E98" s="325"/>
      <c r="F98" s="651" t="s">
        <v>295</v>
      </c>
      <c r="G98" s="322" t="s">
        <v>95</v>
      </c>
      <c r="H98" s="326">
        <v>15</v>
      </c>
      <c r="I98" s="641">
        <v>208479</v>
      </c>
      <c r="J98" s="1089">
        <f t="shared" si="6"/>
        <v>3127185</v>
      </c>
      <c r="K98" s="631"/>
      <c r="M98" s="770" t="s">
        <v>295</v>
      </c>
      <c r="N98" s="770" t="b">
        <v>1</v>
      </c>
      <c r="O98" s="770" t="s">
        <v>95</v>
      </c>
      <c r="P98" s="770" t="b">
        <v>1</v>
      </c>
      <c r="Q98" s="770">
        <v>15</v>
      </c>
      <c r="R98" s="770" t="b">
        <v>1</v>
      </c>
    </row>
    <row r="99" spans="2:18" ht="28.5">
      <c r="B99" s="369"/>
      <c r="C99" s="304" t="s">
        <v>296</v>
      </c>
      <c r="D99" s="324"/>
      <c r="E99" s="325"/>
      <c r="F99" s="651" t="s">
        <v>297</v>
      </c>
      <c r="G99" s="322" t="s">
        <v>275</v>
      </c>
      <c r="H99" s="326">
        <v>4</v>
      </c>
      <c r="I99" s="641">
        <v>277892</v>
      </c>
      <c r="J99" s="1089">
        <f t="shared" si="6"/>
        <v>1111568</v>
      </c>
      <c r="K99" s="631"/>
      <c r="M99" s="770" t="s">
        <v>297</v>
      </c>
      <c r="N99" s="770" t="b">
        <v>1</v>
      </c>
      <c r="O99" s="770" t="s">
        <v>275</v>
      </c>
      <c r="P99" s="770" t="b">
        <v>1</v>
      </c>
      <c r="Q99" s="770">
        <v>4</v>
      </c>
      <c r="R99" s="770" t="b">
        <v>1</v>
      </c>
    </row>
    <row r="100" spans="2:18" ht="28.5">
      <c r="B100" s="369"/>
      <c r="C100" s="304" t="s">
        <v>298</v>
      </c>
      <c r="D100" s="324"/>
      <c r="E100" s="325"/>
      <c r="F100" s="651" t="s">
        <v>299</v>
      </c>
      <c r="G100" s="322" t="s">
        <v>275</v>
      </c>
      <c r="H100" s="326">
        <v>10</v>
      </c>
      <c r="I100" s="641">
        <v>16878</v>
      </c>
      <c r="J100" s="1089">
        <f t="shared" si="6"/>
        <v>168780</v>
      </c>
      <c r="K100" s="631"/>
      <c r="M100" s="770" t="s">
        <v>299</v>
      </c>
      <c r="N100" s="770" t="b">
        <v>1</v>
      </c>
      <c r="O100" s="770" t="s">
        <v>275</v>
      </c>
      <c r="P100" s="770" t="b">
        <v>1</v>
      </c>
      <c r="Q100" s="770">
        <v>10</v>
      </c>
      <c r="R100" s="770" t="b">
        <v>1</v>
      </c>
    </row>
    <row r="101" spans="2:18" ht="28.5">
      <c r="B101" s="369"/>
      <c r="C101" s="304" t="s">
        <v>300</v>
      </c>
      <c r="D101" s="324"/>
      <c r="E101" s="325"/>
      <c r="F101" s="651" t="s">
        <v>301</v>
      </c>
      <c r="G101" s="322" t="s">
        <v>275</v>
      </c>
      <c r="H101" s="326">
        <v>6</v>
      </c>
      <c r="I101" s="641">
        <v>12909</v>
      </c>
      <c r="J101" s="1089">
        <f t="shared" si="6"/>
        <v>77454</v>
      </c>
      <c r="K101" s="631"/>
      <c r="M101" s="770" t="s">
        <v>301</v>
      </c>
      <c r="N101" s="770" t="b">
        <v>1</v>
      </c>
      <c r="O101" s="770" t="s">
        <v>275</v>
      </c>
      <c r="P101" s="770" t="b">
        <v>1</v>
      </c>
      <c r="Q101" s="770">
        <v>6</v>
      </c>
      <c r="R101" s="770" t="b">
        <v>1</v>
      </c>
    </row>
    <row r="102" spans="2:18" ht="28.5">
      <c r="B102" s="369"/>
      <c r="C102" s="304" t="s">
        <v>302</v>
      </c>
      <c r="D102" s="324"/>
      <c r="E102" s="325"/>
      <c r="F102" s="651" t="s">
        <v>303</v>
      </c>
      <c r="G102" s="322" t="s">
        <v>275</v>
      </c>
      <c r="H102" s="326">
        <v>98</v>
      </c>
      <c r="I102" s="641">
        <v>31952</v>
      </c>
      <c r="J102" s="1089">
        <f t="shared" si="6"/>
        <v>3131296</v>
      </c>
      <c r="K102" s="631"/>
      <c r="M102" s="770" t="s">
        <v>303</v>
      </c>
      <c r="N102" s="770" t="b">
        <v>1</v>
      </c>
      <c r="O102" s="770" t="s">
        <v>275</v>
      </c>
      <c r="P102" s="770" t="b">
        <v>1</v>
      </c>
      <c r="Q102" s="770">
        <v>98</v>
      </c>
      <c r="R102" s="770" t="b">
        <v>1</v>
      </c>
    </row>
    <row r="103" spans="2:18" ht="28.5">
      <c r="B103" s="369"/>
      <c r="C103" s="304" t="s">
        <v>304</v>
      </c>
      <c r="D103" s="324"/>
      <c r="E103" s="325"/>
      <c r="F103" s="651" t="s">
        <v>305</v>
      </c>
      <c r="G103" s="322" t="s">
        <v>275</v>
      </c>
      <c r="H103" s="326">
        <v>31</v>
      </c>
      <c r="I103" s="641">
        <v>34323</v>
      </c>
      <c r="J103" s="1089">
        <f t="shared" si="6"/>
        <v>1064013</v>
      </c>
      <c r="K103" s="631"/>
      <c r="M103" s="770" t="s">
        <v>305</v>
      </c>
      <c r="N103" s="770" t="b">
        <v>1</v>
      </c>
      <c r="O103" s="770" t="s">
        <v>275</v>
      </c>
      <c r="P103" s="770" t="b">
        <v>1</v>
      </c>
      <c r="Q103" s="770">
        <v>31</v>
      </c>
      <c r="R103" s="770" t="b">
        <v>1</v>
      </c>
    </row>
    <row r="104" spans="2:18" ht="28.5">
      <c r="B104" s="369"/>
      <c r="C104" s="304" t="s">
        <v>306</v>
      </c>
      <c r="D104" s="324"/>
      <c r="E104" s="325"/>
      <c r="F104" s="651" t="s">
        <v>307</v>
      </c>
      <c r="G104" s="322" t="s">
        <v>275</v>
      </c>
      <c r="H104" s="326">
        <v>32</v>
      </c>
      <c r="I104" s="641">
        <v>25729</v>
      </c>
      <c r="J104" s="1089">
        <f t="shared" si="6"/>
        <v>823328</v>
      </c>
      <c r="K104" s="631"/>
      <c r="M104" s="770" t="s">
        <v>307</v>
      </c>
      <c r="N104" s="770" t="b">
        <v>1</v>
      </c>
      <c r="O104" s="770" t="s">
        <v>275</v>
      </c>
      <c r="P104" s="770" t="b">
        <v>1</v>
      </c>
      <c r="Q104" s="770">
        <v>32</v>
      </c>
      <c r="R104" s="770" t="b">
        <v>1</v>
      </c>
    </row>
    <row r="105" spans="2:18" ht="42.75">
      <c r="B105" s="369"/>
      <c r="C105" s="304" t="s">
        <v>308</v>
      </c>
      <c r="D105" s="324"/>
      <c r="E105" s="325"/>
      <c r="F105" s="651" t="s">
        <v>309</v>
      </c>
      <c r="G105" s="322" t="s">
        <v>275</v>
      </c>
      <c r="H105" s="326">
        <v>95</v>
      </c>
      <c r="I105" s="641">
        <v>285076</v>
      </c>
      <c r="J105" s="1089">
        <f t="shared" si="6"/>
        <v>27082220</v>
      </c>
      <c r="K105" s="631"/>
      <c r="M105" s="770" t="s">
        <v>309</v>
      </c>
      <c r="N105" s="770" t="b">
        <v>1</v>
      </c>
      <c r="O105" s="770" t="s">
        <v>275</v>
      </c>
      <c r="P105" s="770" t="b">
        <v>1</v>
      </c>
      <c r="Q105" s="770">
        <v>95</v>
      </c>
      <c r="R105" s="770" t="b">
        <v>1</v>
      </c>
    </row>
    <row r="106" spans="2:18" ht="28.5">
      <c r="B106" s="369"/>
      <c r="C106" s="304" t="s">
        <v>310</v>
      </c>
      <c r="D106" s="324"/>
      <c r="E106" s="325"/>
      <c r="F106" s="651" t="s">
        <v>311</v>
      </c>
      <c r="G106" s="322" t="s">
        <v>275</v>
      </c>
      <c r="H106" s="326">
        <v>6</v>
      </c>
      <c r="I106" s="641">
        <v>1477273</v>
      </c>
      <c r="J106" s="1089">
        <f t="shared" si="6"/>
        <v>8863638</v>
      </c>
      <c r="K106" s="631"/>
      <c r="M106" s="770" t="s">
        <v>311</v>
      </c>
      <c r="N106" s="770" t="b">
        <v>1</v>
      </c>
      <c r="O106" s="770" t="s">
        <v>275</v>
      </c>
      <c r="P106" s="770" t="b">
        <v>1</v>
      </c>
      <c r="Q106" s="770">
        <v>6</v>
      </c>
      <c r="R106" s="770" t="b">
        <v>1</v>
      </c>
    </row>
    <row r="107" spans="2:18" ht="28.5">
      <c r="B107" s="369"/>
      <c r="C107" s="304" t="s">
        <v>312</v>
      </c>
      <c r="D107" s="324"/>
      <c r="E107" s="325"/>
      <c r="F107" s="651" t="s">
        <v>313</v>
      </c>
      <c r="G107" s="322" t="s">
        <v>275</v>
      </c>
      <c r="H107" s="326">
        <v>5</v>
      </c>
      <c r="I107" s="641">
        <v>130437</v>
      </c>
      <c r="J107" s="1089">
        <f t="shared" si="6"/>
        <v>652185</v>
      </c>
      <c r="K107" s="631"/>
      <c r="M107" s="770" t="s">
        <v>313</v>
      </c>
      <c r="N107" s="770" t="b">
        <v>1</v>
      </c>
      <c r="O107" s="770" t="s">
        <v>275</v>
      </c>
      <c r="P107" s="770" t="b">
        <v>1</v>
      </c>
      <c r="Q107" s="770">
        <v>5</v>
      </c>
      <c r="R107" s="770" t="b">
        <v>1</v>
      </c>
    </row>
    <row r="108" spans="2:18" ht="28.5">
      <c r="B108" s="369"/>
      <c r="C108" s="304" t="s">
        <v>314</v>
      </c>
      <c r="D108" s="324"/>
      <c r="E108" s="325"/>
      <c r="F108" s="651" t="s">
        <v>315</v>
      </c>
      <c r="G108" s="322" t="s">
        <v>275</v>
      </c>
      <c r="H108" s="326">
        <v>6</v>
      </c>
      <c r="I108" s="641">
        <v>306978</v>
      </c>
      <c r="J108" s="1089">
        <f t="shared" si="6"/>
        <v>1841868</v>
      </c>
      <c r="K108" s="631"/>
      <c r="M108" s="770" t="s">
        <v>315</v>
      </c>
      <c r="N108" s="770" t="b">
        <v>1</v>
      </c>
      <c r="O108" s="770" t="s">
        <v>275</v>
      </c>
      <c r="P108" s="770" t="b">
        <v>1</v>
      </c>
      <c r="Q108" s="770">
        <v>6</v>
      </c>
      <c r="R108" s="770" t="b">
        <v>1</v>
      </c>
    </row>
    <row r="109" spans="2:18" ht="28.5">
      <c r="B109" s="369"/>
      <c r="C109" s="304" t="s">
        <v>316</v>
      </c>
      <c r="D109" s="324"/>
      <c r="E109" s="325"/>
      <c r="F109" s="651" t="s">
        <v>317</v>
      </c>
      <c r="G109" s="322" t="s">
        <v>275</v>
      </c>
      <c r="H109" s="326">
        <v>15</v>
      </c>
      <c r="I109" s="641">
        <v>114930</v>
      </c>
      <c r="J109" s="1089">
        <f t="shared" si="6"/>
        <v>1723950</v>
      </c>
      <c r="K109" s="631"/>
      <c r="M109" s="770" t="s">
        <v>317</v>
      </c>
      <c r="N109" s="770" t="b">
        <v>1</v>
      </c>
      <c r="O109" s="770" t="s">
        <v>275</v>
      </c>
      <c r="P109" s="770" t="b">
        <v>1</v>
      </c>
      <c r="Q109" s="770">
        <v>15</v>
      </c>
      <c r="R109" s="770" t="b">
        <v>1</v>
      </c>
    </row>
    <row r="110" spans="2:18" ht="42.75">
      <c r="B110" s="369"/>
      <c r="C110" s="304" t="s">
        <v>318</v>
      </c>
      <c r="D110" s="324"/>
      <c r="E110" s="325"/>
      <c r="F110" s="651" t="s">
        <v>319</v>
      </c>
      <c r="G110" s="322" t="s">
        <v>275</v>
      </c>
      <c r="H110" s="326">
        <v>13</v>
      </c>
      <c r="I110" s="641">
        <v>109095</v>
      </c>
      <c r="J110" s="1089">
        <f t="shared" si="6"/>
        <v>1418235</v>
      </c>
      <c r="K110" s="631"/>
      <c r="M110" s="770" t="s">
        <v>319</v>
      </c>
      <c r="N110" s="770" t="b">
        <v>1</v>
      </c>
      <c r="O110" s="770" t="s">
        <v>275</v>
      </c>
      <c r="P110" s="770" t="b">
        <v>1</v>
      </c>
      <c r="Q110" s="770">
        <v>13</v>
      </c>
      <c r="R110" s="770" t="b">
        <v>1</v>
      </c>
    </row>
    <row r="111" spans="2:18" ht="28.5">
      <c r="B111" s="369"/>
      <c r="C111" s="304" t="s">
        <v>320</v>
      </c>
      <c r="D111" s="324"/>
      <c r="E111" s="325"/>
      <c r="F111" s="651" t="s">
        <v>321</v>
      </c>
      <c r="G111" s="322" t="s">
        <v>275</v>
      </c>
      <c r="H111" s="326">
        <v>24</v>
      </c>
      <c r="I111" s="641">
        <v>856742</v>
      </c>
      <c r="J111" s="1089">
        <f t="shared" si="6"/>
        <v>20561808</v>
      </c>
      <c r="K111" s="631"/>
      <c r="M111" s="770" t="s">
        <v>321</v>
      </c>
      <c r="N111" s="770" t="b">
        <v>1</v>
      </c>
      <c r="O111" s="770" t="s">
        <v>275</v>
      </c>
      <c r="P111" s="770" t="b">
        <v>1</v>
      </c>
      <c r="Q111" s="770">
        <v>24</v>
      </c>
      <c r="R111" s="770" t="b">
        <v>1</v>
      </c>
    </row>
    <row r="112" spans="2:18" ht="28.5">
      <c r="B112" s="369"/>
      <c r="C112" s="304" t="s">
        <v>322</v>
      </c>
      <c r="D112" s="324"/>
      <c r="E112" s="325"/>
      <c r="F112" s="651" t="s">
        <v>323</v>
      </c>
      <c r="G112" s="322" t="s">
        <v>275</v>
      </c>
      <c r="H112" s="326">
        <v>12</v>
      </c>
      <c r="I112" s="641">
        <v>24409</v>
      </c>
      <c r="J112" s="1089">
        <f t="shared" si="6"/>
        <v>292908</v>
      </c>
      <c r="K112" s="631"/>
      <c r="M112" s="770" t="s">
        <v>323</v>
      </c>
      <c r="N112" s="770" t="b">
        <v>1</v>
      </c>
      <c r="O112" s="770" t="s">
        <v>275</v>
      </c>
      <c r="P112" s="770" t="b">
        <v>1</v>
      </c>
      <c r="Q112" s="770">
        <v>12</v>
      </c>
      <c r="R112" s="770" t="b">
        <v>1</v>
      </c>
    </row>
    <row r="113" spans="2:18" ht="28.5">
      <c r="B113" s="369"/>
      <c r="C113" s="304" t="s">
        <v>324</v>
      </c>
      <c r="D113" s="324"/>
      <c r="E113" s="325"/>
      <c r="F113" s="651" t="s">
        <v>325</v>
      </c>
      <c r="G113" s="322" t="s">
        <v>275</v>
      </c>
      <c r="H113" s="326">
        <v>47</v>
      </c>
      <c r="I113" s="641">
        <v>423230</v>
      </c>
      <c r="J113" s="1089">
        <f t="shared" si="6"/>
        <v>19891810</v>
      </c>
      <c r="K113" s="631"/>
      <c r="M113" s="770" t="s">
        <v>325</v>
      </c>
      <c r="N113" s="770" t="b">
        <v>1</v>
      </c>
      <c r="O113" s="770" t="s">
        <v>275</v>
      </c>
      <c r="P113" s="770" t="b">
        <v>1</v>
      </c>
      <c r="Q113" s="770">
        <v>47</v>
      </c>
      <c r="R113" s="770" t="b">
        <v>1</v>
      </c>
    </row>
    <row r="114" spans="2:18" ht="28.5">
      <c r="B114" s="369"/>
      <c r="C114" s="304" t="s">
        <v>326</v>
      </c>
      <c r="D114" s="324"/>
      <c r="E114" s="325"/>
      <c r="F114" s="651" t="s">
        <v>327</v>
      </c>
      <c r="G114" s="322" t="s">
        <v>275</v>
      </c>
      <c r="H114" s="326">
        <v>24</v>
      </c>
      <c r="I114" s="641">
        <v>333208</v>
      </c>
      <c r="J114" s="1089">
        <f t="shared" si="6"/>
        <v>7996992</v>
      </c>
      <c r="K114" s="631"/>
      <c r="M114" s="770" t="s">
        <v>327</v>
      </c>
      <c r="N114" s="770" t="b">
        <v>1</v>
      </c>
      <c r="O114" s="770" t="s">
        <v>275</v>
      </c>
      <c r="P114" s="770" t="b">
        <v>1</v>
      </c>
      <c r="Q114" s="770">
        <v>24</v>
      </c>
      <c r="R114" s="770" t="b">
        <v>1</v>
      </c>
    </row>
    <row r="115" spans="2:18" ht="28.5">
      <c r="B115" s="369"/>
      <c r="C115" s="304" t="s">
        <v>328</v>
      </c>
      <c r="D115" s="324"/>
      <c r="E115" s="325"/>
      <c r="F115" s="651" t="s">
        <v>329</v>
      </c>
      <c r="G115" s="322" t="s">
        <v>154</v>
      </c>
      <c r="H115" s="326">
        <v>17</v>
      </c>
      <c r="I115" s="641">
        <v>55097</v>
      </c>
      <c r="J115" s="1089">
        <f t="shared" si="6"/>
        <v>936649</v>
      </c>
      <c r="K115" s="631"/>
      <c r="M115" s="770" t="s">
        <v>329</v>
      </c>
      <c r="N115" s="770" t="b">
        <v>1</v>
      </c>
      <c r="O115" s="770" t="s">
        <v>154</v>
      </c>
      <c r="P115" s="770" t="b">
        <v>1</v>
      </c>
      <c r="Q115" s="770">
        <v>17</v>
      </c>
      <c r="R115" s="770" t="b">
        <v>1</v>
      </c>
    </row>
    <row r="116" spans="2:18" ht="28.5">
      <c r="B116" s="369"/>
      <c r="C116" s="304" t="s">
        <v>330</v>
      </c>
      <c r="D116" s="324"/>
      <c r="E116" s="325"/>
      <c r="F116" s="651" t="s">
        <v>331</v>
      </c>
      <c r="G116" s="322" t="s">
        <v>154</v>
      </c>
      <c r="H116" s="326">
        <v>37</v>
      </c>
      <c r="I116" s="641">
        <v>44429</v>
      </c>
      <c r="J116" s="1089">
        <f t="shared" si="6"/>
        <v>1643873</v>
      </c>
      <c r="K116" s="631"/>
      <c r="M116" s="770" t="s">
        <v>331</v>
      </c>
      <c r="N116" s="770" t="b">
        <v>1</v>
      </c>
      <c r="O116" s="770" t="s">
        <v>154</v>
      </c>
      <c r="P116" s="770" t="b">
        <v>1</v>
      </c>
      <c r="Q116" s="770">
        <v>37</v>
      </c>
      <c r="R116" s="770" t="b">
        <v>1</v>
      </c>
    </row>
    <row r="117" spans="2:18" ht="28.5">
      <c r="B117" s="369"/>
      <c r="C117" s="304" t="s">
        <v>332</v>
      </c>
      <c r="D117" s="324"/>
      <c r="E117" s="325"/>
      <c r="F117" s="651" t="s">
        <v>333</v>
      </c>
      <c r="G117" s="322" t="s">
        <v>154</v>
      </c>
      <c r="H117" s="326">
        <v>9</v>
      </c>
      <c r="I117" s="641">
        <v>60928</v>
      </c>
      <c r="J117" s="1089">
        <f t="shared" si="6"/>
        <v>548352</v>
      </c>
      <c r="K117" s="631"/>
      <c r="M117" s="770" t="s">
        <v>333</v>
      </c>
      <c r="N117" s="770" t="b">
        <v>1</v>
      </c>
      <c r="O117" s="770" t="s">
        <v>154</v>
      </c>
      <c r="P117" s="770" t="b">
        <v>1</v>
      </c>
      <c r="Q117" s="770">
        <v>9</v>
      </c>
      <c r="R117" s="770" t="b">
        <v>1</v>
      </c>
    </row>
    <row r="118" spans="2:18" ht="28.5">
      <c r="B118" s="369"/>
      <c r="C118" s="304" t="s">
        <v>334</v>
      </c>
      <c r="D118" s="324"/>
      <c r="E118" s="325"/>
      <c r="F118" s="651" t="s">
        <v>335</v>
      </c>
      <c r="G118" s="322" t="s">
        <v>154</v>
      </c>
      <c r="H118" s="326">
        <v>12</v>
      </c>
      <c r="I118" s="641">
        <v>51787</v>
      </c>
      <c r="J118" s="1089">
        <f t="shared" si="6"/>
        <v>621444</v>
      </c>
      <c r="K118" s="631"/>
      <c r="M118" s="770" t="s">
        <v>335</v>
      </c>
      <c r="N118" s="770" t="b">
        <v>1</v>
      </c>
      <c r="O118" s="770" t="s">
        <v>154</v>
      </c>
      <c r="P118" s="770" t="b">
        <v>1</v>
      </c>
      <c r="Q118" s="770">
        <v>12</v>
      </c>
      <c r="R118" s="770" t="b">
        <v>1</v>
      </c>
    </row>
    <row r="119" spans="2:18" ht="28.5">
      <c r="B119" s="369"/>
      <c r="C119" s="304" t="s">
        <v>336</v>
      </c>
      <c r="D119" s="324"/>
      <c r="E119" s="325"/>
      <c r="F119" s="651" t="s">
        <v>337</v>
      </c>
      <c r="G119" s="322" t="s">
        <v>275</v>
      </c>
      <c r="H119" s="326">
        <v>8</v>
      </c>
      <c r="I119" s="641">
        <v>51948</v>
      </c>
      <c r="J119" s="1089">
        <f t="shared" si="6"/>
        <v>415584</v>
      </c>
      <c r="K119" s="631"/>
      <c r="M119" s="770" t="s">
        <v>337</v>
      </c>
      <c r="N119" s="770" t="b">
        <v>1</v>
      </c>
      <c r="O119" s="770" t="s">
        <v>275</v>
      </c>
      <c r="P119" s="770" t="b">
        <v>1</v>
      </c>
      <c r="Q119" s="770">
        <v>8</v>
      </c>
      <c r="R119" s="770" t="b">
        <v>1</v>
      </c>
    </row>
    <row r="120" spans="2:18" ht="28.5">
      <c r="B120" s="369"/>
      <c r="C120" s="304" t="s">
        <v>338</v>
      </c>
      <c r="D120" s="324"/>
      <c r="E120" s="325"/>
      <c r="F120" s="651" t="s">
        <v>339</v>
      </c>
      <c r="G120" s="322" t="s">
        <v>275</v>
      </c>
      <c r="H120" s="326">
        <v>11</v>
      </c>
      <c r="I120" s="641">
        <v>59345</v>
      </c>
      <c r="J120" s="1089">
        <f t="shared" si="6"/>
        <v>652795</v>
      </c>
      <c r="K120" s="631"/>
      <c r="M120" s="770" t="s">
        <v>339</v>
      </c>
      <c r="N120" s="770" t="b">
        <v>1</v>
      </c>
      <c r="O120" s="770" t="s">
        <v>275</v>
      </c>
      <c r="P120" s="770" t="b">
        <v>1</v>
      </c>
      <c r="Q120" s="770">
        <v>11</v>
      </c>
      <c r="R120" s="770" t="b">
        <v>1</v>
      </c>
    </row>
    <row r="121" spans="2:18" ht="28.5">
      <c r="B121" s="369"/>
      <c r="C121" s="304" t="s">
        <v>340</v>
      </c>
      <c r="D121" s="324"/>
      <c r="E121" s="325"/>
      <c r="F121" s="651" t="s">
        <v>341</v>
      </c>
      <c r="G121" s="322" t="s">
        <v>154</v>
      </c>
      <c r="H121" s="326">
        <v>31</v>
      </c>
      <c r="I121" s="641">
        <v>51384</v>
      </c>
      <c r="J121" s="1089">
        <f t="shared" si="6"/>
        <v>1592904</v>
      </c>
      <c r="K121" s="631"/>
      <c r="M121" s="770" t="s">
        <v>341</v>
      </c>
      <c r="N121" s="770" t="b">
        <v>1</v>
      </c>
      <c r="O121" s="770" t="s">
        <v>154</v>
      </c>
      <c r="P121" s="770" t="b">
        <v>1</v>
      </c>
      <c r="Q121" s="770">
        <v>31</v>
      </c>
      <c r="R121" s="770" t="b">
        <v>1</v>
      </c>
    </row>
    <row r="122" spans="2:18" ht="28.5">
      <c r="B122" s="369"/>
      <c r="C122" s="304" t="s">
        <v>342</v>
      </c>
      <c r="D122" s="324"/>
      <c r="E122" s="325"/>
      <c r="F122" s="651" t="s">
        <v>343</v>
      </c>
      <c r="G122" s="322" t="s">
        <v>154</v>
      </c>
      <c r="H122" s="326">
        <v>56</v>
      </c>
      <c r="I122" s="641">
        <v>29787</v>
      </c>
      <c r="J122" s="1089">
        <f t="shared" si="6"/>
        <v>1668072</v>
      </c>
      <c r="K122" s="631"/>
      <c r="M122" s="770" t="s">
        <v>343</v>
      </c>
      <c r="N122" s="770" t="b">
        <v>1</v>
      </c>
      <c r="O122" s="770" t="s">
        <v>154</v>
      </c>
      <c r="P122" s="770" t="b">
        <v>1</v>
      </c>
      <c r="Q122" s="770">
        <v>56</v>
      </c>
      <c r="R122" s="770" t="b">
        <v>1</v>
      </c>
    </row>
    <row r="123" spans="2:18" ht="43.5" thickBot="1">
      <c r="B123" s="369"/>
      <c r="C123" s="304" t="s">
        <v>344</v>
      </c>
      <c r="D123" s="324"/>
      <c r="E123" s="325"/>
      <c r="F123" s="651" t="s">
        <v>345</v>
      </c>
      <c r="G123" s="322" t="s">
        <v>154</v>
      </c>
      <c r="H123" s="326">
        <v>18</v>
      </c>
      <c r="I123" s="641">
        <v>111408</v>
      </c>
      <c r="J123" s="1089">
        <f t="shared" si="6"/>
        <v>2005344</v>
      </c>
      <c r="K123" s="631"/>
      <c r="M123" s="770" t="s">
        <v>345</v>
      </c>
      <c r="N123" s="770" t="b">
        <v>1</v>
      </c>
      <c r="O123" s="770" t="s">
        <v>154</v>
      </c>
      <c r="P123" s="770" t="b">
        <v>1</v>
      </c>
      <c r="Q123" s="770">
        <v>18</v>
      </c>
      <c r="R123" s="770" t="b">
        <v>1</v>
      </c>
    </row>
    <row r="124" spans="2:18" ht="15.75" thickBot="1">
      <c r="B124" s="369"/>
      <c r="C124" s="309" t="s">
        <v>554</v>
      </c>
      <c r="D124" s="327"/>
      <c r="E124" s="328"/>
      <c r="F124" s="360" t="s">
        <v>553</v>
      </c>
      <c r="G124" s="329"/>
      <c r="H124" s="330"/>
      <c r="I124" s="639"/>
      <c r="J124" s="650"/>
      <c r="K124" s="631"/>
      <c r="M124" s="770" t="s">
        <v>553</v>
      </c>
      <c r="N124" s="770" t="b">
        <v>1</v>
      </c>
      <c r="O124" s="770">
        <v>0</v>
      </c>
      <c r="P124" s="770" t="b">
        <v>1</v>
      </c>
      <c r="Q124" s="770">
        <v>0</v>
      </c>
      <c r="R124" s="770" t="b">
        <v>1</v>
      </c>
    </row>
    <row r="125" spans="2:18">
      <c r="B125" s="369"/>
      <c r="C125" s="306"/>
      <c r="D125" s="674"/>
      <c r="E125" s="675"/>
      <c r="F125" s="676" t="s">
        <v>555</v>
      </c>
      <c r="G125" s="677"/>
      <c r="H125" s="678"/>
      <c r="I125" s="679"/>
      <c r="J125" s="680"/>
      <c r="K125" s="631"/>
      <c r="M125" s="770" t="e">
        <v>#N/A</v>
      </c>
      <c r="N125" s="770" t="e">
        <v>#N/A</v>
      </c>
      <c r="O125" s="770" t="e">
        <v>#N/A</v>
      </c>
      <c r="P125" s="770" t="e">
        <v>#N/A</v>
      </c>
      <c r="Q125" s="770" t="e">
        <v>#N/A</v>
      </c>
      <c r="R125" s="770" t="e">
        <v>#N/A</v>
      </c>
    </row>
    <row r="126" spans="2:18" ht="28.5">
      <c r="B126" s="369"/>
      <c r="C126" s="304" t="s">
        <v>346</v>
      </c>
      <c r="D126" s="324"/>
      <c r="E126" s="325"/>
      <c r="F126" s="651" t="s">
        <v>347</v>
      </c>
      <c r="G126" s="322" t="s">
        <v>275</v>
      </c>
      <c r="H126" s="326">
        <v>12</v>
      </c>
      <c r="I126" s="641">
        <v>109876</v>
      </c>
      <c r="J126" s="1089">
        <f t="shared" ref="J126:J143" si="7">+H126*I126</f>
        <v>1318512</v>
      </c>
      <c r="K126" s="631"/>
      <c r="M126" s="770" t="s">
        <v>347</v>
      </c>
      <c r="N126" s="770" t="b">
        <v>1</v>
      </c>
      <c r="O126" s="770" t="s">
        <v>275</v>
      </c>
      <c r="P126" s="770" t="b">
        <v>1</v>
      </c>
      <c r="Q126" s="770">
        <v>12</v>
      </c>
      <c r="R126" s="770" t="b">
        <v>1</v>
      </c>
    </row>
    <row r="127" spans="2:18">
      <c r="B127" s="369"/>
      <c r="C127" s="304" t="s">
        <v>348</v>
      </c>
      <c r="D127" s="324"/>
      <c r="E127" s="325"/>
      <c r="F127" s="651" t="s">
        <v>349</v>
      </c>
      <c r="G127" s="322" t="s">
        <v>275</v>
      </c>
      <c r="H127" s="326">
        <v>34</v>
      </c>
      <c r="I127" s="641">
        <v>75902</v>
      </c>
      <c r="J127" s="1089">
        <f t="shared" si="7"/>
        <v>2580668</v>
      </c>
      <c r="K127" s="631"/>
      <c r="M127" s="770" t="s">
        <v>349</v>
      </c>
      <c r="N127" s="770" t="b">
        <v>1</v>
      </c>
      <c r="O127" s="770" t="s">
        <v>275</v>
      </c>
      <c r="P127" s="770" t="b">
        <v>1</v>
      </c>
      <c r="Q127" s="770">
        <v>34</v>
      </c>
      <c r="R127" s="770" t="b">
        <v>1</v>
      </c>
    </row>
    <row r="128" spans="2:18" ht="28.5">
      <c r="B128" s="369"/>
      <c r="C128" s="304" t="s">
        <v>350</v>
      </c>
      <c r="D128" s="324"/>
      <c r="E128" s="325"/>
      <c r="F128" s="651" t="s">
        <v>351</v>
      </c>
      <c r="G128" s="322" t="s">
        <v>275</v>
      </c>
      <c r="H128" s="326">
        <v>12</v>
      </c>
      <c r="I128" s="641">
        <v>104831</v>
      </c>
      <c r="J128" s="1089">
        <f t="shared" si="7"/>
        <v>1257972</v>
      </c>
      <c r="K128" s="631"/>
      <c r="M128" s="770" t="s">
        <v>351</v>
      </c>
      <c r="N128" s="770" t="b">
        <v>1</v>
      </c>
      <c r="O128" s="770" t="s">
        <v>275</v>
      </c>
      <c r="P128" s="770" t="b">
        <v>1</v>
      </c>
      <c r="Q128" s="770">
        <v>12</v>
      </c>
      <c r="R128" s="770" t="b">
        <v>1</v>
      </c>
    </row>
    <row r="129" spans="2:18" ht="28.5">
      <c r="B129" s="369"/>
      <c r="C129" s="304" t="s">
        <v>352</v>
      </c>
      <c r="D129" s="324"/>
      <c r="E129" s="325"/>
      <c r="F129" s="651" t="s">
        <v>353</v>
      </c>
      <c r="G129" s="322" t="s">
        <v>275</v>
      </c>
      <c r="H129" s="326">
        <v>43</v>
      </c>
      <c r="I129" s="641">
        <v>262822</v>
      </c>
      <c r="J129" s="1089">
        <f t="shared" si="7"/>
        <v>11301346</v>
      </c>
      <c r="K129" s="631"/>
      <c r="M129" s="770" t="s">
        <v>353</v>
      </c>
      <c r="N129" s="770" t="b">
        <v>1</v>
      </c>
      <c r="O129" s="770" t="s">
        <v>275</v>
      </c>
      <c r="P129" s="770" t="b">
        <v>1</v>
      </c>
      <c r="Q129" s="770">
        <v>43</v>
      </c>
      <c r="R129" s="770" t="b">
        <v>1</v>
      </c>
    </row>
    <row r="130" spans="2:18" ht="28.5">
      <c r="B130" s="369"/>
      <c r="C130" s="304" t="s">
        <v>354</v>
      </c>
      <c r="D130" s="324"/>
      <c r="E130" s="325"/>
      <c r="F130" s="651" t="s">
        <v>355</v>
      </c>
      <c r="G130" s="322" t="s">
        <v>275</v>
      </c>
      <c r="H130" s="326">
        <v>4</v>
      </c>
      <c r="I130" s="641">
        <v>378390</v>
      </c>
      <c r="J130" s="1089">
        <f t="shared" si="7"/>
        <v>1513560</v>
      </c>
      <c r="K130" s="631"/>
      <c r="M130" s="770" t="s">
        <v>355</v>
      </c>
      <c r="N130" s="770" t="b">
        <v>1</v>
      </c>
      <c r="O130" s="770" t="s">
        <v>275</v>
      </c>
      <c r="P130" s="770" t="b">
        <v>1</v>
      </c>
      <c r="Q130" s="770">
        <v>4</v>
      </c>
      <c r="R130" s="770" t="b">
        <v>1</v>
      </c>
    </row>
    <row r="131" spans="2:18" ht="28.5">
      <c r="B131" s="369"/>
      <c r="C131" s="304" t="s">
        <v>356</v>
      </c>
      <c r="D131" s="324"/>
      <c r="E131" s="325"/>
      <c r="F131" s="651" t="s">
        <v>357</v>
      </c>
      <c r="G131" s="322" t="s">
        <v>275</v>
      </c>
      <c r="H131" s="326">
        <v>2</v>
      </c>
      <c r="I131" s="641">
        <v>347239</v>
      </c>
      <c r="J131" s="1089">
        <f t="shared" si="7"/>
        <v>694478</v>
      </c>
      <c r="K131" s="631"/>
      <c r="M131" s="770" t="s">
        <v>357</v>
      </c>
      <c r="N131" s="770" t="b">
        <v>1</v>
      </c>
      <c r="O131" s="770" t="s">
        <v>275</v>
      </c>
      <c r="P131" s="770" t="b">
        <v>1</v>
      </c>
      <c r="Q131" s="770">
        <v>2</v>
      </c>
      <c r="R131" s="770" t="b">
        <v>1</v>
      </c>
    </row>
    <row r="132" spans="2:18">
      <c r="B132" s="369"/>
      <c r="C132" s="304" t="s">
        <v>358</v>
      </c>
      <c r="D132" s="324"/>
      <c r="E132" s="325"/>
      <c r="F132" s="651" t="s">
        <v>359</v>
      </c>
      <c r="G132" s="322" t="s">
        <v>95</v>
      </c>
      <c r="H132" s="326">
        <v>2</v>
      </c>
      <c r="I132" s="641">
        <v>883238</v>
      </c>
      <c r="J132" s="1089">
        <f t="shared" si="7"/>
        <v>1766476</v>
      </c>
      <c r="K132" s="631"/>
      <c r="M132" s="770" t="s">
        <v>359</v>
      </c>
      <c r="N132" s="770" t="b">
        <v>1</v>
      </c>
      <c r="O132" s="770" t="s">
        <v>95</v>
      </c>
      <c r="P132" s="770" t="b">
        <v>1</v>
      </c>
      <c r="Q132" s="770">
        <v>2</v>
      </c>
      <c r="R132" s="770" t="b">
        <v>1</v>
      </c>
    </row>
    <row r="133" spans="2:18" ht="28.5">
      <c r="B133" s="369"/>
      <c r="C133" s="304" t="s">
        <v>360</v>
      </c>
      <c r="D133" s="324"/>
      <c r="E133" s="325"/>
      <c r="F133" s="651" t="s">
        <v>361</v>
      </c>
      <c r="G133" s="322" t="s">
        <v>154</v>
      </c>
      <c r="H133" s="326">
        <v>98</v>
      </c>
      <c r="I133" s="641">
        <v>10366</v>
      </c>
      <c r="J133" s="1089">
        <f t="shared" si="7"/>
        <v>1015868</v>
      </c>
      <c r="K133" s="631"/>
      <c r="M133" s="770" t="s">
        <v>361</v>
      </c>
      <c r="N133" s="770" t="b">
        <v>1</v>
      </c>
      <c r="O133" s="770" t="s">
        <v>154</v>
      </c>
      <c r="P133" s="770" t="b">
        <v>1</v>
      </c>
      <c r="Q133" s="770">
        <v>98</v>
      </c>
      <c r="R133" s="770" t="b">
        <v>1</v>
      </c>
    </row>
    <row r="134" spans="2:18" ht="28.5">
      <c r="B134" s="369"/>
      <c r="C134" s="304" t="s">
        <v>362</v>
      </c>
      <c r="D134" s="324"/>
      <c r="E134" s="325"/>
      <c r="F134" s="651" t="s">
        <v>331</v>
      </c>
      <c r="G134" s="322" t="s">
        <v>154</v>
      </c>
      <c r="H134" s="326">
        <v>56</v>
      </c>
      <c r="I134" s="641">
        <v>52231</v>
      </c>
      <c r="J134" s="1089">
        <f t="shared" si="7"/>
        <v>2924936</v>
      </c>
      <c r="K134" s="631"/>
      <c r="M134" s="770" t="s">
        <v>331</v>
      </c>
      <c r="N134" s="770" t="b">
        <v>1</v>
      </c>
      <c r="O134" s="770" t="s">
        <v>154</v>
      </c>
      <c r="P134" s="770" t="b">
        <v>1</v>
      </c>
      <c r="Q134" s="770">
        <v>56</v>
      </c>
      <c r="R134" s="770" t="b">
        <v>1</v>
      </c>
    </row>
    <row r="135" spans="2:18">
      <c r="B135" s="369"/>
      <c r="C135" s="304" t="s">
        <v>363</v>
      </c>
      <c r="D135" s="324"/>
      <c r="E135" s="325"/>
      <c r="F135" s="651" t="s">
        <v>364</v>
      </c>
      <c r="G135" s="322" t="s">
        <v>275</v>
      </c>
      <c r="H135" s="326">
        <v>2</v>
      </c>
      <c r="I135" s="641">
        <v>166077</v>
      </c>
      <c r="J135" s="1089">
        <f t="shared" si="7"/>
        <v>332154</v>
      </c>
      <c r="K135" s="631"/>
      <c r="M135" s="770" t="s">
        <v>364</v>
      </c>
      <c r="N135" s="770" t="b">
        <v>1</v>
      </c>
      <c r="O135" s="770" t="s">
        <v>275</v>
      </c>
      <c r="P135" s="770" t="b">
        <v>1</v>
      </c>
      <c r="Q135" s="770">
        <v>2</v>
      </c>
      <c r="R135" s="770" t="b">
        <v>1</v>
      </c>
    </row>
    <row r="136" spans="2:18" ht="29.25" thickBot="1">
      <c r="B136" s="369"/>
      <c r="C136" s="304" t="s">
        <v>365</v>
      </c>
      <c r="D136" s="324"/>
      <c r="E136" s="325"/>
      <c r="F136" s="651" t="s">
        <v>366</v>
      </c>
      <c r="G136" s="322" t="s">
        <v>272</v>
      </c>
      <c r="H136" s="326">
        <v>1</v>
      </c>
      <c r="I136" s="641">
        <v>1430952</v>
      </c>
      <c r="J136" s="1089">
        <f t="shared" si="7"/>
        <v>1430952</v>
      </c>
      <c r="K136" s="631"/>
      <c r="M136" s="770" t="s">
        <v>366</v>
      </c>
      <c r="N136" s="770" t="b">
        <v>1</v>
      </c>
      <c r="O136" s="770" t="s">
        <v>272</v>
      </c>
      <c r="P136" s="770" t="b">
        <v>1</v>
      </c>
      <c r="Q136" s="770">
        <v>1</v>
      </c>
      <c r="R136" s="770" t="b">
        <v>1</v>
      </c>
    </row>
    <row r="137" spans="2:18" ht="15.75" thickBot="1">
      <c r="B137" s="369"/>
      <c r="C137" s="309" t="s">
        <v>567</v>
      </c>
      <c r="D137" s="327"/>
      <c r="E137" s="328"/>
      <c r="F137" s="360" t="s">
        <v>568</v>
      </c>
      <c r="G137" s="329"/>
      <c r="H137" s="330"/>
      <c r="I137" s="639"/>
      <c r="J137" s="650"/>
      <c r="K137" s="631"/>
      <c r="M137" s="770" t="s">
        <v>568</v>
      </c>
      <c r="N137" s="770" t="b">
        <v>1</v>
      </c>
      <c r="O137" s="770">
        <v>0</v>
      </c>
      <c r="P137" s="770" t="b">
        <v>1</v>
      </c>
      <c r="Q137" s="770">
        <v>0</v>
      </c>
      <c r="R137" s="770" t="b">
        <v>1</v>
      </c>
    </row>
    <row r="138" spans="2:18" ht="42.75">
      <c r="B138" s="369"/>
      <c r="C138" s="304" t="s">
        <v>367</v>
      </c>
      <c r="D138" s="324"/>
      <c r="E138" s="325"/>
      <c r="F138" s="651" t="s">
        <v>368</v>
      </c>
      <c r="G138" s="322" t="s">
        <v>275</v>
      </c>
      <c r="H138" s="326">
        <v>4</v>
      </c>
      <c r="I138" s="641">
        <v>596241</v>
      </c>
      <c r="J138" s="1089">
        <f t="shared" si="7"/>
        <v>2384964</v>
      </c>
      <c r="K138" s="631"/>
      <c r="M138" s="770" t="s">
        <v>368</v>
      </c>
      <c r="N138" s="770" t="b">
        <v>1</v>
      </c>
      <c r="O138" s="770" t="s">
        <v>275</v>
      </c>
      <c r="P138" s="770" t="b">
        <v>1</v>
      </c>
      <c r="Q138" s="770">
        <v>4</v>
      </c>
      <c r="R138" s="770" t="b">
        <v>1</v>
      </c>
    </row>
    <row r="139" spans="2:18" ht="28.5">
      <c r="B139" s="369"/>
      <c r="C139" s="304" t="s">
        <v>369</v>
      </c>
      <c r="D139" s="324"/>
      <c r="E139" s="325"/>
      <c r="F139" s="651" t="s">
        <v>370</v>
      </c>
      <c r="G139" s="322" t="s">
        <v>95</v>
      </c>
      <c r="H139" s="326">
        <v>2</v>
      </c>
      <c r="I139" s="641">
        <v>8969768</v>
      </c>
      <c r="J139" s="1089">
        <f t="shared" si="7"/>
        <v>17939536</v>
      </c>
      <c r="K139" s="631"/>
      <c r="M139" s="770" t="s">
        <v>370</v>
      </c>
      <c r="N139" s="770" t="b">
        <v>1</v>
      </c>
      <c r="O139" s="770" t="s">
        <v>95</v>
      </c>
      <c r="P139" s="770" t="b">
        <v>1</v>
      </c>
      <c r="Q139" s="770">
        <v>2</v>
      </c>
      <c r="R139" s="770" t="b">
        <v>1</v>
      </c>
    </row>
    <row r="140" spans="2:18" ht="28.5">
      <c r="B140" s="369"/>
      <c r="C140" s="304" t="s">
        <v>371</v>
      </c>
      <c r="D140" s="324"/>
      <c r="E140" s="325"/>
      <c r="F140" s="651" t="s">
        <v>372</v>
      </c>
      <c r="G140" s="322" t="s">
        <v>275</v>
      </c>
      <c r="H140" s="326">
        <v>2</v>
      </c>
      <c r="I140" s="641">
        <v>5708706</v>
      </c>
      <c r="J140" s="1089">
        <f t="shared" si="7"/>
        <v>11417412</v>
      </c>
      <c r="K140" s="631"/>
      <c r="M140" s="770" t="s">
        <v>372</v>
      </c>
      <c r="N140" s="770" t="b">
        <v>1</v>
      </c>
      <c r="O140" s="770" t="s">
        <v>275</v>
      </c>
      <c r="P140" s="770" t="b">
        <v>1</v>
      </c>
      <c r="Q140" s="770">
        <v>2</v>
      </c>
      <c r="R140" s="770" t="b">
        <v>1</v>
      </c>
    </row>
    <row r="141" spans="2:18" ht="28.5">
      <c r="B141" s="369"/>
      <c r="C141" s="304" t="s">
        <v>373</v>
      </c>
      <c r="D141" s="324"/>
      <c r="E141" s="325"/>
      <c r="F141" s="651" t="s">
        <v>374</v>
      </c>
      <c r="G141" s="322" t="s">
        <v>275</v>
      </c>
      <c r="H141" s="326">
        <v>2</v>
      </c>
      <c r="I141" s="641">
        <v>3210487</v>
      </c>
      <c r="J141" s="1089">
        <f t="shared" si="7"/>
        <v>6420974</v>
      </c>
      <c r="K141" s="631"/>
      <c r="M141" s="770" t="s">
        <v>374</v>
      </c>
      <c r="N141" s="770" t="b">
        <v>1</v>
      </c>
      <c r="O141" s="770" t="s">
        <v>275</v>
      </c>
      <c r="P141" s="770" t="b">
        <v>1</v>
      </c>
      <c r="Q141" s="770">
        <v>2</v>
      </c>
      <c r="R141" s="770" t="b">
        <v>1</v>
      </c>
    </row>
    <row r="142" spans="2:18" ht="28.5">
      <c r="B142" s="369"/>
      <c r="C142" s="304" t="s">
        <v>375</v>
      </c>
      <c r="D142" s="324"/>
      <c r="E142" s="325"/>
      <c r="F142" s="651" t="s">
        <v>376</v>
      </c>
      <c r="G142" s="322" t="s">
        <v>275</v>
      </c>
      <c r="H142" s="326">
        <v>2</v>
      </c>
      <c r="I142" s="641">
        <v>853979</v>
      </c>
      <c r="J142" s="1089">
        <f t="shared" si="7"/>
        <v>1707958</v>
      </c>
      <c r="K142" s="631"/>
      <c r="M142" s="770" t="s">
        <v>376</v>
      </c>
      <c r="N142" s="770" t="b">
        <v>1</v>
      </c>
      <c r="O142" s="770" t="s">
        <v>275</v>
      </c>
      <c r="P142" s="770" t="b">
        <v>1</v>
      </c>
      <c r="Q142" s="770">
        <v>2</v>
      </c>
      <c r="R142" s="770" t="b">
        <v>1</v>
      </c>
    </row>
    <row r="143" spans="2:18" ht="43.5" thickBot="1">
      <c r="B143" s="369"/>
      <c r="C143" s="304" t="s">
        <v>377</v>
      </c>
      <c r="D143" s="324"/>
      <c r="E143" s="325"/>
      <c r="F143" s="651" t="s">
        <v>378</v>
      </c>
      <c r="G143" s="322" t="s">
        <v>275</v>
      </c>
      <c r="H143" s="326">
        <v>1</v>
      </c>
      <c r="I143" s="641">
        <v>1270309</v>
      </c>
      <c r="J143" s="1089">
        <f t="shared" si="7"/>
        <v>1270309</v>
      </c>
      <c r="K143" s="631"/>
      <c r="M143" s="770" t="s">
        <v>378</v>
      </c>
      <c r="N143" s="770" t="b">
        <v>1</v>
      </c>
      <c r="O143" s="770" t="s">
        <v>275</v>
      </c>
      <c r="P143" s="770" t="b">
        <v>1</v>
      </c>
      <c r="Q143" s="770">
        <v>1</v>
      </c>
      <c r="R143" s="770" t="b">
        <v>1</v>
      </c>
    </row>
    <row r="144" spans="2:18" ht="15.75" thickBot="1">
      <c r="B144" s="369"/>
      <c r="C144" s="309"/>
      <c r="D144" s="327"/>
      <c r="E144" s="328"/>
      <c r="F144" s="360" t="s">
        <v>575</v>
      </c>
      <c r="G144" s="329"/>
      <c r="H144" s="330"/>
      <c r="I144" s="639"/>
      <c r="J144" s="650"/>
      <c r="K144" s="631"/>
      <c r="M144" s="770" t="e">
        <v>#N/A</v>
      </c>
      <c r="N144" s="770" t="e">
        <v>#N/A</v>
      </c>
      <c r="O144" s="770" t="e">
        <v>#N/A</v>
      </c>
      <c r="P144" s="770" t="e">
        <v>#N/A</v>
      </c>
      <c r="Q144" s="770" t="e">
        <v>#N/A</v>
      </c>
      <c r="R144" s="770" t="e">
        <v>#N/A</v>
      </c>
    </row>
    <row r="145" spans="2:18" ht="30">
      <c r="B145" s="369"/>
      <c r="C145" s="682" t="s">
        <v>379</v>
      </c>
      <c r="D145" s="674"/>
      <c r="E145" s="675"/>
      <c r="F145" s="676" t="s">
        <v>576</v>
      </c>
      <c r="G145" s="677"/>
      <c r="H145" s="678"/>
      <c r="I145" s="679"/>
      <c r="J145" s="680"/>
      <c r="K145" s="631"/>
      <c r="M145" s="770" t="s">
        <v>576</v>
      </c>
      <c r="N145" s="770" t="b">
        <v>1</v>
      </c>
      <c r="O145" s="770">
        <v>0</v>
      </c>
      <c r="P145" s="770" t="b">
        <v>1</v>
      </c>
      <c r="Q145" s="770">
        <v>0</v>
      </c>
      <c r="R145" s="770" t="b">
        <v>1</v>
      </c>
    </row>
    <row r="146" spans="2:18" ht="42.75">
      <c r="B146" s="369"/>
      <c r="C146" s="304" t="s">
        <v>380</v>
      </c>
      <c r="D146" s="324"/>
      <c r="E146" s="325"/>
      <c r="F146" s="651" t="s">
        <v>381</v>
      </c>
      <c r="G146" s="322" t="s">
        <v>275</v>
      </c>
      <c r="H146" s="326">
        <v>1</v>
      </c>
      <c r="I146" s="641">
        <v>5398489</v>
      </c>
      <c r="J146" s="1089">
        <f t="shared" ref="J146:J183" si="8">+H146*I146</f>
        <v>5398489</v>
      </c>
      <c r="K146" s="631"/>
      <c r="M146" s="770" t="s">
        <v>381</v>
      </c>
      <c r="N146" s="770" t="b">
        <v>1</v>
      </c>
      <c r="O146" s="770" t="s">
        <v>275</v>
      </c>
      <c r="P146" s="770" t="b">
        <v>1</v>
      </c>
      <c r="Q146" s="770">
        <v>1</v>
      </c>
      <c r="R146" s="770" t="b">
        <v>1</v>
      </c>
    </row>
    <row r="147" spans="2:18" ht="28.5">
      <c r="B147" s="369"/>
      <c r="C147" s="304" t="s">
        <v>382</v>
      </c>
      <c r="D147" s="324"/>
      <c r="E147" s="325"/>
      <c r="F147" s="651" t="s">
        <v>383</v>
      </c>
      <c r="G147" s="322" t="s">
        <v>145</v>
      </c>
      <c r="H147" s="326">
        <v>60</v>
      </c>
      <c r="I147" s="641">
        <v>31669</v>
      </c>
      <c r="J147" s="1089">
        <f t="shared" si="8"/>
        <v>1900140</v>
      </c>
      <c r="K147" s="631"/>
      <c r="M147" s="770" t="s">
        <v>383</v>
      </c>
      <c r="N147" s="770" t="b">
        <v>1</v>
      </c>
      <c r="O147" s="770" t="s">
        <v>145</v>
      </c>
      <c r="P147" s="770" t="b">
        <v>1</v>
      </c>
      <c r="Q147" s="770">
        <v>60</v>
      </c>
      <c r="R147" s="770" t="b">
        <v>1</v>
      </c>
    </row>
    <row r="148" spans="2:18" ht="42.75">
      <c r="B148" s="369"/>
      <c r="C148" s="304" t="s">
        <v>384</v>
      </c>
      <c r="D148" s="324"/>
      <c r="E148" s="325"/>
      <c r="F148" s="651" t="s">
        <v>385</v>
      </c>
      <c r="G148" s="322" t="s">
        <v>275</v>
      </c>
      <c r="H148" s="326">
        <v>1</v>
      </c>
      <c r="I148" s="641">
        <v>1877507</v>
      </c>
      <c r="J148" s="1089">
        <f t="shared" si="8"/>
        <v>1877507</v>
      </c>
      <c r="K148" s="631"/>
      <c r="M148" s="770" t="s">
        <v>385</v>
      </c>
      <c r="N148" s="770" t="b">
        <v>1</v>
      </c>
      <c r="O148" s="770" t="s">
        <v>275</v>
      </c>
      <c r="P148" s="770" t="b">
        <v>1</v>
      </c>
      <c r="Q148" s="770">
        <v>1</v>
      </c>
      <c r="R148" s="770" t="b">
        <v>1</v>
      </c>
    </row>
    <row r="149" spans="2:18" ht="28.5">
      <c r="B149" s="369"/>
      <c r="C149" s="304" t="s">
        <v>386</v>
      </c>
      <c r="D149" s="324"/>
      <c r="E149" s="325"/>
      <c r="F149" s="651" t="s">
        <v>387</v>
      </c>
      <c r="G149" s="322" t="s">
        <v>154</v>
      </c>
      <c r="H149" s="326">
        <v>5</v>
      </c>
      <c r="I149" s="641">
        <v>82175</v>
      </c>
      <c r="J149" s="1089">
        <f t="shared" si="8"/>
        <v>410875</v>
      </c>
      <c r="K149" s="631"/>
      <c r="M149" s="770" t="s">
        <v>387</v>
      </c>
      <c r="N149" s="770" t="b">
        <v>1</v>
      </c>
      <c r="O149" s="770" t="s">
        <v>154</v>
      </c>
      <c r="P149" s="770" t="b">
        <v>1</v>
      </c>
      <c r="Q149" s="770">
        <v>5</v>
      </c>
      <c r="R149" s="770" t="b">
        <v>1</v>
      </c>
    </row>
    <row r="150" spans="2:18" ht="28.5">
      <c r="B150" s="369"/>
      <c r="C150" s="304" t="s">
        <v>388</v>
      </c>
      <c r="D150" s="324"/>
      <c r="E150" s="325"/>
      <c r="F150" s="651" t="s">
        <v>389</v>
      </c>
      <c r="G150" s="322" t="s">
        <v>145</v>
      </c>
      <c r="H150" s="326">
        <v>10</v>
      </c>
      <c r="I150" s="641">
        <v>217471</v>
      </c>
      <c r="J150" s="1089">
        <f t="shared" si="8"/>
        <v>2174710</v>
      </c>
      <c r="K150" s="631"/>
      <c r="M150" s="770" t="s">
        <v>389</v>
      </c>
      <c r="N150" s="770" t="b">
        <v>1</v>
      </c>
      <c r="O150" s="770" t="s">
        <v>145</v>
      </c>
      <c r="P150" s="770" t="b">
        <v>1</v>
      </c>
      <c r="Q150" s="770">
        <v>10</v>
      </c>
      <c r="R150" s="770" t="b">
        <v>1</v>
      </c>
    </row>
    <row r="151" spans="2:18" ht="28.5">
      <c r="B151" s="369"/>
      <c r="C151" s="304" t="s">
        <v>390</v>
      </c>
      <c r="D151" s="324"/>
      <c r="E151" s="325"/>
      <c r="F151" s="651" t="s">
        <v>391</v>
      </c>
      <c r="G151" s="322" t="s">
        <v>145</v>
      </c>
      <c r="H151" s="326">
        <v>97</v>
      </c>
      <c r="I151" s="641">
        <v>199193</v>
      </c>
      <c r="J151" s="1089">
        <f t="shared" si="8"/>
        <v>19321721</v>
      </c>
      <c r="K151" s="631"/>
      <c r="M151" s="770" t="s">
        <v>391</v>
      </c>
      <c r="N151" s="770" t="b">
        <v>1</v>
      </c>
      <c r="O151" s="770" t="s">
        <v>145</v>
      </c>
      <c r="P151" s="770" t="b">
        <v>1</v>
      </c>
      <c r="Q151" s="770">
        <v>97</v>
      </c>
      <c r="R151" s="770" t="b">
        <v>1</v>
      </c>
    </row>
    <row r="152" spans="2:18" ht="28.5">
      <c r="B152" s="369"/>
      <c r="C152" s="304" t="s">
        <v>392</v>
      </c>
      <c r="D152" s="324"/>
      <c r="E152" s="325"/>
      <c r="F152" s="651" t="s">
        <v>393</v>
      </c>
      <c r="G152" s="322" t="s">
        <v>145</v>
      </c>
      <c r="H152" s="326">
        <v>6</v>
      </c>
      <c r="I152" s="641">
        <v>183614</v>
      </c>
      <c r="J152" s="1089">
        <f t="shared" si="8"/>
        <v>1101684</v>
      </c>
      <c r="K152" s="631"/>
      <c r="M152" s="770" t="s">
        <v>393</v>
      </c>
      <c r="N152" s="770" t="b">
        <v>1</v>
      </c>
      <c r="O152" s="770" t="s">
        <v>145</v>
      </c>
      <c r="P152" s="770" t="b">
        <v>1</v>
      </c>
      <c r="Q152" s="770">
        <v>6</v>
      </c>
      <c r="R152" s="770" t="b">
        <v>1</v>
      </c>
    </row>
    <row r="153" spans="2:18" ht="28.5">
      <c r="B153" s="369"/>
      <c r="C153" s="304" t="s">
        <v>394</v>
      </c>
      <c r="D153" s="324"/>
      <c r="E153" s="325"/>
      <c r="F153" s="651" t="s">
        <v>395</v>
      </c>
      <c r="G153" s="322" t="s">
        <v>275</v>
      </c>
      <c r="H153" s="326">
        <v>1</v>
      </c>
      <c r="I153" s="641">
        <v>302185</v>
      </c>
      <c r="J153" s="1089">
        <f t="shared" si="8"/>
        <v>302185</v>
      </c>
      <c r="K153" s="631"/>
      <c r="M153" s="770" t="s">
        <v>395</v>
      </c>
      <c r="N153" s="770" t="b">
        <v>1</v>
      </c>
      <c r="O153" s="770" t="s">
        <v>275</v>
      </c>
      <c r="P153" s="770" t="b">
        <v>1</v>
      </c>
      <c r="Q153" s="770">
        <v>1</v>
      </c>
      <c r="R153" s="770" t="b">
        <v>1</v>
      </c>
    </row>
    <row r="154" spans="2:18" ht="28.5">
      <c r="B154" s="369"/>
      <c r="C154" s="304" t="s">
        <v>396</v>
      </c>
      <c r="D154" s="324"/>
      <c r="E154" s="325"/>
      <c r="F154" s="651" t="s">
        <v>397</v>
      </c>
      <c r="G154" s="322" t="s">
        <v>275</v>
      </c>
      <c r="H154" s="326">
        <v>3</v>
      </c>
      <c r="I154" s="641">
        <v>282451</v>
      </c>
      <c r="J154" s="1089">
        <f t="shared" si="8"/>
        <v>847353</v>
      </c>
      <c r="K154" s="631"/>
      <c r="M154" s="770" t="s">
        <v>397</v>
      </c>
      <c r="N154" s="770" t="b">
        <v>1</v>
      </c>
      <c r="O154" s="770" t="s">
        <v>275</v>
      </c>
      <c r="P154" s="770" t="b">
        <v>1</v>
      </c>
      <c r="Q154" s="770">
        <v>3</v>
      </c>
      <c r="R154" s="770" t="b">
        <v>1</v>
      </c>
    </row>
    <row r="155" spans="2:18" ht="28.5">
      <c r="B155" s="369"/>
      <c r="C155" s="304" t="s">
        <v>398</v>
      </c>
      <c r="D155" s="324"/>
      <c r="E155" s="325"/>
      <c r="F155" s="651" t="s">
        <v>399</v>
      </c>
      <c r="G155" s="322" t="s">
        <v>275</v>
      </c>
      <c r="H155" s="326">
        <v>2</v>
      </c>
      <c r="I155" s="641">
        <v>228268</v>
      </c>
      <c r="J155" s="1089">
        <f t="shared" si="8"/>
        <v>456536</v>
      </c>
      <c r="K155" s="631"/>
      <c r="M155" s="770" t="s">
        <v>399</v>
      </c>
      <c r="N155" s="770" t="b">
        <v>1</v>
      </c>
      <c r="O155" s="770" t="s">
        <v>275</v>
      </c>
      <c r="P155" s="770" t="b">
        <v>1</v>
      </c>
      <c r="Q155" s="770">
        <v>2</v>
      </c>
      <c r="R155" s="770" t="b">
        <v>1</v>
      </c>
    </row>
    <row r="156" spans="2:18" ht="28.5">
      <c r="B156" s="369"/>
      <c r="C156" s="304" t="s">
        <v>400</v>
      </c>
      <c r="D156" s="324"/>
      <c r="E156" s="325"/>
      <c r="F156" s="651" t="s">
        <v>401</v>
      </c>
      <c r="G156" s="322" t="s">
        <v>275</v>
      </c>
      <c r="H156" s="326">
        <v>3</v>
      </c>
      <c r="I156" s="641">
        <v>202475</v>
      </c>
      <c r="J156" s="1089">
        <f t="shared" si="8"/>
        <v>607425</v>
      </c>
      <c r="K156" s="631"/>
      <c r="M156" s="770" t="s">
        <v>401</v>
      </c>
      <c r="N156" s="770" t="b">
        <v>1</v>
      </c>
      <c r="O156" s="770" t="s">
        <v>275</v>
      </c>
      <c r="P156" s="770" t="b">
        <v>1</v>
      </c>
      <c r="Q156" s="770">
        <v>3</v>
      </c>
      <c r="R156" s="770" t="b">
        <v>1</v>
      </c>
    </row>
    <row r="157" spans="2:18">
      <c r="B157" s="369"/>
      <c r="C157" s="304" t="s">
        <v>402</v>
      </c>
      <c r="D157" s="324"/>
      <c r="E157" s="325"/>
      <c r="F157" s="651" t="s">
        <v>403</v>
      </c>
      <c r="G157" s="322" t="s">
        <v>275</v>
      </c>
      <c r="H157" s="326">
        <v>1</v>
      </c>
      <c r="I157" s="641">
        <v>330027</v>
      </c>
      <c r="J157" s="1089">
        <f t="shared" si="8"/>
        <v>330027</v>
      </c>
      <c r="K157" s="631"/>
      <c r="M157" s="770" t="s">
        <v>403</v>
      </c>
      <c r="N157" s="770" t="b">
        <v>1</v>
      </c>
      <c r="O157" s="770" t="s">
        <v>275</v>
      </c>
      <c r="P157" s="770" t="b">
        <v>1</v>
      </c>
      <c r="Q157" s="770">
        <v>1</v>
      </c>
      <c r="R157" s="770" t="b">
        <v>1</v>
      </c>
    </row>
    <row r="158" spans="2:18">
      <c r="B158" s="369"/>
      <c r="C158" s="304" t="s">
        <v>404</v>
      </c>
      <c r="D158" s="324"/>
      <c r="E158" s="325"/>
      <c r="F158" s="651" t="s">
        <v>405</v>
      </c>
      <c r="G158" s="322" t="s">
        <v>275</v>
      </c>
      <c r="H158" s="326">
        <v>2</v>
      </c>
      <c r="I158" s="641">
        <v>229681</v>
      </c>
      <c r="J158" s="1089">
        <f t="shared" si="8"/>
        <v>459362</v>
      </c>
      <c r="K158" s="631"/>
      <c r="M158" s="770" t="s">
        <v>405</v>
      </c>
      <c r="N158" s="770" t="b">
        <v>1</v>
      </c>
      <c r="O158" s="770" t="s">
        <v>275</v>
      </c>
      <c r="P158" s="770" t="b">
        <v>1</v>
      </c>
      <c r="Q158" s="770">
        <v>2</v>
      </c>
      <c r="R158" s="770" t="b">
        <v>1</v>
      </c>
    </row>
    <row r="159" spans="2:18">
      <c r="B159" s="369"/>
      <c r="C159" s="304" t="s">
        <v>406</v>
      </c>
      <c r="D159" s="324"/>
      <c r="E159" s="325"/>
      <c r="F159" s="651" t="s">
        <v>407</v>
      </c>
      <c r="G159" s="322" t="s">
        <v>275</v>
      </c>
      <c r="H159" s="326">
        <v>1</v>
      </c>
      <c r="I159" s="641">
        <v>185908</v>
      </c>
      <c r="J159" s="1089">
        <f t="shared" si="8"/>
        <v>185908</v>
      </c>
      <c r="K159" s="631"/>
      <c r="M159" s="770" t="s">
        <v>407</v>
      </c>
      <c r="N159" s="770" t="b">
        <v>1</v>
      </c>
      <c r="O159" s="770" t="s">
        <v>275</v>
      </c>
      <c r="P159" s="770" t="b">
        <v>1</v>
      </c>
      <c r="Q159" s="770">
        <v>1</v>
      </c>
      <c r="R159" s="770" t="b">
        <v>1</v>
      </c>
    </row>
    <row r="160" spans="2:18">
      <c r="B160" s="369"/>
      <c r="C160" s="304" t="s">
        <v>408</v>
      </c>
      <c r="D160" s="324"/>
      <c r="E160" s="325"/>
      <c r="F160" s="651" t="s">
        <v>409</v>
      </c>
      <c r="G160" s="322" t="s">
        <v>275</v>
      </c>
      <c r="H160" s="326">
        <v>5</v>
      </c>
      <c r="I160" s="641">
        <v>148113</v>
      </c>
      <c r="J160" s="1089">
        <f t="shared" si="8"/>
        <v>740565</v>
      </c>
      <c r="K160" s="631"/>
      <c r="M160" s="770" t="s">
        <v>409</v>
      </c>
      <c r="N160" s="770" t="b">
        <v>1</v>
      </c>
      <c r="O160" s="770" t="s">
        <v>275</v>
      </c>
      <c r="P160" s="770" t="b">
        <v>1</v>
      </c>
      <c r="Q160" s="770">
        <v>5</v>
      </c>
      <c r="R160" s="770" t="b">
        <v>1</v>
      </c>
    </row>
    <row r="161" spans="2:18" ht="28.5">
      <c r="B161" s="369"/>
      <c r="C161" s="304" t="s">
        <v>410</v>
      </c>
      <c r="D161" s="324"/>
      <c r="E161" s="325"/>
      <c r="F161" s="651" t="s">
        <v>411</v>
      </c>
      <c r="G161" s="322" t="s">
        <v>275</v>
      </c>
      <c r="H161" s="326">
        <v>2</v>
      </c>
      <c r="I161" s="641">
        <v>114925</v>
      </c>
      <c r="J161" s="1089">
        <f t="shared" si="8"/>
        <v>229850</v>
      </c>
      <c r="K161" s="631"/>
      <c r="M161" s="770" t="s">
        <v>411</v>
      </c>
      <c r="N161" s="770" t="b">
        <v>1</v>
      </c>
      <c r="O161" s="770" t="s">
        <v>275</v>
      </c>
      <c r="P161" s="770" t="b">
        <v>1</v>
      </c>
      <c r="Q161" s="770">
        <v>2</v>
      </c>
      <c r="R161" s="770" t="b">
        <v>1</v>
      </c>
    </row>
    <row r="162" spans="2:18" ht="28.5">
      <c r="B162" s="369"/>
      <c r="C162" s="304" t="s">
        <v>412</v>
      </c>
      <c r="D162" s="324"/>
      <c r="E162" s="325"/>
      <c r="F162" s="651" t="s">
        <v>413</v>
      </c>
      <c r="G162" s="322" t="s">
        <v>275</v>
      </c>
      <c r="H162" s="326">
        <v>4</v>
      </c>
      <c r="I162" s="641">
        <v>735052</v>
      </c>
      <c r="J162" s="1089">
        <f t="shared" si="8"/>
        <v>2940208</v>
      </c>
      <c r="K162" s="631"/>
      <c r="M162" s="770" t="s">
        <v>413</v>
      </c>
      <c r="N162" s="770" t="b">
        <v>1</v>
      </c>
      <c r="O162" s="770" t="s">
        <v>275</v>
      </c>
      <c r="P162" s="770" t="b">
        <v>1</v>
      </c>
      <c r="Q162" s="770">
        <v>4</v>
      </c>
      <c r="R162" s="770" t="b">
        <v>1</v>
      </c>
    </row>
    <row r="163" spans="2:18" ht="28.5">
      <c r="B163" s="369"/>
      <c r="C163" s="304" t="s">
        <v>414</v>
      </c>
      <c r="D163" s="324"/>
      <c r="E163" s="325"/>
      <c r="F163" s="651" t="s">
        <v>415</v>
      </c>
      <c r="G163" s="322" t="s">
        <v>275</v>
      </c>
      <c r="H163" s="326">
        <v>2</v>
      </c>
      <c r="I163" s="641">
        <v>2970993</v>
      </c>
      <c r="J163" s="1089">
        <f t="shared" si="8"/>
        <v>5941986</v>
      </c>
      <c r="K163" s="631"/>
      <c r="M163" s="770" t="s">
        <v>415</v>
      </c>
      <c r="N163" s="770" t="b">
        <v>1</v>
      </c>
      <c r="O163" s="770" t="s">
        <v>275</v>
      </c>
      <c r="P163" s="770" t="b">
        <v>1</v>
      </c>
      <c r="Q163" s="770">
        <v>2</v>
      </c>
      <c r="R163" s="770" t="b">
        <v>1</v>
      </c>
    </row>
    <row r="164" spans="2:18" ht="28.5">
      <c r="B164" s="369"/>
      <c r="C164" s="304" t="s">
        <v>416</v>
      </c>
      <c r="D164" s="324"/>
      <c r="E164" s="325"/>
      <c r="F164" s="651" t="s">
        <v>417</v>
      </c>
      <c r="G164" s="322" t="s">
        <v>275</v>
      </c>
      <c r="H164" s="326">
        <v>2</v>
      </c>
      <c r="I164" s="641">
        <v>1187212</v>
      </c>
      <c r="J164" s="1089">
        <f t="shared" si="8"/>
        <v>2374424</v>
      </c>
      <c r="K164" s="631"/>
      <c r="M164" s="770" t="s">
        <v>417</v>
      </c>
      <c r="N164" s="770" t="b">
        <v>1</v>
      </c>
      <c r="O164" s="770" t="s">
        <v>275</v>
      </c>
      <c r="P164" s="770" t="b">
        <v>1</v>
      </c>
      <c r="Q164" s="770">
        <v>2</v>
      </c>
      <c r="R164" s="770" t="b">
        <v>1</v>
      </c>
    </row>
    <row r="165" spans="2:18" ht="43.5" thickBot="1">
      <c r="B165" s="369"/>
      <c r="C165" s="304" t="s">
        <v>418</v>
      </c>
      <c r="D165" s="324"/>
      <c r="E165" s="325"/>
      <c r="F165" s="651" t="s">
        <v>419</v>
      </c>
      <c r="G165" s="322" t="s">
        <v>275</v>
      </c>
      <c r="H165" s="326">
        <v>1</v>
      </c>
      <c r="I165" s="641">
        <v>7057839</v>
      </c>
      <c r="J165" s="1089">
        <f t="shared" si="8"/>
        <v>7057839</v>
      </c>
      <c r="K165" s="631"/>
      <c r="M165" s="770" t="s">
        <v>419</v>
      </c>
      <c r="N165" s="770" t="b">
        <v>1</v>
      </c>
      <c r="O165" s="770" t="s">
        <v>275</v>
      </c>
      <c r="P165" s="770" t="b">
        <v>1</v>
      </c>
      <c r="Q165" s="770">
        <v>1</v>
      </c>
      <c r="R165" s="770" t="b">
        <v>1</v>
      </c>
    </row>
    <row r="166" spans="2:18" ht="15.75" thickBot="1">
      <c r="B166" s="369"/>
      <c r="C166" s="309" t="s">
        <v>420</v>
      </c>
      <c r="D166" s="327"/>
      <c r="E166" s="328"/>
      <c r="F166" s="360" t="s">
        <v>597</v>
      </c>
      <c r="G166" s="329"/>
      <c r="H166" s="330"/>
      <c r="I166" s="639"/>
      <c r="J166" s="650"/>
      <c r="K166" s="631"/>
      <c r="M166" s="770" t="s">
        <v>597</v>
      </c>
      <c r="N166" s="770" t="b">
        <v>1</v>
      </c>
      <c r="O166" s="770">
        <v>0</v>
      </c>
      <c r="P166" s="770" t="b">
        <v>1</v>
      </c>
      <c r="Q166" s="770">
        <v>0</v>
      </c>
      <c r="R166" s="770" t="b">
        <v>1</v>
      </c>
    </row>
    <row r="167" spans="2:18" ht="28.5">
      <c r="B167" s="369"/>
      <c r="C167" s="304" t="s">
        <v>421</v>
      </c>
      <c r="D167" s="324"/>
      <c r="E167" s="325"/>
      <c r="F167" s="651" t="s">
        <v>422</v>
      </c>
      <c r="G167" s="322" t="s">
        <v>275</v>
      </c>
      <c r="H167" s="326">
        <v>1</v>
      </c>
      <c r="I167" s="641">
        <v>68443502</v>
      </c>
      <c r="J167" s="1089">
        <f t="shared" si="8"/>
        <v>68443502</v>
      </c>
      <c r="K167" s="631"/>
      <c r="M167" s="770" t="s">
        <v>422</v>
      </c>
      <c r="N167" s="770" t="b">
        <v>1</v>
      </c>
      <c r="O167" s="770" t="s">
        <v>275</v>
      </c>
      <c r="P167" s="770" t="b">
        <v>1</v>
      </c>
      <c r="Q167" s="770">
        <v>1</v>
      </c>
      <c r="R167" s="770" t="b">
        <v>1</v>
      </c>
    </row>
    <row r="168" spans="2:18" ht="28.5">
      <c r="B168" s="369"/>
      <c r="C168" s="304" t="s">
        <v>423</v>
      </c>
      <c r="D168" s="324"/>
      <c r="E168" s="325"/>
      <c r="F168" s="651" t="s">
        <v>424</v>
      </c>
      <c r="G168" s="322" t="s">
        <v>275</v>
      </c>
      <c r="H168" s="326">
        <v>1</v>
      </c>
      <c r="I168" s="641">
        <v>1576812</v>
      </c>
      <c r="J168" s="1089">
        <f t="shared" si="8"/>
        <v>1576812</v>
      </c>
      <c r="K168" s="631"/>
      <c r="M168" s="770" t="s">
        <v>424</v>
      </c>
      <c r="N168" s="770" t="b">
        <v>1</v>
      </c>
      <c r="O168" s="770" t="s">
        <v>275</v>
      </c>
      <c r="P168" s="770" t="b">
        <v>1</v>
      </c>
      <c r="Q168" s="770">
        <v>1</v>
      </c>
      <c r="R168" s="770" t="b">
        <v>1</v>
      </c>
    </row>
    <row r="169" spans="2:18" ht="28.5">
      <c r="B169" s="369"/>
      <c r="C169" s="304" t="s">
        <v>425</v>
      </c>
      <c r="D169" s="324"/>
      <c r="E169" s="325"/>
      <c r="F169" s="651" t="s">
        <v>426</v>
      </c>
      <c r="G169" s="322" t="s">
        <v>145</v>
      </c>
      <c r="H169" s="326">
        <v>54</v>
      </c>
      <c r="I169" s="641">
        <v>257184</v>
      </c>
      <c r="J169" s="1089">
        <f t="shared" si="8"/>
        <v>13887936</v>
      </c>
      <c r="K169" s="631"/>
      <c r="M169" s="770" t="s">
        <v>426</v>
      </c>
      <c r="N169" s="770" t="b">
        <v>1</v>
      </c>
      <c r="O169" s="770" t="s">
        <v>145</v>
      </c>
      <c r="P169" s="770" t="b">
        <v>1</v>
      </c>
      <c r="Q169" s="770">
        <v>54</v>
      </c>
      <c r="R169" s="770" t="b">
        <v>1</v>
      </c>
    </row>
    <row r="170" spans="2:18" ht="28.5">
      <c r="B170" s="369"/>
      <c r="C170" s="304" t="s">
        <v>427</v>
      </c>
      <c r="D170" s="324"/>
      <c r="E170" s="325"/>
      <c r="F170" s="651" t="s">
        <v>428</v>
      </c>
      <c r="G170" s="322" t="s">
        <v>145</v>
      </c>
      <c r="H170" s="326">
        <v>2</v>
      </c>
      <c r="I170" s="641">
        <v>226116</v>
      </c>
      <c r="J170" s="1089">
        <f t="shared" si="8"/>
        <v>452232</v>
      </c>
      <c r="K170" s="631"/>
      <c r="M170" s="770" t="s">
        <v>428</v>
      </c>
      <c r="N170" s="770" t="b">
        <v>1</v>
      </c>
      <c r="O170" s="770" t="s">
        <v>145</v>
      </c>
      <c r="P170" s="770" t="b">
        <v>1</v>
      </c>
      <c r="Q170" s="770">
        <v>2</v>
      </c>
      <c r="R170" s="770" t="b">
        <v>1</v>
      </c>
    </row>
    <row r="171" spans="2:18" ht="28.5">
      <c r="B171" s="369"/>
      <c r="C171" s="304" t="s">
        <v>429</v>
      </c>
      <c r="D171" s="324"/>
      <c r="E171" s="325"/>
      <c r="F171" s="651" t="s">
        <v>430</v>
      </c>
      <c r="G171" s="322" t="s">
        <v>145</v>
      </c>
      <c r="H171" s="326">
        <v>36</v>
      </c>
      <c r="I171" s="641">
        <v>364121</v>
      </c>
      <c r="J171" s="1089">
        <f t="shared" si="8"/>
        <v>13108356</v>
      </c>
      <c r="K171" s="631"/>
      <c r="M171" s="770" t="s">
        <v>430</v>
      </c>
      <c r="N171" s="770" t="b">
        <v>1</v>
      </c>
      <c r="O171" s="770" t="s">
        <v>145</v>
      </c>
      <c r="P171" s="770" t="b">
        <v>1</v>
      </c>
      <c r="Q171" s="770">
        <v>36</v>
      </c>
      <c r="R171" s="770" t="b">
        <v>1</v>
      </c>
    </row>
    <row r="172" spans="2:18" ht="28.5">
      <c r="B172" s="369"/>
      <c r="C172" s="304" t="s">
        <v>431</v>
      </c>
      <c r="D172" s="324"/>
      <c r="E172" s="325"/>
      <c r="F172" s="651" t="s">
        <v>432</v>
      </c>
      <c r="G172" s="322" t="s">
        <v>275</v>
      </c>
      <c r="H172" s="326">
        <v>1</v>
      </c>
      <c r="I172" s="641">
        <v>441781</v>
      </c>
      <c r="J172" s="1089">
        <f t="shared" si="8"/>
        <v>441781</v>
      </c>
      <c r="K172" s="631"/>
      <c r="M172" s="770" t="s">
        <v>432</v>
      </c>
      <c r="N172" s="770" t="b">
        <v>1</v>
      </c>
      <c r="O172" s="770" t="s">
        <v>275</v>
      </c>
      <c r="P172" s="770" t="b">
        <v>1</v>
      </c>
      <c r="Q172" s="770">
        <v>1</v>
      </c>
      <c r="R172" s="770" t="b">
        <v>1</v>
      </c>
    </row>
    <row r="173" spans="2:18" ht="28.5">
      <c r="B173" s="369"/>
      <c r="C173" s="304" t="s">
        <v>433</v>
      </c>
      <c r="D173" s="324"/>
      <c r="E173" s="325"/>
      <c r="F173" s="651" t="s">
        <v>434</v>
      </c>
      <c r="G173" s="322" t="s">
        <v>275</v>
      </c>
      <c r="H173" s="326">
        <v>1</v>
      </c>
      <c r="I173" s="641">
        <v>442085</v>
      </c>
      <c r="J173" s="1089">
        <f t="shared" si="8"/>
        <v>442085</v>
      </c>
      <c r="K173" s="631"/>
      <c r="M173" s="770" t="s">
        <v>434</v>
      </c>
      <c r="N173" s="770" t="b">
        <v>1</v>
      </c>
      <c r="O173" s="770" t="s">
        <v>275</v>
      </c>
      <c r="P173" s="770" t="b">
        <v>1</v>
      </c>
      <c r="Q173" s="770">
        <v>1</v>
      </c>
      <c r="R173" s="770" t="b">
        <v>1</v>
      </c>
    </row>
    <row r="174" spans="2:18" ht="28.5">
      <c r="B174" s="369"/>
      <c r="C174" s="304" t="s">
        <v>435</v>
      </c>
      <c r="D174" s="324"/>
      <c r="E174" s="325"/>
      <c r="F174" s="651" t="s">
        <v>436</v>
      </c>
      <c r="G174" s="322" t="s">
        <v>275</v>
      </c>
      <c r="H174" s="326">
        <v>1</v>
      </c>
      <c r="I174" s="641">
        <v>352616</v>
      </c>
      <c r="J174" s="1089">
        <f t="shared" si="8"/>
        <v>352616</v>
      </c>
      <c r="K174" s="631"/>
      <c r="M174" s="770" t="s">
        <v>436</v>
      </c>
      <c r="N174" s="770" t="b">
        <v>1</v>
      </c>
      <c r="O174" s="770" t="s">
        <v>275</v>
      </c>
      <c r="P174" s="770" t="b">
        <v>1</v>
      </c>
      <c r="Q174" s="770">
        <v>1</v>
      </c>
      <c r="R174" s="770" t="b">
        <v>1</v>
      </c>
    </row>
    <row r="175" spans="2:18" ht="28.5">
      <c r="B175" s="369"/>
      <c r="C175" s="304" t="s">
        <v>437</v>
      </c>
      <c r="D175" s="324"/>
      <c r="E175" s="325"/>
      <c r="F175" s="651" t="s">
        <v>395</v>
      </c>
      <c r="G175" s="322" t="s">
        <v>275</v>
      </c>
      <c r="H175" s="326">
        <v>1</v>
      </c>
      <c r="I175" s="641">
        <v>302185</v>
      </c>
      <c r="J175" s="1089">
        <f t="shared" si="8"/>
        <v>302185</v>
      </c>
      <c r="K175" s="631"/>
      <c r="M175" s="770" t="s">
        <v>395</v>
      </c>
      <c r="N175" s="770" t="b">
        <v>1</v>
      </c>
      <c r="O175" s="770" t="s">
        <v>275</v>
      </c>
      <c r="P175" s="770" t="b">
        <v>1</v>
      </c>
      <c r="Q175" s="770">
        <v>1</v>
      </c>
      <c r="R175" s="770" t="b">
        <v>1</v>
      </c>
    </row>
    <row r="176" spans="2:18" ht="28.5">
      <c r="B176" s="369"/>
      <c r="C176" s="304" t="s">
        <v>438</v>
      </c>
      <c r="D176" s="324"/>
      <c r="E176" s="325"/>
      <c r="F176" s="651" t="s">
        <v>439</v>
      </c>
      <c r="G176" s="322" t="s">
        <v>275</v>
      </c>
      <c r="H176" s="326">
        <v>3</v>
      </c>
      <c r="I176" s="641">
        <v>329631</v>
      </c>
      <c r="J176" s="1089">
        <f t="shared" si="8"/>
        <v>988893</v>
      </c>
      <c r="K176" s="631"/>
      <c r="M176" s="770" t="s">
        <v>439</v>
      </c>
      <c r="N176" s="770" t="b">
        <v>1</v>
      </c>
      <c r="O176" s="770" t="s">
        <v>275</v>
      </c>
      <c r="P176" s="770" t="b">
        <v>1</v>
      </c>
      <c r="Q176" s="770">
        <v>3</v>
      </c>
      <c r="R176" s="770" t="b">
        <v>1</v>
      </c>
    </row>
    <row r="177" spans="2:18" ht="28.5">
      <c r="B177" s="369"/>
      <c r="C177" s="304" t="s">
        <v>440</v>
      </c>
      <c r="D177" s="324"/>
      <c r="E177" s="325"/>
      <c r="F177" s="651" t="s">
        <v>399</v>
      </c>
      <c r="G177" s="322" t="s">
        <v>275</v>
      </c>
      <c r="H177" s="326">
        <v>1</v>
      </c>
      <c r="I177" s="641">
        <v>228268</v>
      </c>
      <c r="J177" s="1089">
        <f t="shared" si="8"/>
        <v>228268</v>
      </c>
      <c r="K177" s="631"/>
      <c r="M177" s="770" t="s">
        <v>399</v>
      </c>
      <c r="N177" s="770" t="b">
        <v>1</v>
      </c>
      <c r="O177" s="770" t="s">
        <v>275</v>
      </c>
      <c r="P177" s="770" t="b">
        <v>1</v>
      </c>
      <c r="Q177" s="770">
        <v>1</v>
      </c>
      <c r="R177" s="770" t="b">
        <v>1</v>
      </c>
    </row>
    <row r="178" spans="2:18">
      <c r="B178" s="369"/>
      <c r="C178" s="304" t="s">
        <v>441</v>
      </c>
      <c r="D178" s="324"/>
      <c r="E178" s="325"/>
      <c r="F178" s="651" t="s">
        <v>442</v>
      </c>
      <c r="G178" s="322" t="s">
        <v>275</v>
      </c>
      <c r="H178" s="326">
        <v>3</v>
      </c>
      <c r="I178" s="641">
        <v>360856</v>
      </c>
      <c r="J178" s="1089">
        <f t="shared" si="8"/>
        <v>1082568</v>
      </c>
      <c r="K178" s="631"/>
      <c r="M178" s="770" t="s">
        <v>442</v>
      </c>
      <c r="N178" s="770" t="b">
        <v>1</v>
      </c>
      <c r="O178" s="770" t="s">
        <v>275</v>
      </c>
      <c r="P178" s="770" t="b">
        <v>1</v>
      </c>
      <c r="Q178" s="770">
        <v>3</v>
      </c>
      <c r="R178" s="770" t="b">
        <v>1</v>
      </c>
    </row>
    <row r="179" spans="2:18">
      <c r="B179" s="369"/>
      <c r="C179" s="304" t="s">
        <v>443</v>
      </c>
      <c r="D179" s="324"/>
      <c r="E179" s="325"/>
      <c r="F179" s="651" t="s">
        <v>407</v>
      </c>
      <c r="G179" s="322" t="s">
        <v>275</v>
      </c>
      <c r="H179" s="326">
        <v>1</v>
      </c>
      <c r="I179" s="641">
        <v>185908</v>
      </c>
      <c r="J179" s="1089">
        <f t="shared" si="8"/>
        <v>185908</v>
      </c>
      <c r="K179" s="631"/>
      <c r="M179" s="770" t="s">
        <v>407</v>
      </c>
      <c r="N179" s="770" t="b">
        <v>1</v>
      </c>
      <c r="O179" s="770" t="s">
        <v>275</v>
      </c>
      <c r="P179" s="770" t="b">
        <v>1</v>
      </c>
      <c r="Q179" s="770">
        <v>1</v>
      </c>
      <c r="R179" s="770" t="b">
        <v>1</v>
      </c>
    </row>
    <row r="180" spans="2:18">
      <c r="B180" s="369"/>
      <c r="C180" s="304" t="s">
        <v>444</v>
      </c>
      <c r="D180" s="324"/>
      <c r="E180" s="325"/>
      <c r="F180" s="651" t="s">
        <v>445</v>
      </c>
      <c r="G180" s="322" t="s">
        <v>275</v>
      </c>
      <c r="H180" s="326">
        <v>4</v>
      </c>
      <c r="I180" s="641">
        <v>296886</v>
      </c>
      <c r="J180" s="1089">
        <f t="shared" si="8"/>
        <v>1187544</v>
      </c>
      <c r="K180" s="631"/>
      <c r="M180" s="770" t="s">
        <v>445</v>
      </c>
      <c r="N180" s="770" t="b">
        <v>1</v>
      </c>
      <c r="O180" s="770" t="s">
        <v>275</v>
      </c>
      <c r="P180" s="770" t="b">
        <v>1</v>
      </c>
      <c r="Q180" s="770">
        <v>4</v>
      </c>
      <c r="R180" s="770" t="b">
        <v>1</v>
      </c>
    </row>
    <row r="181" spans="2:18">
      <c r="B181" s="369"/>
      <c r="C181" s="304" t="s">
        <v>446</v>
      </c>
      <c r="D181" s="324"/>
      <c r="E181" s="325"/>
      <c r="F181" s="651" t="s">
        <v>447</v>
      </c>
      <c r="G181" s="322" t="s">
        <v>275</v>
      </c>
      <c r="H181" s="326">
        <v>1</v>
      </c>
      <c r="I181" s="641">
        <v>292515</v>
      </c>
      <c r="J181" s="1089">
        <f t="shared" si="8"/>
        <v>292515</v>
      </c>
      <c r="K181" s="631"/>
      <c r="M181" s="770" t="s">
        <v>447</v>
      </c>
      <c r="N181" s="770" t="b">
        <v>1</v>
      </c>
      <c r="O181" s="770" t="s">
        <v>275</v>
      </c>
      <c r="P181" s="770" t="b">
        <v>1</v>
      </c>
      <c r="Q181" s="770">
        <v>1</v>
      </c>
      <c r="R181" s="770" t="b">
        <v>1</v>
      </c>
    </row>
    <row r="182" spans="2:18" ht="28.5">
      <c r="B182" s="369"/>
      <c r="C182" s="304" t="s">
        <v>448</v>
      </c>
      <c r="D182" s="324"/>
      <c r="E182" s="325"/>
      <c r="F182" s="651" t="s">
        <v>449</v>
      </c>
      <c r="G182" s="322" t="s">
        <v>275</v>
      </c>
      <c r="H182" s="326">
        <v>1</v>
      </c>
      <c r="I182" s="641">
        <v>1248088</v>
      </c>
      <c r="J182" s="1089">
        <f t="shared" si="8"/>
        <v>1248088</v>
      </c>
      <c r="K182" s="631"/>
      <c r="M182" s="770" t="s">
        <v>449</v>
      </c>
      <c r="N182" s="770" t="b">
        <v>1</v>
      </c>
      <c r="O182" s="770" t="s">
        <v>275</v>
      </c>
      <c r="P182" s="770" t="b">
        <v>1</v>
      </c>
      <c r="Q182" s="770">
        <v>1</v>
      </c>
      <c r="R182" s="770" t="b">
        <v>1</v>
      </c>
    </row>
    <row r="183" spans="2:18" ht="43.5" thickBot="1">
      <c r="B183" s="369"/>
      <c r="C183" s="304" t="s">
        <v>450</v>
      </c>
      <c r="D183" s="324"/>
      <c r="E183" s="325"/>
      <c r="F183" s="651" t="s">
        <v>451</v>
      </c>
      <c r="G183" s="322" t="s">
        <v>275</v>
      </c>
      <c r="H183" s="326">
        <v>1</v>
      </c>
      <c r="I183" s="641">
        <v>8723314</v>
      </c>
      <c r="J183" s="1089">
        <f t="shared" si="8"/>
        <v>8723314</v>
      </c>
      <c r="K183" s="631"/>
      <c r="M183" s="770" t="s">
        <v>451</v>
      </c>
      <c r="N183" s="770" t="b">
        <v>1</v>
      </c>
      <c r="O183" s="770" t="s">
        <v>275</v>
      </c>
      <c r="P183" s="770" t="b">
        <v>1</v>
      </c>
      <c r="Q183" s="770">
        <v>1</v>
      </c>
      <c r="R183" s="770" t="b">
        <v>1</v>
      </c>
    </row>
    <row r="184" spans="2:18" ht="15.75" thickBot="1">
      <c r="B184" s="369"/>
      <c r="C184" s="309" t="s">
        <v>452</v>
      </c>
      <c r="D184" s="327"/>
      <c r="E184" s="328"/>
      <c r="F184" s="360" t="s">
        <v>612</v>
      </c>
      <c r="G184" s="329"/>
      <c r="H184" s="330"/>
      <c r="I184" s="639"/>
      <c r="J184" s="650"/>
      <c r="K184" s="631"/>
      <c r="M184" s="770" t="s">
        <v>612</v>
      </c>
      <c r="N184" s="770" t="b">
        <v>1</v>
      </c>
      <c r="O184" s="770">
        <v>0</v>
      </c>
      <c r="P184" s="770" t="b">
        <v>1</v>
      </c>
      <c r="Q184" s="770">
        <v>0</v>
      </c>
      <c r="R184" s="770" t="b">
        <v>1</v>
      </c>
    </row>
    <row r="185" spans="2:18" ht="42.75">
      <c r="B185" s="369"/>
      <c r="C185" s="304" t="s">
        <v>453</v>
      </c>
      <c r="D185" s="324"/>
      <c r="E185" s="325"/>
      <c r="F185" s="651" t="s">
        <v>454</v>
      </c>
      <c r="G185" s="322" t="s">
        <v>275</v>
      </c>
      <c r="H185" s="326">
        <v>1</v>
      </c>
      <c r="I185" s="641">
        <v>45828520</v>
      </c>
      <c r="J185" s="1089">
        <f t="shared" ref="J185:J208" si="9">+H185*I185</f>
        <v>45828520</v>
      </c>
      <c r="K185" s="631"/>
      <c r="M185" s="770" t="s">
        <v>454</v>
      </c>
      <c r="N185" s="770" t="b">
        <v>1</v>
      </c>
      <c r="O185" s="770" t="s">
        <v>275</v>
      </c>
      <c r="P185" s="770" t="b">
        <v>1</v>
      </c>
      <c r="Q185" s="770">
        <v>1</v>
      </c>
      <c r="R185" s="770" t="b">
        <v>1</v>
      </c>
    </row>
    <row r="186" spans="2:18" ht="42.75">
      <c r="B186" s="369"/>
      <c r="C186" s="304" t="s">
        <v>455</v>
      </c>
      <c r="D186" s="324"/>
      <c r="E186" s="325"/>
      <c r="F186" s="651" t="s">
        <v>456</v>
      </c>
      <c r="G186" s="322" t="s">
        <v>145</v>
      </c>
      <c r="H186" s="326">
        <v>20</v>
      </c>
      <c r="I186" s="641">
        <v>31669</v>
      </c>
      <c r="J186" s="1089">
        <f t="shared" si="9"/>
        <v>633380</v>
      </c>
      <c r="K186" s="631"/>
      <c r="M186" s="770" t="s">
        <v>456</v>
      </c>
      <c r="N186" s="770" t="b">
        <v>1</v>
      </c>
      <c r="O186" s="770" t="s">
        <v>145</v>
      </c>
      <c r="P186" s="770" t="b">
        <v>1</v>
      </c>
      <c r="Q186" s="770">
        <v>20</v>
      </c>
      <c r="R186" s="770" t="b">
        <v>1</v>
      </c>
    </row>
    <row r="187" spans="2:18">
      <c r="B187" s="369"/>
      <c r="C187" s="304" t="s">
        <v>457</v>
      </c>
      <c r="D187" s="324"/>
      <c r="E187" s="325"/>
      <c r="F187" s="651" t="s">
        <v>458</v>
      </c>
      <c r="G187" s="322" t="s">
        <v>145</v>
      </c>
      <c r="H187" s="326">
        <v>4</v>
      </c>
      <c r="I187" s="641">
        <v>257184</v>
      </c>
      <c r="J187" s="1089">
        <f t="shared" si="9"/>
        <v>1028736</v>
      </c>
      <c r="K187" s="631"/>
      <c r="M187" s="770" t="s">
        <v>458</v>
      </c>
      <c r="N187" s="770" t="b">
        <v>1</v>
      </c>
      <c r="O187" s="770" t="s">
        <v>145</v>
      </c>
      <c r="P187" s="770" t="b">
        <v>1</v>
      </c>
      <c r="Q187" s="770">
        <v>4</v>
      </c>
      <c r="R187" s="770" t="b">
        <v>1</v>
      </c>
    </row>
    <row r="188" spans="2:18">
      <c r="B188" s="369"/>
      <c r="C188" s="304" t="s">
        <v>459</v>
      </c>
      <c r="D188" s="324"/>
      <c r="E188" s="325"/>
      <c r="F188" s="651" t="s">
        <v>460</v>
      </c>
      <c r="G188" s="322" t="s">
        <v>145</v>
      </c>
      <c r="H188" s="326">
        <v>1</v>
      </c>
      <c r="I188" s="641">
        <v>226116</v>
      </c>
      <c r="J188" s="1089">
        <f t="shared" si="9"/>
        <v>226116</v>
      </c>
      <c r="K188" s="631"/>
      <c r="M188" s="770" t="s">
        <v>460</v>
      </c>
      <c r="N188" s="770" t="b">
        <v>1</v>
      </c>
      <c r="O188" s="770" t="s">
        <v>145</v>
      </c>
      <c r="P188" s="770" t="b">
        <v>1</v>
      </c>
      <c r="Q188" s="770">
        <v>1</v>
      </c>
      <c r="R188" s="770" t="b">
        <v>1</v>
      </c>
    </row>
    <row r="189" spans="2:18">
      <c r="B189" s="369"/>
      <c r="C189" s="304" t="s">
        <v>461</v>
      </c>
      <c r="D189" s="324"/>
      <c r="E189" s="325"/>
      <c r="F189" s="651" t="s">
        <v>458</v>
      </c>
      <c r="G189" s="322" t="s">
        <v>145</v>
      </c>
      <c r="H189" s="326">
        <v>36</v>
      </c>
      <c r="I189" s="641">
        <v>364121</v>
      </c>
      <c r="J189" s="1089">
        <f t="shared" si="9"/>
        <v>13108356</v>
      </c>
      <c r="K189" s="631"/>
      <c r="M189" s="770" t="s">
        <v>458</v>
      </c>
      <c r="N189" s="770" t="b">
        <v>1</v>
      </c>
      <c r="O189" s="770" t="s">
        <v>145</v>
      </c>
      <c r="P189" s="770" t="b">
        <v>1</v>
      </c>
      <c r="Q189" s="770">
        <v>36</v>
      </c>
      <c r="R189" s="770" t="b">
        <v>1</v>
      </c>
    </row>
    <row r="190" spans="2:18" ht="28.5">
      <c r="B190" s="369"/>
      <c r="C190" s="304" t="s">
        <v>462</v>
      </c>
      <c r="D190" s="324"/>
      <c r="E190" s="325"/>
      <c r="F190" s="651" t="s">
        <v>463</v>
      </c>
      <c r="G190" s="322" t="s">
        <v>275</v>
      </c>
      <c r="H190" s="326">
        <v>1</v>
      </c>
      <c r="I190" s="641">
        <v>286625</v>
      </c>
      <c r="J190" s="1089">
        <f t="shared" si="9"/>
        <v>286625</v>
      </c>
      <c r="K190" s="631"/>
      <c r="M190" s="770" t="s">
        <v>463</v>
      </c>
      <c r="N190" s="770" t="b">
        <v>1</v>
      </c>
      <c r="O190" s="770" t="s">
        <v>275</v>
      </c>
      <c r="P190" s="770" t="b">
        <v>1</v>
      </c>
      <c r="Q190" s="770">
        <v>1</v>
      </c>
      <c r="R190" s="770" t="b">
        <v>1</v>
      </c>
    </row>
    <row r="191" spans="2:18" ht="28.5">
      <c r="B191" s="369"/>
      <c r="C191" s="304" t="s">
        <v>464</v>
      </c>
      <c r="D191" s="324"/>
      <c r="E191" s="325"/>
      <c r="F191" s="651" t="s">
        <v>465</v>
      </c>
      <c r="G191" s="322" t="s">
        <v>275</v>
      </c>
      <c r="H191" s="326">
        <v>1</v>
      </c>
      <c r="I191" s="641">
        <v>264971</v>
      </c>
      <c r="J191" s="1089">
        <f t="shared" si="9"/>
        <v>264971</v>
      </c>
      <c r="K191" s="631"/>
      <c r="M191" s="770" t="s">
        <v>465</v>
      </c>
      <c r="N191" s="770" t="b">
        <v>1</v>
      </c>
      <c r="O191" s="770" t="s">
        <v>275</v>
      </c>
      <c r="P191" s="770" t="b">
        <v>1</v>
      </c>
      <c r="Q191" s="770">
        <v>1</v>
      </c>
      <c r="R191" s="770" t="b">
        <v>1</v>
      </c>
    </row>
    <row r="192" spans="2:18">
      <c r="B192" s="369"/>
      <c r="C192" s="304" t="s">
        <v>466</v>
      </c>
      <c r="D192" s="324"/>
      <c r="E192" s="325"/>
      <c r="F192" s="651" t="s">
        <v>403</v>
      </c>
      <c r="G192" s="322" t="s">
        <v>275</v>
      </c>
      <c r="H192" s="326">
        <v>1</v>
      </c>
      <c r="I192" s="641">
        <v>330027</v>
      </c>
      <c r="J192" s="1089">
        <f t="shared" si="9"/>
        <v>330027</v>
      </c>
      <c r="K192" s="631"/>
      <c r="M192" s="770" t="s">
        <v>403</v>
      </c>
      <c r="N192" s="770" t="b">
        <v>1</v>
      </c>
      <c r="O192" s="770" t="s">
        <v>275</v>
      </c>
      <c r="P192" s="770" t="b">
        <v>1</v>
      </c>
      <c r="Q192" s="770">
        <v>1</v>
      </c>
      <c r="R192" s="770" t="b">
        <v>1</v>
      </c>
    </row>
    <row r="193" spans="2:18">
      <c r="B193" s="369"/>
      <c r="C193" s="304" t="s">
        <v>467</v>
      </c>
      <c r="D193" s="324"/>
      <c r="E193" s="325"/>
      <c r="F193" s="651" t="s">
        <v>468</v>
      </c>
      <c r="G193" s="322" t="s">
        <v>275</v>
      </c>
      <c r="H193" s="326">
        <v>2</v>
      </c>
      <c r="I193" s="641">
        <v>361682</v>
      </c>
      <c r="J193" s="1089">
        <f t="shared" si="9"/>
        <v>723364</v>
      </c>
      <c r="K193" s="631"/>
      <c r="M193" s="770" t="s">
        <v>468</v>
      </c>
      <c r="N193" s="770" t="b">
        <v>1</v>
      </c>
      <c r="O193" s="770" t="s">
        <v>275</v>
      </c>
      <c r="P193" s="770" t="b">
        <v>1</v>
      </c>
      <c r="Q193" s="770">
        <v>2</v>
      </c>
      <c r="R193" s="770" t="b">
        <v>1</v>
      </c>
    </row>
    <row r="194" spans="2:18" ht="28.5">
      <c r="B194" s="369"/>
      <c r="C194" s="304" t="s">
        <v>469</v>
      </c>
      <c r="D194" s="324"/>
      <c r="E194" s="325"/>
      <c r="F194" s="651" t="s">
        <v>449</v>
      </c>
      <c r="G194" s="322" t="s">
        <v>275</v>
      </c>
      <c r="H194" s="326">
        <v>1</v>
      </c>
      <c r="I194" s="641">
        <v>1248088</v>
      </c>
      <c r="J194" s="1089">
        <f t="shared" si="9"/>
        <v>1248088</v>
      </c>
      <c r="K194" s="631"/>
      <c r="M194" s="770" t="s">
        <v>449</v>
      </c>
      <c r="N194" s="770" t="b">
        <v>1</v>
      </c>
      <c r="O194" s="770" t="s">
        <v>275</v>
      </c>
      <c r="P194" s="770" t="b">
        <v>1</v>
      </c>
      <c r="Q194" s="770">
        <v>1</v>
      </c>
      <c r="R194" s="770" t="b">
        <v>1</v>
      </c>
    </row>
    <row r="195" spans="2:18" ht="43.5" thickBot="1">
      <c r="B195" s="369"/>
      <c r="C195" s="304" t="s">
        <v>470</v>
      </c>
      <c r="D195" s="324"/>
      <c r="E195" s="325"/>
      <c r="F195" s="651" t="s">
        <v>471</v>
      </c>
      <c r="G195" s="322" t="s">
        <v>275</v>
      </c>
      <c r="H195" s="326">
        <v>1</v>
      </c>
      <c r="I195" s="641">
        <v>8723314</v>
      </c>
      <c r="J195" s="1089">
        <f t="shared" si="9"/>
        <v>8723314</v>
      </c>
      <c r="K195" s="631"/>
      <c r="M195" s="770" t="s">
        <v>471</v>
      </c>
      <c r="N195" s="770" t="b">
        <v>1</v>
      </c>
      <c r="O195" s="770" t="s">
        <v>275</v>
      </c>
      <c r="P195" s="770" t="b">
        <v>1</v>
      </c>
      <c r="Q195" s="770">
        <v>1</v>
      </c>
      <c r="R195" s="770" t="b">
        <v>1</v>
      </c>
    </row>
    <row r="196" spans="2:18" ht="30.75" thickBot="1">
      <c r="B196" s="369"/>
      <c r="C196" s="309" t="s">
        <v>472</v>
      </c>
      <c r="D196" s="327"/>
      <c r="E196" s="328"/>
      <c r="F196" s="360" t="s">
        <v>619</v>
      </c>
      <c r="G196" s="329"/>
      <c r="H196" s="330"/>
      <c r="I196" s="639"/>
      <c r="J196" s="650"/>
      <c r="K196" s="631"/>
      <c r="M196" s="770" t="s">
        <v>619</v>
      </c>
      <c r="N196" s="770" t="b">
        <v>1</v>
      </c>
      <c r="O196" s="770">
        <v>0</v>
      </c>
      <c r="P196" s="770" t="b">
        <v>1</v>
      </c>
      <c r="Q196" s="770">
        <v>0</v>
      </c>
      <c r="R196" s="770" t="b">
        <v>1</v>
      </c>
    </row>
    <row r="197" spans="2:18" ht="28.5">
      <c r="B197" s="369"/>
      <c r="C197" s="304" t="s">
        <v>473</v>
      </c>
      <c r="D197" s="324"/>
      <c r="E197" s="325"/>
      <c r="F197" s="651" t="s">
        <v>474</v>
      </c>
      <c r="G197" s="322" t="s">
        <v>275</v>
      </c>
      <c r="H197" s="326">
        <v>1</v>
      </c>
      <c r="I197" s="641">
        <v>21775929</v>
      </c>
      <c r="J197" s="1089">
        <f t="shared" si="9"/>
        <v>21775929</v>
      </c>
      <c r="K197" s="631"/>
      <c r="M197" s="770" t="s">
        <v>474</v>
      </c>
      <c r="N197" s="770" t="b">
        <v>1</v>
      </c>
      <c r="O197" s="770" t="s">
        <v>275</v>
      </c>
      <c r="P197" s="770" t="b">
        <v>1</v>
      </c>
      <c r="Q197" s="770">
        <v>1</v>
      </c>
      <c r="R197" s="770" t="b">
        <v>1</v>
      </c>
    </row>
    <row r="198" spans="2:18" ht="28.5">
      <c r="B198" s="369"/>
      <c r="C198" s="304" t="s">
        <v>475</v>
      </c>
      <c r="D198" s="324"/>
      <c r="E198" s="325"/>
      <c r="F198" s="651" t="s">
        <v>430</v>
      </c>
      <c r="G198" s="322" t="s">
        <v>145</v>
      </c>
      <c r="H198" s="326">
        <v>44</v>
      </c>
      <c r="I198" s="641">
        <v>257184</v>
      </c>
      <c r="J198" s="1089">
        <f t="shared" si="9"/>
        <v>11316096</v>
      </c>
      <c r="K198" s="631"/>
      <c r="M198" s="770" t="s">
        <v>430</v>
      </c>
      <c r="N198" s="770" t="b">
        <v>1</v>
      </c>
      <c r="O198" s="770" t="s">
        <v>145</v>
      </c>
      <c r="P198" s="770" t="b">
        <v>1</v>
      </c>
      <c r="Q198" s="770">
        <v>44</v>
      </c>
      <c r="R198" s="770" t="b">
        <v>1</v>
      </c>
    </row>
    <row r="199" spans="2:18" ht="28.5">
      <c r="B199" s="369"/>
      <c r="C199" s="304" t="s">
        <v>476</v>
      </c>
      <c r="D199" s="324"/>
      <c r="E199" s="325"/>
      <c r="F199" s="651" t="s">
        <v>393</v>
      </c>
      <c r="G199" s="322" t="s">
        <v>145</v>
      </c>
      <c r="H199" s="326">
        <v>1</v>
      </c>
      <c r="I199" s="641">
        <v>226116</v>
      </c>
      <c r="J199" s="1089">
        <f t="shared" si="9"/>
        <v>226116</v>
      </c>
      <c r="K199" s="631"/>
      <c r="M199" s="770" t="s">
        <v>393</v>
      </c>
      <c r="N199" s="770" t="b">
        <v>1</v>
      </c>
      <c r="O199" s="770" t="s">
        <v>145</v>
      </c>
      <c r="P199" s="770" t="b">
        <v>1</v>
      </c>
      <c r="Q199" s="770">
        <v>1</v>
      </c>
      <c r="R199" s="770" t="b">
        <v>1</v>
      </c>
    </row>
    <row r="200" spans="2:18" ht="28.5">
      <c r="B200" s="369"/>
      <c r="C200" s="304" t="s">
        <v>477</v>
      </c>
      <c r="D200" s="324"/>
      <c r="E200" s="325"/>
      <c r="F200" s="651" t="s">
        <v>426</v>
      </c>
      <c r="G200" s="322" t="s">
        <v>145</v>
      </c>
      <c r="H200" s="326">
        <v>17</v>
      </c>
      <c r="I200" s="641">
        <v>364121</v>
      </c>
      <c r="J200" s="1089">
        <f t="shared" si="9"/>
        <v>6190057</v>
      </c>
      <c r="K200" s="631"/>
      <c r="M200" s="770" t="s">
        <v>426</v>
      </c>
      <c r="N200" s="770" t="b">
        <v>1</v>
      </c>
      <c r="O200" s="770" t="s">
        <v>145</v>
      </c>
      <c r="P200" s="770" t="b">
        <v>1</v>
      </c>
      <c r="Q200" s="770">
        <v>17</v>
      </c>
      <c r="R200" s="770" t="b">
        <v>1</v>
      </c>
    </row>
    <row r="201" spans="2:18" ht="28.5">
      <c r="B201" s="369"/>
      <c r="C201" s="304" t="s">
        <v>478</v>
      </c>
      <c r="D201" s="324"/>
      <c r="E201" s="325"/>
      <c r="F201" s="651" t="s">
        <v>436</v>
      </c>
      <c r="G201" s="322" t="s">
        <v>275</v>
      </c>
      <c r="H201" s="326">
        <v>2</v>
      </c>
      <c r="I201" s="641">
        <v>352616</v>
      </c>
      <c r="J201" s="1089">
        <f t="shared" si="9"/>
        <v>705232</v>
      </c>
      <c r="K201" s="631"/>
      <c r="M201" s="770" t="s">
        <v>436</v>
      </c>
      <c r="N201" s="770" t="b">
        <v>1</v>
      </c>
      <c r="O201" s="770" t="s">
        <v>275</v>
      </c>
      <c r="P201" s="770" t="b">
        <v>1</v>
      </c>
      <c r="Q201" s="770">
        <v>2</v>
      </c>
      <c r="R201" s="770" t="b">
        <v>1</v>
      </c>
    </row>
    <row r="202" spans="2:18" ht="28.5">
      <c r="B202" s="369"/>
      <c r="C202" s="304" t="s">
        <v>479</v>
      </c>
      <c r="D202" s="324"/>
      <c r="E202" s="325"/>
      <c r="F202" s="651" t="s">
        <v>480</v>
      </c>
      <c r="G202" s="322" t="s">
        <v>275</v>
      </c>
      <c r="H202" s="326">
        <v>2</v>
      </c>
      <c r="I202" s="641">
        <v>228268</v>
      </c>
      <c r="J202" s="1089">
        <f t="shared" si="9"/>
        <v>456536</v>
      </c>
      <c r="K202" s="631"/>
      <c r="M202" s="770" t="s">
        <v>480</v>
      </c>
      <c r="N202" s="770" t="b">
        <v>1</v>
      </c>
      <c r="O202" s="770" t="s">
        <v>275</v>
      </c>
      <c r="P202" s="770" t="b">
        <v>1</v>
      </c>
      <c r="Q202" s="770">
        <v>2</v>
      </c>
      <c r="R202" s="770" t="b">
        <v>1</v>
      </c>
    </row>
    <row r="203" spans="2:18">
      <c r="B203" s="369"/>
      <c r="C203" s="304" t="s">
        <v>481</v>
      </c>
      <c r="D203" s="324"/>
      <c r="E203" s="325"/>
      <c r="F203" s="651" t="s">
        <v>403</v>
      </c>
      <c r="G203" s="322" t="s">
        <v>275</v>
      </c>
      <c r="H203" s="326">
        <v>1</v>
      </c>
      <c r="I203" s="641">
        <v>330027</v>
      </c>
      <c r="J203" s="1089">
        <f t="shared" si="9"/>
        <v>330027</v>
      </c>
      <c r="K203" s="631"/>
      <c r="M203" s="770" t="s">
        <v>403</v>
      </c>
      <c r="N203" s="770" t="b">
        <v>1</v>
      </c>
      <c r="O203" s="770" t="s">
        <v>275</v>
      </c>
      <c r="P203" s="770" t="b">
        <v>1</v>
      </c>
      <c r="Q203" s="770">
        <v>1</v>
      </c>
      <c r="R203" s="770" t="b">
        <v>1</v>
      </c>
    </row>
    <row r="204" spans="2:18">
      <c r="B204" s="369"/>
      <c r="C204" s="304" t="s">
        <v>482</v>
      </c>
      <c r="D204" s="324"/>
      <c r="E204" s="325"/>
      <c r="F204" s="651" t="s">
        <v>405</v>
      </c>
      <c r="G204" s="322" t="s">
        <v>275</v>
      </c>
      <c r="H204" s="326">
        <v>1</v>
      </c>
      <c r="I204" s="641">
        <v>229681</v>
      </c>
      <c r="J204" s="1089">
        <f t="shared" si="9"/>
        <v>229681</v>
      </c>
      <c r="K204" s="631"/>
      <c r="M204" s="770" t="s">
        <v>405</v>
      </c>
      <c r="N204" s="770" t="b">
        <v>1</v>
      </c>
      <c r="O204" s="770" t="s">
        <v>275</v>
      </c>
      <c r="P204" s="770" t="b">
        <v>1</v>
      </c>
      <c r="Q204" s="770">
        <v>1</v>
      </c>
      <c r="R204" s="770" t="b">
        <v>1</v>
      </c>
    </row>
    <row r="205" spans="2:18">
      <c r="B205" s="369"/>
      <c r="C205" s="304" t="s">
        <v>483</v>
      </c>
      <c r="D205" s="324"/>
      <c r="E205" s="325"/>
      <c r="F205" s="651" t="s">
        <v>484</v>
      </c>
      <c r="G205" s="322" t="s">
        <v>275</v>
      </c>
      <c r="H205" s="326">
        <v>1</v>
      </c>
      <c r="I205" s="641">
        <v>565046</v>
      </c>
      <c r="J205" s="1089">
        <f t="shared" si="9"/>
        <v>565046</v>
      </c>
      <c r="K205" s="631"/>
      <c r="M205" s="770" t="s">
        <v>484</v>
      </c>
      <c r="N205" s="770" t="b">
        <v>1</v>
      </c>
      <c r="O205" s="770" t="s">
        <v>275</v>
      </c>
      <c r="P205" s="770" t="b">
        <v>1</v>
      </c>
      <c r="Q205" s="770">
        <v>1</v>
      </c>
      <c r="R205" s="770" t="b">
        <v>1</v>
      </c>
    </row>
    <row r="206" spans="2:18">
      <c r="B206" s="369"/>
      <c r="C206" s="304" t="s">
        <v>485</v>
      </c>
      <c r="D206" s="324"/>
      <c r="E206" s="325"/>
      <c r="F206" s="651" t="s">
        <v>447</v>
      </c>
      <c r="G206" s="322" t="s">
        <v>275</v>
      </c>
      <c r="H206" s="326">
        <v>2</v>
      </c>
      <c r="I206" s="641">
        <v>292515</v>
      </c>
      <c r="J206" s="1089">
        <f t="shared" si="9"/>
        <v>585030</v>
      </c>
      <c r="K206" s="631"/>
      <c r="M206" s="770" t="s">
        <v>447</v>
      </c>
      <c r="N206" s="770" t="b">
        <v>1</v>
      </c>
      <c r="O206" s="770" t="s">
        <v>275</v>
      </c>
      <c r="P206" s="770" t="b">
        <v>1</v>
      </c>
      <c r="Q206" s="770">
        <v>2</v>
      </c>
      <c r="R206" s="770" t="b">
        <v>1</v>
      </c>
    </row>
    <row r="207" spans="2:18" ht="28.5">
      <c r="B207" s="369"/>
      <c r="C207" s="304" t="s">
        <v>486</v>
      </c>
      <c r="D207" s="324"/>
      <c r="E207" s="325"/>
      <c r="F207" s="651" t="s">
        <v>449</v>
      </c>
      <c r="G207" s="322" t="s">
        <v>275</v>
      </c>
      <c r="H207" s="326">
        <v>1</v>
      </c>
      <c r="I207" s="641">
        <v>1248088</v>
      </c>
      <c r="J207" s="1089">
        <f t="shared" si="9"/>
        <v>1248088</v>
      </c>
      <c r="K207" s="631"/>
      <c r="M207" s="770" t="s">
        <v>449</v>
      </c>
      <c r="N207" s="770" t="b">
        <v>1</v>
      </c>
      <c r="O207" s="770" t="s">
        <v>275</v>
      </c>
      <c r="P207" s="770" t="b">
        <v>1</v>
      </c>
      <c r="Q207" s="770">
        <v>1</v>
      </c>
      <c r="R207" s="770" t="b">
        <v>1</v>
      </c>
    </row>
    <row r="208" spans="2:18" ht="29.25" thickBot="1">
      <c r="B208" s="369"/>
      <c r="C208" s="304" t="s">
        <v>487</v>
      </c>
      <c r="D208" s="324"/>
      <c r="E208" s="325"/>
      <c r="F208" s="651" t="s">
        <v>488</v>
      </c>
      <c r="G208" s="322" t="s">
        <v>275</v>
      </c>
      <c r="H208" s="326">
        <v>1</v>
      </c>
      <c r="I208" s="641">
        <v>6618417</v>
      </c>
      <c r="J208" s="1089">
        <f t="shared" si="9"/>
        <v>6618417</v>
      </c>
      <c r="K208" s="631"/>
      <c r="M208" s="770" t="s">
        <v>488</v>
      </c>
      <c r="N208" s="770" t="b">
        <v>1</v>
      </c>
      <c r="O208" s="770" t="s">
        <v>275</v>
      </c>
      <c r="P208" s="770" t="b">
        <v>1</v>
      </c>
      <c r="Q208" s="770">
        <v>1</v>
      </c>
      <c r="R208" s="770" t="b">
        <v>1</v>
      </c>
    </row>
    <row r="209" spans="2:19" s="389" customFormat="1" ht="24.95" customHeight="1" thickBot="1">
      <c r="B209" s="390"/>
      <c r="C209" s="1154" t="s">
        <v>489</v>
      </c>
      <c r="D209" s="1155"/>
      <c r="E209" s="1155"/>
      <c r="F209" s="1155"/>
      <c r="G209" s="1155"/>
      <c r="H209" s="1155"/>
      <c r="I209" s="1156"/>
      <c r="J209" s="652">
        <f>SUM(J11:J208)</f>
        <v>842829333</v>
      </c>
      <c r="K209" s="653"/>
      <c r="M209" s="770" t="e">
        <v>#N/A</v>
      </c>
      <c r="N209" s="770" t="e">
        <v>#N/A</v>
      </c>
      <c r="O209" s="770" t="e">
        <v>#N/A</v>
      </c>
      <c r="P209" s="770" t="e">
        <v>#N/A</v>
      </c>
      <c r="Q209" s="770" t="e">
        <v>#N/A</v>
      </c>
      <c r="R209" s="770" t="e">
        <v>#N/A</v>
      </c>
      <c r="S209" s="590">
        <v>0</v>
      </c>
    </row>
    <row r="210" spans="2:19" s="389" customFormat="1" ht="30" customHeight="1" thickBot="1">
      <c r="B210" s="390"/>
      <c r="C210" s="654"/>
      <c r="D210" s="295"/>
      <c r="E210" s="294"/>
      <c r="F210" s="655" t="s">
        <v>7</v>
      </c>
      <c r="G210" s="656"/>
      <c r="H210" s="657"/>
      <c r="I210" s="658"/>
      <c r="J210" s="652">
        <f>+J209</f>
        <v>842829333</v>
      </c>
      <c r="K210" s="653"/>
      <c r="M210" s="770" t="e">
        <v>#N/A</v>
      </c>
      <c r="N210" s="770" t="e">
        <v>#N/A</v>
      </c>
      <c r="O210" s="770" t="e">
        <v>#N/A</v>
      </c>
      <c r="P210" s="770" t="e">
        <v>#N/A</v>
      </c>
      <c r="Q210" s="770" t="e">
        <v>#N/A</v>
      </c>
      <c r="R210" s="770" t="e">
        <v>#N/A</v>
      </c>
      <c r="S210" s="652">
        <v>896531960</v>
      </c>
    </row>
    <row r="211" spans="2:19" s="389" customFormat="1" ht="15.75" thickBot="1">
      <c r="B211" s="390"/>
      <c r="C211" s="654"/>
      <c r="D211" s="295"/>
      <c r="E211" s="295"/>
      <c r="F211" s="294"/>
      <c r="G211" s="294"/>
      <c r="H211" s="313"/>
      <c r="I211" s="629"/>
      <c r="J211" s="659"/>
      <c r="K211" s="653"/>
      <c r="M211" s="770" t="e">
        <v>#N/A</v>
      </c>
      <c r="N211" s="770" t="e">
        <v>#N/A</v>
      </c>
      <c r="O211" s="770" t="e">
        <v>#N/A</v>
      </c>
      <c r="P211" s="770" t="e">
        <v>#N/A</v>
      </c>
      <c r="Q211" s="770" t="e">
        <v>#N/A</v>
      </c>
      <c r="R211" s="770" t="e">
        <v>#N/A</v>
      </c>
    </row>
    <row r="212" spans="2:19" s="389" customFormat="1">
      <c r="B212" s="390"/>
      <c r="C212" s="301"/>
      <c r="D212" s="1157"/>
      <c r="E212" s="1157"/>
      <c r="F212" s="1157"/>
      <c r="G212" s="1157"/>
      <c r="H212" s="1157"/>
      <c r="I212" s="1157"/>
      <c r="J212" s="1158"/>
      <c r="K212" s="660"/>
      <c r="M212" s="770" t="e">
        <v>#N/A</v>
      </c>
      <c r="N212" s="770" t="e">
        <v>#N/A</v>
      </c>
      <c r="O212" s="770" t="e">
        <v>#N/A</v>
      </c>
      <c r="P212" s="770" t="e">
        <v>#N/A</v>
      </c>
      <c r="Q212" s="770" t="e">
        <v>#N/A</v>
      </c>
      <c r="R212" s="770" t="e">
        <v>#N/A</v>
      </c>
      <c r="S212" s="1090">
        <f>J209/S210</f>
        <v>0.94009959555708422</v>
      </c>
    </row>
    <row r="213" spans="2:19" s="389" customFormat="1" ht="36.75" customHeight="1">
      <c r="B213" s="390"/>
      <c r="C213" s="1127" t="s">
        <v>491</v>
      </c>
      <c r="D213" s="1128"/>
      <c r="E213" s="1128"/>
      <c r="F213" s="1128"/>
      <c r="G213" s="1159" t="s">
        <v>86</v>
      </c>
      <c r="H213" s="1159"/>
      <c r="I213" s="1159"/>
      <c r="J213" s="661" t="s">
        <v>492</v>
      </c>
      <c r="K213" s="662"/>
      <c r="M213" s="770" t="e">
        <v>#N/A</v>
      </c>
      <c r="N213" s="770" t="e">
        <v>#N/A</v>
      </c>
      <c r="O213" s="770" t="e">
        <v>#N/A</v>
      </c>
      <c r="P213" s="770" t="e">
        <v>#N/A</v>
      </c>
      <c r="Q213" s="770" t="e">
        <v>#N/A</v>
      </c>
      <c r="R213" s="770" t="e">
        <v>#N/A</v>
      </c>
    </row>
    <row r="214" spans="2:19" s="389" customFormat="1" ht="51" customHeight="1">
      <c r="B214" s="390"/>
      <c r="C214" s="1127" t="s">
        <v>493</v>
      </c>
      <c r="D214" s="1128"/>
      <c r="E214" s="1128"/>
      <c r="F214" s="1128"/>
      <c r="G214" s="1134" t="s">
        <v>494</v>
      </c>
      <c r="H214" s="1134"/>
      <c r="I214" s="805" t="s">
        <v>495</v>
      </c>
      <c r="J214" s="663">
        <v>0.3</v>
      </c>
      <c r="K214" s="662"/>
      <c r="M214" s="770" t="e">
        <v>#N/A</v>
      </c>
      <c r="N214" s="770" t="e">
        <v>#N/A</v>
      </c>
      <c r="O214" s="770" t="e">
        <v>#N/A</v>
      </c>
      <c r="P214" s="770" t="e">
        <v>#N/A</v>
      </c>
      <c r="Q214" s="770" t="e">
        <v>#N/A</v>
      </c>
      <c r="R214" s="770" t="e">
        <v>#N/A</v>
      </c>
    </row>
    <row r="215" spans="2:19" s="389" customFormat="1" ht="30" customHeight="1">
      <c r="B215" s="390"/>
      <c r="C215" s="1127" t="s">
        <v>496</v>
      </c>
      <c r="D215" s="1128"/>
      <c r="E215" s="1128"/>
      <c r="F215" s="1128"/>
      <c r="G215" s="1131" t="s">
        <v>497</v>
      </c>
      <c r="H215" s="1132"/>
      <c r="I215" s="805" t="s">
        <v>498</v>
      </c>
      <c r="J215" s="663">
        <v>0.01</v>
      </c>
      <c r="K215" s="662"/>
      <c r="M215" s="770" t="e">
        <v>#N/A</v>
      </c>
      <c r="N215" s="770" t="e">
        <v>#N/A</v>
      </c>
      <c r="O215" s="770" t="e">
        <v>#N/A</v>
      </c>
      <c r="P215" s="770" t="e">
        <v>#N/A</v>
      </c>
      <c r="Q215" s="770" t="e">
        <v>#N/A</v>
      </c>
      <c r="R215" s="770" t="e">
        <v>#N/A</v>
      </c>
    </row>
    <row r="216" spans="2:19" s="389" customFormat="1" ht="58.5" customHeight="1">
      <c r="B216" s="390"/>
      <c r="C216" s="1127" t="s">
        <v>499</v>
      </c>
      <c r="D216" s="1128"/>
      <c r="E216" s="1128"/>
      <c r="F216" s="1128"/>
      <c r="G216" s="1133" t="s">
        <v>500</v>
      </c>
      <c r="H216" s="1134"/>
      <c r="I216" s="805" t="s">
        <v>501</v>
      </c>
      <c r="J216" s="663">
        <v>0.05</v>
      </c>
      <c r="K216" s="653"/>
      <c r="M216" s="770" t="e">
        <v>#N/A</v>
      </c>
      <c r="N216" s="770" t="e">
        <v>#N/A</v>
      </c>
      <c r="O216" s="770" t="e">
        <v>#N/A</v>
      </c>
      <c r="P216" s="770" t="e">
        <v>#N/A</v>
      </c>
      <c r="Q216" s="770" t="e">
        <v>#N/A</v>
      </c>
      <c r="R216" s="770" t="e">
        <v>#N/A</v>
      </c>
    </row>
    <row r="217" spans="2:19" ht="57" customHeight="1">
      <c r="B217" s="369"/>
      <c r="C217" s="307"/>
      <c r="D217" s="296"/>
      <c r="E217" s="296"/>
      <c r="F217" s="449"/>
      <c r="G217" s="1134" t="s">
        <v>502</v>
      </c>
      <c r="H217" s="1134"/>
      <c r="I217" s="805" t="s">
        <v>503</v>
      </c>
      <c r="J217" s="663">
        <f>SUM(J214:J216)</f>
        <v>0.36</v>
      </c>
      <c r="K217" s="631"/>
      <c r="M217" s="770" t="e">
        <v>#N/A</v>
      </c>
      <c r="N217" s="770" t="e">
        <v>#N/A</v>
      </c>
      <c r="O217" s="770" t="e">
        <v>#N/A</v>
      </c>
      <c r="P217" s="770" t="e">
        <v>#N/A</v>
      </c>
      <c r="Q217" s="770" t="e">
        <v>#N/A</v>
      </c>
      <c r="R217" s="770" t="e">
        <v>#N/A</v>
      </c>
    </row>
    <row r="218" spans="2:19" ht="15.75" thickBot="1">
      <c r="B218" s="369"/>
      <c r="C218" s="308"/>
      <c r="D218" s="297"/>
      <c r="E218" s="297"/>
      <c r="F218" s="361"/>
      <c r="G218" s="1125"/>
      <c r="H218" s="1125"/>
      <c r="I218" s="1125"/>
      <c r="J218" s="1126"/>
      <c r="K218" s="631"/>
      <c r="M218" s="770" t="e">
        <v>#N/A</v>
      </c>
      <c r="N218" s="770" t="e">
        <v>#N/A</v>
      </c>
      <c r="O218" s="770" t="e">
        <v>#N/A</v>
      </c>
      <c r="P218" s="770" t="e">
        <v>#N/A</v>
      </c>
      <c r="Q218" s="770" t="e">
        <v>#N/A</v>
      </c>
      <c r="R218" s="770" t="e">
        <v>#N/A</v>
      </c>
    </row>
    <row r="219" spans="2:19" ht="15.75" thickBot="1">
      <c r="B219" s="664"/>
      <c r="C219" s="665"/>
      <c r="D219" s="666"/>
      <c r="E219" s="667"/>
      <c r="F219" s="668"/>
      <c r="G219" s="666"/>
      <c r="H219" s="669"/>
      <c r="I219" s="670"/>
      <c r="J219" s="671"/>
      <c r="K219" s="672"/>
      <c r="M219" s="770" t="e">
        <v>#N/A</v>
      </c>
      <c r="N219" s="770" t="e">
        <v>#N/A</v>
      </c>
      <c r="O219" s="770" t="e">
        <v>#N/A</v>
      </c>
      <c r="P219" s="770" t="e">
        <v>#N/A</v>
      </c>
      <c r="Q219" s="770" t="e">
        <v>#N/A</v>
      </c>
      <c r="R219" s="770" t="e">
        <v>#N/A</v>
      </c>
    </row>
    <row r="220" spans="2:19" ht="15.75" thickTop="1"/>
    <row r="226" spans="6:6">
      <c r="F226" s="1091" t="s">
        <v>1203</v>
      </c>
    </row>
  </sheetData>
  <mergeCells count="23">
    <mergeCell ref="C7:J7"/>
    <mergeCell ref="C3:E3"/>
    <mergeCell ref="C5:J5"/>
    <mergeCell ref="C6:J6"/>
    <mergeCell ref="C214:F214"/>
    <mergeCell ref="G214:H214"/>
    <mergeCell ref="C8:C9"/>
    <mergeCell ref="D8:D9"/>
    <mergeCell ref="F8:F9"/>
    <mergeCell ref="G8:G9"/>
    <mergeCell ref="H8:H9"/>
    <mergeCell ref="J8:J9"/>
    <mergeCell ref="C209:I209"/>
    <mergeCell ref="D212:J212"/>
    <mergeCell ref="C213:F213"/>
    <mergeCell ref="G213:I213"/>
    <mergeCell ref="G218:J218"/>
    <mergeCell ref="C216:F216"/>
    <mergeCell ref="I8:I9"/>
    <mergeCell ref="C215:F215"/>
    <mergeCell ref="G215:H215"/>
    <mergeCell ref="G216:H216"/>
    <mergeCell ref="G217:H217"/>
  </mergeCells>
  <phoneticPr fontId="87" type="noConversion"/>
  <conditionalFormatting sqref="M11:R219">
    <cfRule type="containsText" dxfId="1" priority="1" operator="containsText" text="FALSO">
      <formula>NOT(ISERROR(SEARCH("FALSO",M11)))</formula>
    </cfRule>
  </conditionalFormatting>
  <pageMargins left="0.7" right="0.7" top="0.75" bottom="0.75" header="0.3" footer="0.3"/>
  <pageSetup paperSize="9" scale="46" orientation="portrait" horizontalDpi="1200" verticalDpi="12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CD20"/>
  <sheetViews>
    <sheetView showZeros="0" topLeftCell="A4" zoomScale="80" zoomScaleNormal="80" workbookViewId="0">
      <pane xSplit="3" ySplit="2" topLeftCell="BD12" activePane="bottomRight" state="frozen"/>
      <selection pane="topRight" activeCell="D4" sqref="D4"/>
      <selection pane="bottomLeft" activeCell="A6" sqref="A6"/>
      <selection pane="bottomRight" activeCell="BU18" sqref="BU18"/>
    </sheetView>
  </sheetViews>
  <sheetFormatPr baseColWidth="10" defaultColWidth="11.42578125" defaultRowHeight="15"/>
  <cols>
    <col min="1" max="1" width="4.7109375" style="4" customWidth="1"/>
    <col min="2" max="2" width="60.42578125" style="4" customWidth="1"/>
    <col min="3" max="3" width="9.140625" style="62" customWidth="1"/>
    <col min="4" max="79" width="8.7109375" style="4" customWidth="1"/>
    <col min="80" max="80" width="17.28515625" style="63" customWidth="1"/>
    <col min="81" max="81" width="12.42578125" style="63" customWidth="1"/>
    <col min="82" max="82" width="17.28515625" style="63" customWidth="1"/>
    <col min="83" max="16384" width="11.42578125" style="4"/>
  </cols>
  <sheetData>
    <row r="1" spans="1:82">
      <c r="A1" s="16" t="e">
        <f>+#REF!</f>
        <v>#REF!</v>
      </c>
    </row>
    <row r="2" spans="1:82">
      <c r="A2" s="16" t="s">
        <v>698</v>
      </c>
    </row>
    <row r="3" spans="1:82" ht="15.75" thickBot="1"/>
    <row r="4" spans="1:82" ht="36.75" customHeight="1">
      <c r="D4" s="1122" t="s">
        <v>699</v>
      </c>
      <c r="E4" s="1123"/>
      <c r="F4" s="1123"/>
      <c r="G4" s="1124"/>
      <c r="H4" s="1122" t="s">
        <v>700</v>
      </c>
      <c r="I4" s="1123"/>
      <c r="J4" s="1123"/>
      <c r="K4" s="1124"/>
      <c r="L4" s="1122" t="s">
        <v>701</v>
      </c>
      <c r="M4" s="1123"/>
      <c r="N4" s="1123"/>
      <c r="O4" s="1124"/>
      <c r="P4" s="1122" t="s">
        <v>702</v>
      </c>
      <c r="Q4" s="1123"/>
      <c r="R4" s="1123"/>
      <c r="S4" s="1124"/>
      <c r="T4" s="1123" t="s">
        <v>703</v>
      </c>
      <c r="U4" s="1123"/>
      <c r="V4" s="1123"/>
      <c r="W4" s="1124"/>
      <c r="X4" s="1122" t="s">
        <v>704</v>
      </c>
      <c r="Y4" s="1123"/>
      <c r="Z4" s="1123"/>
      <c r="AA4" s="1124"/>
      <c r="AB4" s="1123" t="s">
        <v>705</v>
      </c>
      <c r="AC4" s="1123"/>
      <c r="AD4" s="1123"/>
      <c r="AE4" s="1124"/>
      <c r="AF4" s="1122" t="s">
        <v>706</v>
      </c>
      <c r="AG4" s="1123"/>
      <c r="AH4" s="1123"/>
      <c r="AI4" s="1124"/>
      <c r="AJ4" s="1122" t="s">
        <v>707</v>
      </c>
      <c r="AK4" s="1123"/>
      <c r="AL4" s="1123"/>
      <c r="AM4" s="1124"/>
      <c r="AN4" s="1122" t="s">
        <v>708</v>
      </c>
      <c r="AO4" s="1123"/>
      <c r="AP4" s="1123"/>
      <c r="AQ4" s="1124"/>
      <c r="AR4" s="1122" t="s">
        <v>709</v>
      </c>
      <c r="AS4" s="1123"/>
      <c r="AT4" s="1123"/>
      <c r="AU4" s="1124"/>
      <c r="AV4" s="1122" t="s">
        <v>710</v>
      </c>
      <c r="AW4" s="1123"/>
      <c r="AX4" s="1123"/>
      <c r="AY4" s="1124"/>
      <c r="AZ4" s="1122" t="s">
        <v>711</v>
      </c>
      <c r="BA4" s="1123"/>
      <c r="BB4" s="1123"/>
      <c r="BC4" s="1124"/>
      <c r="BD4" s="1122" t="s">
        <v>712</v>
      </c>
      <c r="BE4" s="1123"/>
      <c r="BF4" s="1123"/>
      <c r="BG4" s="1124"/>
      <c r="BH4" s="1122" t="s">
        <v>713</v>
      </c>
      <c r="BI4" s="1123"/>
      <c r="BJ4" s="1123"/>
      <c r="BK4" s="1124"/>
      <c r="BL4" s="1122" t="s">
        <v>714</v>
      </c>
      <c r="BM4" s="1123"/>
      <c r="BN4" s="1123"/>
      <c r="BO4" s="1124"/>
      <c r="BP4" s="1122" t="s">
        <v>715</v>
      </c>
      <c r="BQ4" s="1123"/>
      <c r="BR4" s="1123"/>
      <c r="BS4" s="1124"/>
      <c r="BT4" s="1160" t="s">
        <v>716</v>
      </c>
      <c r="BU4" s="1161"/>
      <c r="BV4" s="1161"/>
      <c r="BW4" s="1162"/>
      <c r="BX4" s="1122" t="s">
        <v>717</v>
      </c>
      <c r="BY4" s="1123"/>
      <c r="BZ4" s="1123"/>
      <c r="CA4" s="1124"/>
      <c r="CB4" s="1120" t="s">
        <v>718</v>
      </c>
      <c r="CC4" s="1120" t="s">
        <v>113</v>
      </c>
      <c r="CD4" s="1120" t="s">
        <v>103</v>
      </c>
    </row>
    <row r="5" spans="1:82" ht="41.25">
      <c r="A5" s="4" t="s">
        <v>115</v>
      </c>
      <c r="B5" s="771" t="s">
        <v>116</v>
      </c>
      <c r="C5" s="771" t="s">
        <v>117</v>
      </c>
      <c r="D5" s="773" t="s">
        <v>118</v>
      </c>
      <c r="E5" s="774" t="s">
        <v>119</v>
      </c>
      <c r="F5" s="775" t="s">
        <v>719</v>
      </c>
      <c r="G5" s="412" t="s">
        <v>720</v>
      </c>
      <c r="H5" s="773" t="s">
        <v>118</v>
      </c>
      <c r="I5" s="774" t="s">
        <v>119</v>
      </c>
      <c r="J5" s="775" t="s">
        <v>719</v>
      </c>
      <c r="K5" s="775" t="s">
        <v>720</v>
      </c>
      <c r="L5" s="773" t="s">
        <v>118</v>
      </c>
      <c r="M5" s="774" t="s">
        <v>119</v>
      </c>
      <c r="N5" s="775" t="s">
        <v>719</v>
      </c>
      <c r="O5" s="776" t="s">
        <v>720</v>
      </c>
      <c r="P5" s="773" t="s">
        <v>118</v>
      </c>
      <c r="Q5" s="774" t="s">
        <v>119</v>
      </c>
      <c r="R5" s="775" t="s">
        <v>719</v>
      </c>
      <c r="S5" s="413" t="s">
        <v>720</v>
      </c>
      <c r="T5" s="414" t="s">
        <v>118</v>
      </c>
      <c r="U5" s="774" t="s">
        <v>119</v>
      </c>
      <c r="V5" s="775" t="s">
        <v>719</v>
      </c>
      <c r="W5" s="412" t="s">
        <v>720</v>
      </c>
      <c r="X5" s="773" t="s">
        <v>118</v>
      </c>
      <c r="Y5" s="774" t="s">
        <v>119</v>
      </c>
      <c r="Z5" s="775" t="s">
        <v>719</v>
      </c>
      <c r="AA5" s="413" t="s">
        <v>720</v>
      </c>
      <c r="AB5" s="414" t="s">
        <v>118</v>
      </c>
      <c r="AC5" s="774" t="s">
        <v>119</v>
      </c>
      <c r="AD5" s="775" t="s">
        <v>719</v>
      </c>
      <c r="AE5" s="412" t="s">
        <v>720</v>
      </c>
      <c r="AF5" s="773" t="s">
        <v>118</v>
      </c>
      <c r="AG5" s="774" t="s">
        <v>119</v>
      </c>
      <c r="AH5" s="775" t="s">
        <v>719</v>
      </c>
      <c r="AI5" s="412" t="s">
        <v>720</v>
      </c>
      <c r="AJ5" s="773" t="s">
        <v>118</v>
      </c>
      <c r="AK5" s="774" t="s">
        <v>119</v>
      </c>
      <c r="AL5" s="775" t="s">
        <v>719</v>
      </c>
      <c r="AM5" s="412" t="s">
        <v>720</v>
      </c>
      <c r="AN5" s="773" t="s">
        <v>118</v>
      </c>
      <c r="AO5" s="774" t="s">
        <v>119</v>
      </c>
      <c r="AP5" s="775" t="s">
        <v>719</v>
      </c>
      <c r="AQ5" s="412" t="s">
        <v>720</v>
      </c>
      <c r="AR5" s="773" t="s">
        <v>118</v>
      </c>
      <c r="AS5" s="774" t="s">
        <v>119</v>
      </c>
      <c r="AT5" s="775" t="s">
        <v>719</v>
      </c>
      <c r="AU5" s="412" t="s">
        <v>720</v>
      </c>
      <c r="AV5" s="773" t="s">
        <v>118</v>
      </c>
      <c r="AW5" s="774" t="s">
        <v>119</v>
      </c>
      <c r="AX5" s="775" t="s">
        <v>719</v>
      </c>
      <c r="AY5" s="412" t="s">
        <v>720</v>
      </c>
      <c r="AZ5" s="773" t="s">
        <v>118</v>
      </c>
      <c r="BA5" s="774" t="s">
        <v>119</v>
      </c>
      <c r="BB5" s="775" t="s">
        <v>719</v>
      </c>
      <c r="BC5" s="412" t="s">
        <v>720</v>
      </c>
      <c r="BD5" s="773" t="s">
        <v>118</v>
      </c>
      <c r="BE5" s="774" t="s">
        <v>119</v>
      </c>
      <c r="BF5" s="775" t="s">
        <v>719</v>
      </c>
      <c r="BG5" s="412" t="s">
        <v>720</v>
      </c>
      <c r="BH5" s="773" t="s">
        <v>118</v>
      </c>
      <c r="BI5" s="774" t="s">
        <v>119</v>
      </c>
      <c r="BJ5" s="775" t="s">
        <v>719</v>
      </c>
      <c r="BK5" s="412" t="s">
        <v>720</v>
      </c>
      <c r="BL5" s="773" t="s">
        <v>118</v>
      </c>
      <c r="BM5" s="774" t="s">
        <v>119</v>
      </c>
      <c r="BN5" s="775" t="s">
        <v>719</v>
      </c>
      <c r="BO5" s="412" t="s">
        <v>720</v>
      </c>
      <c r="BP5" s="773" t="s">
        <v>118</v>
      </c>
      <c r="BQ5" s="774" t="s">
        <v>119</v>
      </c>
      <c r="BR5" s="775" t="s">
        <v>719</v>
      </c>
      <c r="BS5" s="412" t="s">
        <v>720</v>
      </c>
      <c r="BT5" s="773" t="s">
        <v>118</v>
      </c>
      <c r="BU5" s="774" t="s">
        <v>119</v>
      </c>
      <c r="BV5" s="775" t="s">
        <v>719</v>
      </c>
      <c r="BW5" s="412" t="s">
        <v>720</v>
      </c>
      <c r="BX5" s="773" t="s">
        <v>118</v>
      </c>
      <c r="BY5" s="774" t="s">
        <v>119</v>
      </c>
      <c r="BZ5" s="775" t="s">
        <v>719</v>
      </c>
      <c r="CA5" s="412" t="s">
        <v>720</v>
      </c>
      <c r="CB5" s="1121"/>
      <c r="CC5" s="1121"/>
      <c r="CD5" s="1121"/>
    </row>
    <row r="6" spans="1:82" ht="10.5" customHeight="1">
      <c r="B6" s="415"/>
      <c r="C6" s="813"/>
      <c r="D6" s="401"/>
      <c r="E6" s="401"/>
      <c r="F6" s="401"/>
      <c r="G6" s="401"/>
      <c r="H6" s="401"/>
      <c r="I6" s="401"/>
      <c r="J6" s="401"/>
      <c r="K6" s="780"/>
      <c r="L6" s="401"/>
      <c r="M6" s="401"/>
      <c r="N6" s="401"/>
      <c r="O6" s="401"/>
      <c r="P6" s="416"/>
      <c r="Q6" s="416"/>
      <c r="R6" s="416"/>
      <c r="S6" s="416"/>
      <c r="T6" s="401"/>
      <c r="U6" s="401"/>
      <c r="V6" s="401"/>
      <c r="W6" s="401"/>
      <c r="X6" s="416"/>
      <c r="Y6" s="416"/>
      <c r="Z6" s="416"/>
      <c r="AA6" s="416"/>
      <c r="AB6" s="401"/>
      <c r="AC6" s="401"/>
      <c r="AD6" s="401"/>
      <c r="AE6" s="401"/>
      <c r="AF6" s="401"/>
      <c r="AG6" s="401"/>
      <c r="AH6" s="401"/>
      <c r="AI6" s="401"/>
      <c r="AJ6" s="401"/>
      <c r="AK6" s="401"/>
      <c r="AL6" s="401"/>
      <c r="AM6" s="401"/>
      <c r="AN6" s="416"/>
      <c r="AO6" s="401"/>
      <c r="AP6" s="401"/>
      <c r="AQ6" s="416"/>
      <c r="AR6" s="416"/>
      <c r="AS6" s="401"/>
      <c r="AT6" s="401"/>
      <c r="AU6" s="416"/>
      <c r="AV6" s="401"/>
      <c r="AW6" s="401"/>
      <c r="AX6" s="401"/>
      <c r="AY6" s="401"/>
      <c r="AZ6" s="401"/>
      <c r="BA6" s="401"/>
      <c r="BB6" s="401"/>
      <c r="BC6" s="401"/>
      <c r="BD6" s="401"/>
      <c r="BE6" s="401"/>
      <c r="BF6" s="401"/>
      <c r="BG6" s="401"/>
      <c r="BH6" s="401"/>
      <c r="BI6" s="401"/>
      <c r="BJ6" s="401"/>
      <c r="BK6" s="401"/>
      <c r="BL6" s="401"/>
      <c r="BM6" s="401"/>
      <c r="BN6" s="401"/>
      <c r="BO6" s="401"/>
      <c r="BP6" s="401"/>
      <c r="BQ6" s="401"/>
      <c r="BR6" s="401"/>
      <c r="BS6" s="401"/>
      <c r="BT6" s="401"/>
      <c r="BU6" s="401"/>
      <c r="BV6" s="401"/>
      <c r="BW6" s="401"/>
      <c r="BX6" s="401"/>
      <c r="BY6" s="401"/>
      <c r="BZ6" s="401"/>
      <c r="CA6" s="401"/>
      <c r="CB6" s="402"/>
      <c r="CC6" s="783"/>
      <c r="CD6" s="783"/>
    </row>
    <row r="7" spans="1:82" ht="39" customHeight="1">
      <c r="A7" s="784" t="str">
        <f>+PRESUPUESTO!B12</f>
        <v>1.4.</v>
      </c>
      <c r="B7" s="785" t="str">
        <f>+PRESUPUESTO!C12</f>
        <v>Raspado de estuco y pintura, hasta encontrar pañete. Incluye limpieza de pañete. Incluye cargue y el retiro de escombros a botadero autorizado.</v>
      </c>
      <c r="C7" s="814" t="str">
        <f>+PRESUPUESTO!D12</f>
        <v>M2</v>
      </c>
      <c r="D7" s="787"/>
      <c r="E7" s="402"/>
      <c r="F7" s="788">
        <f>+D7*E7</f>
        <v>0</v>
      </c>
      <c r="G7" s="790"/>
      <c r="H7" s="787"/>
      <c r="I7" s="402"/>
      <c r="J7" s="788">
        <f>+H7*I7</f>
        <v>0</v>
      </c>
      <c r="K7" s="788"/>
      <c r="L7" s="787">
        <f>+'AREAS Y PERIMETROS'!C12</f>
        <v>30.9</v>
      </c>
      <c r="M7" s="789">
        <v>1</v>
      </c>
      <c r="N7" s="788">
        <f>+L7*M7</f>
        <v>30.9</v>
      </c>
      <c r="O7" s="790"/>
      <c r="P7" s="815"/>
      <c r="Q7" s="789"/>
      <c r="R7" s="788">
        <f>+P7*Q7</f>
        <v>0</v>
      </c>
      <c r="S7" s="790">
        <f t="shared" ref="S7" si="0">+ROUND(P7*Q7,2)</f>
        <v>0</v>
      </c>
      <c r="T7" s="417"/>
      <c r="U7" s="789"/>
      <c r="V7" s="788">
        <f>+T7*U7</f>
        <v>0</v>
      </c>
      <c r="W7" s="790">
        <f t="shared" ref="W7" si="1">+ROUND(T7*U7,2)</f>
        <v>0</v>
      </c>
      <c r="X7" s="815"/>
      <c r="Y7" s="789"/>
      <c r="Z7" s="788">
        <f>+X7*Y7</f>
        <v>0</v>
      </c>
      <c r="AA7" s="790">
        <f t="shared" ref="AA7" si="2">+ROUND(X7*Y7,2)</f>
        <v>0</v>
      </c>
      <c r="AB7" s="417"/>
      <c r="AC7" s="789"/>
      <c r="AD7" s="788">
        <f>+AB7*AC7</f>
        <v>0</v>
      </c>
      <c r="AE7" s="790">
        <f t="shared" ref="AE7" si="3">+ROUND(AB7*AC7,2)</f>
        <v>0</v>
      </c>
      <c r="AF7" s="787"/>
      <c r="AG7" s="789"/>
      <c r="AH7" s="788">
        <f>+AF7*AG7</f>
        <v>0</v>
      </c>
      <c r="AI7" s="790">
        <f t="shared" ref="AI7" si="4">+ROUND(AF7*AG7,2)</f>
        <v>0</v>
      </c>
      <c r="AJ7" s="787"/>
      <c r="AK7" s="789"/>
      <c r="AL7" s="788">
        <f>+AJ7*AK7</f>
        <v>0</v>
      </c>
      <c r="AM7" s="790">
        <f t="shared" ref="AM7" si="5">+ROUND(AJ7*AK7,2)</f>
        <v>0</v>
      </c>
      <c r="AN7" s="417"/>
      <c r="AO7" s="789"/>
      <c r="AP7" s="788">
        <f>+AN7*AO7</f>
        <v>0</v>
      </c>
      <c r="AQ7" s="790">
        <f t="shared" ref="AQ7" si="6">+ROUND(AN7*AO7,2)</f>
        <v>0</v>
      </c>
      <c r="AR7" s="417"/>
      <c r="AS7" s="789"/>
      <c r="AT7" s="788">
        <f>+AR7*AS7</f>
        <v>0</v>
      </c>
      <c r="AU7" s="790">
        <f t="shared" ref="AU7" si="7">+ROUND(AR7*AS7,2)</f>
        <v>0</v>
      </c>
      <c r="AV7" s="787"/>
      <c r="AW7" s="402"/>
      <c r="AX7" s="789">
        <f>+AV7*AW7</f>
        <v>0</v>
      </c>
      <c r="AY7" s="790">
        <f t="shared" ref="AY7" si="8">+ROUND(AV7*AW7,2)</f>
        <v>0</v>
      </c>
      <c r="AZ7" s="787"/>
      <c r="BA7" s="402"/>
      <c r="BB7" s="789">
        <f>+AZ7*BA7</f>
        <v>0</v>
      </c>
      <c r="BC7" s="790">
        <f t="shared" ref="BC7" si="9">+ROUND(AZ7*BA7,2)</f>
        <v>0</v>
      </c>
      <c r="BD7" s="787"/>
      <c r="BE7" s="402"/>
      <c r="BF7" s="789">
        <f>+BD7*BE7</f>
        <v>0</v>
      </c>
      <c r="BG7" s="790">
        <f t="shared" ref="BG7" si="10">+ROUND(BD7*BE7,2)</f>
        <v>0</v>
      </c>
      <c r="BH7" s="787"/>
      <c r="BI7" s="402"/>
      <c r="BJ7" s="789">
        <f>+BH7*BI7</f>
        <v>0</v>
      </c>
      <c r="BK7" s="790">
        <f t="shared" ref="BK7" si="11">+ROUND(BH7*BI7,2)</f>
        <v>0</v>
      </c>
      <c r="BL7" s="787"/>
      <c r="BM7" s="402"/>
      <c r="BN7" s="789">
        <f>+BL7*BM7</f>
        <v>0</v>
      </c>
      <c r="BO7" s="790">
        <f t="shared" ref="BO7" si="12">+ROUND(BL7*BM7,2)</f>
        <v>0</v>
      </c>
      <c r="BP7" s="787"/>
      <c r="BQ7" s="402"/>
      <c r="BR7" s="789">
        <f>+BP7*BQ7</f>
        <v>0</v>
      </c>
      <c r="BS7" s="790">
        <f t="shared" ref="BS7" si="13">+ROUND(BP7*BQ7,2)</f>
        <v>0</v>
      </c>
      <c r="BT7" s="787"/>
      <c r="BU7" s="402"/>
      <c r="BV7" s="789">
        <f>+BT7*BU7</f>
        <v>0</v>
      </c>
      <c r="BW7" s="790">
        <f t="shared" ref="BW7" si="14">+ROUND(BT7*BU7,2)</f>
        <v>0</v>
      </c>
      <c r="BX7" s="787"/>
      <c r="BY7" s="402"/>
      <c r="BZ7" s="789">
        <f>+BX7*BY7</f>
        <v>0</v>
      </c>
      <c r="CA7" s="790">
        <f t="shared" ref="CA7" si="15">+ROUND(BX7*BY7,2)</f>
        <v>0</v>
      </c>
      <c r="CB7" s="783">
        <f>ROUND(+F7+G7+J7+K7+N7+O7+R7+S7+V7+W7+Z7+AA7+AD7+AE7+AH7+AI7+AL7+AM7+AP7+AQ7+AT7+AU7+AX7+AY7+BB7+BC7+BF7+BG7+BJ7+BK7++BN7+BO7+BR7+BS7+BV7+BW7+BZ7+CA7,0)</f>
        <v>31</v>
      </c>
      <c r="CC7" s="783">
        <v>1.1000000000000001</v>
      </c>
      <c r="CD7" s="783">
        <f>+ROUND(CB7*CC7,0)</f>
        <v>34</v>
      </c>
    </row>
    <row r="8" spans="1:82" ht="39" customHeight="1">
      <c r="A8" s="418" t="str">
        <f>+PRESUPUESTO!B21</f>
        <v>1.13.</v>
      </c>
      <c r="B8" s="816" t="str">
        <f>+PRESUPUESTO!C21</f>
        <v>Raspado de pintura, retiro de cintas en muros o cielorrasos en superboard. Incluye cargue y el retiro de escombros a botadero autorizado.</v>
      </c>
      <c r="C8" s="814" t="str">
        <f>+PRESUPUESTO!D21</f>
        <v>M2</v>
      </c>
      <c r="D8" s="787"/>
      <c r="E8" s="402"/>
      <c r="F8" s="788">
        <f t="shared" ref="F8:F19" si="16">+D8*E8</f>
        <v>0</v>
      </c>
      <c r="G8" s="790">
        <f>+'AREAS Y PERIMETROS'!B14</f>
        <v>11.68</v>
      </c>
      <c r="H8" s="787"/>
      <c r="I8" s="402"/>
      <c r="J8" s="788">
        <f t="shared" ref="J8:J19" si="17">+H8*I8</f>
        <v>0</v>
      </c>
      <c r="K8" s="788"/>
      <c r="L8" s="815"/>
      <c r="M8" s="789"/>
      <c r="N8" s="788">
        <f t="shared" ref="N8:N19" si="18">+L8*M8</f>
        <v>0</v>
      </c>
      <c r="O8" s="790"/>
      <c r="P8" s="815"/>
      <c r="Q8" s="789"/>
      <c r="R8" s="402">
        <f t="shared" ref="R8:R19" si="19">+P8*Q8</f>
        <v>0</v>
      </c>
      <c r="S8" s="790">
        <f>+'AREAS Y PERIMETROS'!B11</f>
        <v>8</v>
      </c>
      <c r="T8" s="402"/>
      <c r="U8" s="789"/>
      <c r="V8" s="788">
        <f t="shared" ref="V8:V19" si="20">+T8*U8</f>
        <v>0</v>
      </c>
      <c r="W8" s="790">
        <f>+'AREAS Y PERIMETROS'!B10</f>
        <v>15.8</v>
      </c>
      <c r="X8" s="815"/>
      <c r="Y8" s="789"/>
      <c r="Z8" s="402">
        <f t="shared" ref="Z8:Z19" si="21">+X8*Y8</f>
        <v>0</v>
      </c>
      <c r="AA8" s="790">
        <f>+'AREAS Y PERIMETROS'!B8</f>
        <v>3.28</v>
      </c>
      <c r="AB8" s="402"/>
      <c r="AC8" s="789"/>
      <c r="AD8" s="788">
        <f t="shared" ref="AD8:AD19" si="22">+AB8*AC8</f>
        <v>0</v>
      </c>
      <c r="AE8" s="790">
        <f>+'AREAS Y PERIMETROS'!B9</f>
        <v>4.71</v>
      </c>
      <c r="AF8" s="787"/>
      <c r="AG8" s="789"/>
      <c r="AH8" s="788">
        <f t="shared" ref="AH8:AH19" si="23">+AF8*AG8</f>
        <v>0</v>
      </c>
      <c r="AI8" s="790"/>
      <c r="AJ8" s="787"/>
      <c r="AK8" s="789"/>
      <c r="AL8" s="788">
        <f t="shared" ref="AL8:AL19" si="24">+AJ8*AK8</f>
        <v>0</v>
      </c>
      <c r="AM8" s="790">
        <f>+'AREAS Y PERIMETROS'!B7</f>
        <v>11.21</v>
      </c>
      <c r="AN8" s="417"/>
      <c r="AO8" s="789"/>
      <c r="AP8" s="788">
        <f t="shared" ref="AP8:AP19" si="25">+AN8*AO8</f>
        <v>0</v>
      </c>
      <c r="AQ8" s="790">
        <f>+'AREAS Y PERIMETROS'!B17</f>
        <v>17.41</v>
      </c>
      <c r="AR8" s="417"/>
      <c r="AS8" s="789"/>
      <c r="AT8" s="788">
        <f t="shared" ref="AT8:AT19" si="26">+AR8*AS8</f>
        <v>0</v>
      </c>
      <c r="AU8" s="790">
        <f>+'AREAS Y PERIMETROS'!B18</f>
        <v>11.73</v>
      </c>
      <c r="AV8" s="787"/>
      <c r="AW8" s="402"/>
      <c r="AX8" s="789">
        <f t="shared" ref="AX8:AX19" si="27">+AV8*AW8</f>
        <v>0</v>
      </c>
      <c r="AY8" s="790">
        <f>+'AREAS Y PERIMETROS'!B19</f>
        <v>5.37</v>
      </c>
      <c r="AZ8" s="787"/>
      <c r="BA8" s="402"/>
      <c r="BB8" s="789">
        <f t="shared" ref="BB8:BB19" si="28">+AZ8*BA8</f>
        <v>0</v>
      </c>
      <c r="BC8" s="790">
        <f>+'AREAS Y PERIMETROS'!B20</f>
        <v>10.28</v>
      </c>
      <c r="BD8" s="787"/>
      <c r="BE8" s="402"/>
      <c r="BF8" s="789">
        <f t="shared" ref="BF8:BF19" si="29">+BD8*BE8</f>
        <v>0</v>
      </c>
      <c r="BG8" s="790">
        <f>+'AREAS Y PERIMETROS'!B25</f>
        <v>5.4</v>
      </c>
      <c r="BH8" s="787"/>
      <c r="BI8" s="402"/>
      <c r="BJ8" s="789">
        <f t="shared" ref="BJ8:BJ19" si="30">+BH8*BI8</f>
        <v>0</v>
      </c>
      <c r="BK8" s="790">
        <f>+'AREAS Y PERIMETROS'!B23</f>
        <v>2.4900000000000002</v>
      </c>
      <c r="BL8" s="787"/>
      <c r="BM8" s="402"/>
      <c r="BN8" s="789">
        <f t="shared" ref="BN8:BN19" si="31">+BL8*BM8</f>
        <v>0</v>
      </c>
      <c r="BO8" s="790">
        <f>+'AREAS Y PERIMETROS'!B24</f>
        <v>2.4900000000000002</v>
      </c>
      <c r="BP8" s="787"/>
      <c r="BQ8" s="402"/>
      <c r="BR8" s="789">
        <f t="shared" ref="BR8:BR19" si="32">+BP8*BQ8</f>
        <v>0</v>
      </c>
      <c r="BS8" s="790"/>
      <c r="BT8" s="787"/>
      <c r="BU8" s="402"/>
      <c r="BV8" s="789">
        <f t="shared" ref="BV8:BV19" si="33">+BT8*BU8</f>
        <v>0</v>
      </c>
      <c r="BW8" s="790">
        <f>+'AREAS Y PERIMETROS'!F24</f>
        <v>0</v>
      </c>
      <c r="BX8" s="787"/>
      <c r="BY8" s="402"/>
      <c r="BZ8" s="789">
        <f t="shared" ref="BZ8:BZ17" si="34">+BX8*BY8</f>
        <v>0</v>
      </c>
      <c r="CA8" s="790">
        <f>+'AREAS Y PERIMETROS'!J24</f>
        <v>0</v>
      </c>
      <c r="CB8" s="783">
        <f>ROUND(+F8+G8+J8+K8+N8+O8+R8+S8+V8+W8+Z8+AA8+AD8+AE8+AH8+AI8+AL8+AM8+AP8+AQ8+AT8+AU8+AX8+AY8+BB8+BC8+BF8+BG8+BJ8+BK8++BN8+BO8+BR8+BS8+BV8+BW8+BZ8+CA8,0)</f>
        <v>110</v>
      </c>
      <c r="CC8" s="783">
        <v>1.1000000000000001</v>
      </c>
      <c r="CD8" s="783">
        <f t="shared" ref="CD8:CD17" si="35">+ROUND(CB8*CC8,0)</f>
        <v>121</v>
      </c>
    </row>
    <row r="9" spans="1:82" ht="39" customHeight="1">
      <c r="A9" s="258" t="str">
        <f>+PRESUPUESTO!B23</f>
        <v>1.15.</v>
      </c>
      <c r="B9" s="261" t="str">
        <f>+PRESUPUESTO!C23</f>
        <v>Desmonte de cielorraso en superboard. Incluye retiro de mediacañas entre muro y cielorraso, rejillas plásticas  y cualquier elemento adherido, cargue y retiro de escombros a botadero autorizado</v>
      </c>
      <c r="C9" s="814" t="str">
        <f>+PRESUPUESTO!D23</f>
        <v>M2</v>
      </c>
      <c r="D9" s="787"/>
      <c r="E9" s="402"/>
      <c r="F9" s="788"/>
      <c r="G9" s="790"/>
      <c r="H9" s="787"/>
      <c r="I9" s="402"/>
      <c r="J9" s="788"/>
      <c r="K9" s="788">
        <f>+'AREAS Y PERIMETROS'!B13</f>
        <v>23.27</v>
      </c>
      <c r="L9" s="815"/>
      <c r="M9" s="789"/>
      <c r="N9" s="788"/>
      <c r="O9" s="790">
        <f>+'AREAS Y PERIMETROS'!B12</f>
        <v>35.1</v>
      </c>
      <c r="P9" s="815"/>
      <c r="Q9" s="789"/>
      <c r="R9" s="402"/>
      <c r="S9" s="790"/>
      <c r="T9" s="402"/>
      <c r="U9" s="789"/>
      <c r="V9" s="788"/>
      <c r="W9" s="790"/>
      <c r="X9" s="815"/>
      <c r="Y9" s="789"/>
      <c r="Z9" s="402"/>
      <c r="AA9" s="790"/>
      <c r="AB9" s="402"/>
      <c r="AC9" s="789"/>
      <c r="AD9" s="788"/>
      <c r="AE9" s="790"/>
      <c r="AF9" s="787"/>
      <c r="AG9" s="789"/>
      <c r="AH9" s="788"/>
      <c r="AI9" s="790">
        <f>+'AREAS Y PERIMETROS'!B15</f>
        <v>16.100000000000001</v>
      </c>
      <c r="AJ9" s="787"/>
      <c r="AK9" s="789"/>
      <c r="AL9" s="788"/>
      <c r="AM9" s="790"/>
      <c r="AN9" s="417"/>
      <c r="AO9" s="789"/>
      <c r="AP9" s="788"/>
      <c r="AQ9" s="790"/>
      <c r="AR9" s="417"/>
      <c r="AS9" s="789"/>
      <c r="AT9" s="788"/>
      <c r="AU9" s="790"/>
      <c r="AV9" s="787"/>
      <c r="AW9" s="402"/>
      <c r="AX9" s="789"/>
      <c r="AY9" s="790"/>
      <c r="AZ9" s="787"/>
      <c r="BA9" s="402"/>
      <c r="BB9" s="789"/>
      <c r="BC9" s="790"/>
      <c r="BD9" s="787"/>
      <c r="BE9" s="402"/>
      <c r="BF9" s="789"/>
      <c r="BG9" s="790"/>
      <c r="BH9" s="787"/>
      <c r="BI9" s="402"/>
      <c r="BJ9" s="789"/>
      <c r="BK9" s="790"/>
      <c r="BL9" s="787"/>
      <c r="BM9" s="402"/>
      <c r="BN9" s="789"/>
      <c r="BO9" s="790"/>
      <c r="BP9" s="787"/>
      <c r="BQ9" s="402"/>
      <c r="BR9" s="789"/>
      <c r="BS9" s="790"/>
      <c r="BT9" s="787"/>
      <c r="BU9" s="402"/>
      <c r="BV9" s="789"/>
      <c r="BW9" s="790"/>
      <c r="BX9" s="787"/>
      <c r="BY9" s="402"/>
      <c r="BZ9" s="789"/>
      <c r="CA9" s="790"/>
      <c r="CB9" s="783">
        <f>ROUND(+F9+G9+J9+K9+N9+O9+R9+S9+V9+W9+Z9+AA9+AD9+AE9+AH9+AI9+AL9+AM9+AP9+AQ9+AT9+AU9+AX9+AY9+BB9+BC9+BF9+BG9+BJ9+BK9++BN9+BO9+BR9+BS9+BV9+BW9+BZ9+CA9,0)</f>
        <v>74</v>
      </c>
      <c r="CC9" s="783">
        <v>1.1000000000000001</v>
      </c>
      <c r="CD9" s="783">
        <f t="shared" si="35"/>
        <v>81</v>
      </c>
    </row>
    <row r="10" spans="1:82">
      <c r="B10" s="777"/>
      <c r="C10" s="813"/>
      <c r="D10" s="779"/>
      <c r="E10" s="401"/>
      <c r="F10" s="788">
        <f t="shared" si="16"/>
        <v>0</v>
      </c>
      <c r="G10" s="782"/>
      <c r="H10" s="779"/>
      <c r="I10" s="401"/>
      <c r="J10" s="780">
        <f t="shared" si="17"/>
        <v>0</v>
      </c>
      <c r="K10" s="780"/>
      <c r="L10" s="817"/>
      <c r="M10" s="781"/>
      <c r="N10" s="780">
        <f t="shared" si="18"/>
        <v>0</v>
      </c>
      <c r="O10" s="782"/>
      <c r="P10" s="818"/>
      <c r="Q10" s="819"/>
      <c r="R10" s="416">
        <f t="shared" si="19"/>
        <v>0</v>
      </c>
      <c r="S10" s="419"/>
      <c r="T10" s="401"/>
      <c r="U10" s="781"/>
      <c r="V10" s="780">
        <f t="shared" si="20"/>
        <v>0</v>
      </c>
      <c r="W10" s="782"/>
      <c r="X10" s="818"/>
      <c r="Y10" s="819"/>
      <c r="Z10" s="416">
        <f t="shared" si="21"/>
        <v>0</v>
      </c>
      <c r="AA10" s="820"/>
      <c r="AB10" s="401"/>
      <c r="AC10" s="781"/>
      <c r="AD10" s="780">
        <f t="shared" si="22"/>
        <v>0</v>
      </c>
      <c r="AE10" s="782"/>
      <c r="AF10" s="779"/>
      <c r="AG10" s="781"/>
      <c r="AH10" s="780">
        <f t="shared" si="23"/>
        <v>0</v>
      </c>
      <c r="AI10" s="782"/>
      <c r="AJ10" s="779"/>
      <c r="AK10" s="781"/>
      <c r="AL10" s="780">
        <f t="shared" si="24"/>
        <v>0</v>
      </c>
      <c r="AM10" s="782"/>
      <c r="AN10" s="420"/>
      <c r="AO10" s="781"/>
      <c r="AP10" s="780">
        <f t="shared" si="25"/>
        <v>0</v>
      </c>
      <c r="AQ10" s="820"/>
      <c r="AR10" s="420"/>
      <c r="AS10" s="781"/>
      <c r="AT10" s="780">
        <f t="shared" si="26"/>
        <v>0</v>
      </c>
      <c r="AU10" s="820"/>
      <c r="AV10" s="779"/>
      <c r="AW10" s="401"/>
      <c r="AX10" s="781">
        <f t="shared" si="27"/>
        <v>0</v>
      </c>
      <c r="AY10" s="782"/>
      <c r="AZ10" s="779"/>
      <c r="BA10" s="401"/>
      <c r="BB10" s="781">
        <f t="shared" si="28"/>
        <v>0</v>
      </c>
      <c r="BC10" s="782"/>
      <c r="BD10" s="779"/>
      <c r="BE10" s="401"/>
      <c r="BF10" s="781">
        <f t="shared" si="29"/>
        <v>0</v>
      </c>
      <c r="BG10" s="782"/>
      <c r="BH10" s="779"/>
      <c r="BI10" s="401"/>
      <c r="BJ10" s="781">
        <f t="shared" si="30"/>
        <v>0</v>
      </c>
      <c r="BK10" s="782"/>
      <c r="BL10" s="779"/>
      <c r="BM10" s="401"/>
      <c r="BN10" s="781">
        <f t="shared" si="31"/>
        <v>0</v>
      </c>
      <c r="BO10" s="782"/>
      <c r="BP10" s="779"/>
      <c r="BQ10" s="401"/>
      <c r="BR10" s="781">
        <f t="shared" si="32"/>
        <v>0</v>
      </c>
      <c r="BS10" s="782"/>
      <c r="BT10" s="779"/>
      <c r="BU10" s="401"/>
      <c r="BV10" s="781">
        <f t="shared" si="33"/>
        <v>0</v>
      </c>
      <c r="BW10" s="782"/>
      <c r="BX10" s="779"/>
      <c r="BY10" s="401"/>
      <c r="BZ10" s="781">
        <f t="shared" si="34"/>
        <v>0</v>
      </c>
      <c r="CA10" s="782"/>
      <c r="CB10" s="783">
        <f t="shared" ref="CB10" si="36">ROUND(+F10+G10+J10+K10+N10+O10+R10+S10+V10+W10+Z10+AA10+AD10+AE10+AH10+AI10+AL10+AM10+AP10+AQ10+AT10+AU10+AX10+AY10+BB10+BC10+BF10+BG10+BJ10+BK10++BN10+BO10+BR10+BS10+BV10+BW10+BZ10+CA10,2)</f>
        <v>0</v>
      </c>
      <c r="CC10" s="783"/>
      <c r="CD10" s="783">
        <f t="shared" si="35"/>
        <v>0</v>
      </c>
    </row>
    <row r="11" spans="1:82" ht="38.25">
      <c r="A11" s="821" t="str">
        <f>+PRESUPUESTO!B93</f>
        <v>15.1.</v>
      </c>
      <c r="B11" s="785" t="str">
        <f>+PRESUPUESTO!C93</f>
        <v>Estuco plástico, incluye filos (esquineras plásticas),  dilataciones (juntas de control plasticas en "Z" y "U"), carteras de vanos y medidas inferiores a 1.0 m</v>
      </c>
      <c r="C11" s="814" t="str">
        <f>+PRESUPUESTO!D93</f>
        <v>M2</v>
      </c>
      <c r="D11" s="787"/>
      <c r="E11" s="402"/>
      <c r="F11" s="788">
        <f t="shared" si="16"/>
        <v>0</v>
      </c>
      <c r="G11" s="790"/>
      <c r="H11" s="787"/>
      <c r="I11" s="402"/>
      <c r="J11" s="788">
        <f t="shared" si="17"/>
        <v>0</v>
      </c>
      <c r="K11" s="788"/>
      <c r="L11" s="815">
        <f>+L7</f>
        <v>30.9</v>
      </c>
      <c r="M11" s="789">
        <v>1</v>
      </c>
      <c r="N11" s="788">
        <f t="shared" si="18"/>
        <v>30.9</v>
      </c>
      <c r="O11" s="790"/>
      <c r="P11" s="815"/>
      <c r="Q11" s="789"/>
      <c r="R11" s="788">
        <f t="shared" si="19"/>
        <v>0</v>
      </c>
      <c r="S11" s="790">
        <f t="shared" ref="S11:S14" si="37">+ROUND(P11*Q11,2)</f>
        <v>0</v>
      </c>
      <c r="T11" s="815">
        <f>+T7</f>
        <v>0</v>
      </c>
      <c r="U11" s="789"/>
      <c r="V11" s="788">
        <f t="shared" si="20"/>
        <v>0</v>
      </c>
      <c r="W11" s="790">
        <f t="shared" ref="W11:W14" si="38">+ROUND(T11*U11,2)</f>
        <v>0</v>
      </c>
      <c r="X11" s="815"/>
      <c r="Y11" s="789"/>
      <c r="Z11" s="788">
        <f t="shared" si="21"/>
        <v>0</v>
      </c>
      <c r="AA11" s="790">
        <f t="shared" ref="AA11:AA14" si="39">+ROUND(X11*Y11,2)</f>
        <v>0</v>
      </c>
      <c r="AB11" s="815"/>
      <c r="AC11" s="789"/>
      <c r="AD11" s="788">
        <f t="shared" si="22"/>
        <v>0</v>
      </c>
      <c r="AE11" s="790">
        <f t="shared" ref="AE11:AE14" si="40">+ROUND(AB11*AC11,2)</f>
        <v>0</v>
      </c>
      <c r="AF11" s="787"/>
      <c r="AG11" s="789"/>
      <c r="AH11" s="788">
        <f t="shared" si="23"/>
        <v>0</v>
      </c>
      <c r="AI11" s="790">
        <f t="shared" ref="AI11" si="41">+ROUND(AF11*AG11,2)</f>
        <v>0</v>
      </c>
      <c r="AJ11" s="787"/>
      <c r="AK11" s="789"/>
      <c r="AL11" s="788">
        <f t="shared" si="24"/>
        <v>0</v>
      </c>
      <c r="AM11" s="790">
        <f t="shared" ref="AM11" si="42">+ROUND(AJ11*AK11,2)</f>
        <v>0</v>
      </c>
      <c r="AN11" s="417"/>
      <c r="AO11" s="789"/>
      <c r="AP11" s="788">
        <f t="shared" si="25"/>
        <v>0</v>
      </c>
      <c r="AQ11" s="790">
        <f t="shared" ref="AQ11:AQ12" si="43">+ROUND(AN11*AO11,2)</f>
        <v>0</v>
      </c>
      <c r="AR11" s="417"/>
      <c r="AS11" s="789"/>
      <c r="AT11" s="788">
        <f t="shared" si="26"/>
        <v>0</v>
      </c>
      <c r="AU11" s="790">
        <f t="shared" ref="AU11:AU12" si="44">+ROUND(AR11*AS11,2)</f>
        <v>0</v>
      </c>
      <c r="AV11" s="787"/>
      <c r="AW11" s="402"/>
      <c r="AX11" s="789">
        <f t="shared" si="27"/>
        <v>0</v>
      </c>
      <c r="AY11" s="790">
        <f t="shared" ref="AY11:AY12" si="45">+ROUND(AV11*AW11,2)</f>
        <v>0</v>
      </c>
      <c r="AZ11" s="787"/>
      <c r="BA11" s="402"/>
      <c r="BB11" s="789">
        <f t="shared" si="28"/>
        <v>0</v>
      </c>
      <c r="BC11" s="790">
        <f t="shared" ref="BC11:BC12" si="46">+ROUND(AZ11*BA11,2)</f>
        <v>0</v>
      </c>
      <c r="BD11" s="787"/>
      <c r="BE11" s="402"/>
      <c r="BF11" s="789">
        <f t="shared" si="29"/>
        <v>0</v>
      </c>
      <c r="BG11" s="790">
        <f t="shared" ref="BG11:BG12" si="47">+ROUND(BD11*BE11,2)</f>
        <v>0</v>
      </c>
      <c r="BH11" s="787"/>
      <c r="BI11" s="402"/>
      <c r="BJ11" s="789">
        <f t="shared" si="30"/>
        <v>0</v>
      </c>
      <c r="BK11" s="790">
        <f t="shared" ref="BK11:BK12" si="48">+ROUND(BH11*BI11,2)</f>
        <v>0</v>
      </c>
      <c r="BL11" s="787"/>
      <c r="BM11" s="402"/>
      <c r="BN11" s="789">
        <f t="shared" si="31"/>
        <v>0</v>
      </c>
      <c r="BO11" s="790">
        <f t="shared" ref="BO11:BO12" si="49">+ROUND(BL11*BM11,2)</f>
        <v>0</v>
      </c>
      <c r="BP11" s="787"/>
      <c r="BQ11" s="402"/>
      <c r="BR11" s="789">
        <f t="shared" si="32"/>
        <v>0</v>
      </c>
      <c r="BS11" s="790">
        <f t="shared" ref="BS11:BS12" si="50">+ROUND(BP11*BQ11,2)</f>
        <v>0</v>
      </c>
      <c r="BT11" s="787"/>
      <c r="BU11" s="402"/>
      <c r="BV11" s="789">
        <f t="shared" si="33"/>
        <v>0</v>
      </c>
      <c r="BW11" s="790">
        <f t="shared" ref="BW11:BW12" si="51">+ROUND(BT11*BU11,2)</f>
        <v>0</v>
      </c>
      <c r="BX11" s="787"/>
      <c r="BY11" s="402"/>
      <c r="BZ11" s="789">
        <f t="shared" si="34"/>
        <v>0</v>
      </c>
      <c r="CA11" s="790">
        <f t="shared" ref="CA11:CA12" si="52">+ROUND(BX11*BY11,2)</f>
        <v>0</v>
      </c>
      <c r="CB11" s="783">
        <f t="shared" ref="CB11:CB17" si="53">ROUND(+F11+G11+J11+K11+N11+O11+R11+S11+V11+W11+Z11+AA11+AD11+AE11+AH11+AI11+AL11+AM11+AP11+AQ11+AT11+AU11+AX11+AY11+BB11+BC11+BF11+BG11+BJ11+BK11++BN11+BO11+BR11+BS11+BV11+BW11+BZ11+CA11,0)</f>
        <v>31</v>
      </c>
      <c r="CC11" s="783">
        <v>1.1000000000000001</v>
      </c>
      <c r="CD11" s="783">
        <f t="shared" si="35"/>
        <v>34</v>
      </c>
    </row>
    <row r="12" spans="1:82" ht="92.25" customHeight="1">
      <c r="A12" s="821" t="str">
        <f>+PRESUPUESTO!B94</f>
        <v>15.2.</v>
      </c>
      <c r="B12" s="785" t="str">
        <f>+PRESUPUESTO!C94</f>
        <v>Suministro e instalación de pintura epóxica poliamida, recubrimiento protector para muros y techos interiores en zonas asépticas de dos componentes (componente A pintura epóxica, componente B catalizador poliamídico), acabado semibrillante, tres manos, color blanco (áreas patologia) incluye resanes con estuco plástico, encintado de cielos,  filos, dilataciones, carteras, mediacañas verticales y medidas inferiores a 1.00 m</v>
      </c>
      <c r="C12" s="814" t="str">
        <f>+PRESUPUESTO!D94</f>
        <v>M2</v>
      </c>
      <c r="D12" s="787">
        <f>+'AREAS Y PERIMETROS'!C14</f>
        <v>18.95</v>
      </c>
      <c r="E12" s="402">
        <v>2.9</v>
      </c>
      <c r="F12" s="788">
        <f t="shared" si="16"/>
        <v>54.954999999999998</v>
      </c>
      <c r="G12" s="790">
        <f>+G8</f>
        <v>11.68</v>
      </c>
      <c r="H12" s="787">
        <f>+'AREAS Y PERIMETROS'!C13</f>
        <v>20.16</v>
      </c>
      <c r="I12" s="402">
        <v>2.9</v>
      </c>
      <c r="J12" s="788">
        <f t="shared" si="17"/>
        <v>58.463999999999999</v>
      </c>
      <c r="K12" s="788">
        <f>+'AREAS Y PERIMETROS'!B13</f>
        <v>23.27</v>
      </c>
      <c r="L12" s="787">
        <f>+'AREAS Y PERIMETROS'!C12</f>
        <v>30.9</v>
      </c>
      <c r="M12" s="789">
        <v>2.9</v>
      </c>
      <c r="N12" s="788">
        <f t="shared" si="18"/>
        <v>89.61</v>
      </c>
      <c r="O12" s="790">
        <f>+'AREAS Y PERIMETROS'!B12</f>
        <v>35.1</v>
      </c>
      <c r="P12" s="815">
        <f>+'AREAS Y PERIMETROS'!C11</f>
        <v>12.23</v>
      </c>
      <c r="Q12" s="789">
        <v>2.9</v>
      </c>
      <c r="R12" s="788">
        <f t="shared" si="19"/>
        <v>35.466999999999999</v>
      </c>
      <c r="S12" s="790">
        <f>+S8</f>
        <v>8</v>
      </c>
      <c r="T12" s="417">
        <f>+'AREAS Y PERIMETROS'!C10</f>
        <v>16.309999999999999</v>
      </c>
      <c r="U12" s="789">
        <v>2.9</v>
      </c>
      <c r="V12" s="788">
        <f t="shared" si="20"/>
        <v>47.298999999999992</v>
      </c>
      <c r="W12" s="790">
        <f>+W8</f>
        <v>15.8</v>
      </c>
      <c r="X12" s="815">
        <f>+'AREAS Y PERIMETROS'!C8</f>
        <v>7.39</v>
      </c>
      <c r="Y12" s="789">
        <v>2.9</v>
      </c>
      <c r="Z12" s="788">
        <f t="shared" si="21"/>
        <v>21.430999999999997</v>
      </c>
      <c r="AA12" s="790">
        <f>+AA8</f>
        <v>3.28</v>
      </c>
      <c r="AB12" s="417">
        <f>+'AREAS Y PERIMETROS'!C9</f>
        <v>8.85</v>
      </c>
      <c r="AC12" s="789">
        <v>2.9</v>
      </c>
      <c r="AD12" s="788">
        <f t="shared" si="22"/>
        <v>25.664999999999999</v>
      </c>
      <c r="AE12" s="790">
        <f>+AE8</f>
        <v>4.71</v>
      </c>
      <c r="AF12" s="787"/>
      <c r="AG12" s="789"/>
      <c r="AH12" s="788">
        <f t="shared" si="23"/>
        <v>0</v>
      </c>
      <c r="AI12" s="790">
        <f>+AI8</f>
        <v>0</v>
      </c>
      <c r="AJ12" s="787"/>
      <c r="AK12" s="789"/>
      <c r="AL12" s="788">
        <f t="shared" si="24"/>
        <v>0</v>
      </c>
      <c r="AM12" s="790"/>
      <c r="AN12" s="417"/>
      <c r="AO12" s="789"/>
      <c r="AP12" s="788">
        <f t="shared" si="25"/>
        <v>0</v>
      </c>
      <c r="AQ12" s="790">
        <f t="shared" si="43"/>
        <v>0</v>
      </c>
      <c r="AR12" s="417"/>
      <c r="AS12" s="789"/>
      <c r="AT12" s="788">
        <f t="shared" si="26"/>
        <v>0</v>
      </c>
      <c r="AU12" s="790">
        <f t="shared" si="44"/>
        <v>0</v>
      </c>
      <c r="AV12" s="787"/>
      <c r="AW12" s="402"/>
      <c r="AX12" s="789">
        <f t="shared" si="27"/>
        <v>0</v>
      </c>
      <c r="AY12" s="790">
        <f t="shared" si="45"/>
        <v>0</v>
      </c>
      <c r="AZ12" s="787"/>
      <c r="BA12" s="402"/>
      <c r="BB12" s="789">
        <f t="shared" si="28"/>
        <v>0</v>
      </c>
      <c r="BC12" s="790">
        <f t="shared" si="46"/>
        <v>0</v>
      </c>
      <c r="BD12" s="787"/>
      <c r="BE12" s="402"/>
      <c r="BF12" s="789">
        <f t="shared" si="29"/>
        <v>0</v>
      </c>
      <c r="BG12" s="790">
        <f t="shared" si="47"/>
        <v>0</v>
      </c>
      <c r="BH12" s="787"/>
      <c r="BI12" s="402"/>
      <c r="BJ12" s="789">
        <f t="shared" si="30"/>
        <v>0</v>
      </c>
      <c r="BK12" s="790">
        <f t="shared" si="48"/>
        <v>0</v>
      </c>
      <c r="BL12" s="787"/>
      <c r="BM12" s="402"/>
      <c r="BN12" s="789">
        <f t="shared" si="31"/>
        <v>0</v>
      </c>
      <c r="BO12" s="790">
        <f t="shared" si="49"/>
        <v>0</v>
      </c>
      <c r="BP12" s="787"/>
      <c r="BQ12" s="402"/>
      <c r="BR12" s="789">
        <f t="shared" si="32"/>
        <v>0</v>
      </c>
      <c r="BS12" s="790">
        <f t="shared" si="50"/>
        <v>0</v>
      </c>
      <c r="BT12" s="787"/>
      <c r="BU12" s="402"/>
      <c r="BV12" s="789">
        <f t="shared" si="33"/>
        <v>0</v>
      </c>
      <c r="BW12" s="790">
        <f t="shared" si="51"/>
        <v>0</v>
      </c>
      <c r="BX12" s="787"/>
      <c r="BY12" s="402"/>
      <c r="BZ12" s="789">
        <f t="shared" si="34"/>
        <v>0</v>
      </c>
      <c r="CA12" s="790">
        <f t="shared" si="52"/>
        <v>0</v>
      </c>
      <c r="CB12" s="783">
        <f t="shared" si="53"/>
        <v>435</v>
      </c>
      <c r="CC12" s="783">
        <v>1.1000000000000001</v>
      </c>
      <c r="CD12" s="783">
        <f t="shared" si="35"/>
        <v>479</v>
      </c>
    </row>
    <row r="13" spans="1:82" ht="73.5" customHeight="1">
      <c r="A13" s="821" t="str">
        <f>+PRESUPUESTO!B95</f>
        <v>15.3.</v>
      </c>
      <c r="B13" s="785" t="str">
        <f>+PRESUPUESTO!C95</f>
        <v>Suministro e instalación de vinilo tipo 1 tres manos para muros o cielorrasos (color a escoger) incluye medidas menores a 1.00 m incluye filos y dilataciones. Incluye resanes en estuco plástic, encintado cielorrasos y todos los materiales y trabajos necesarios para su correcta ejecución.</v>
      </c>
      <c r="C13" s="814" t="str">
        <f>+PRESUPUESTO!D95</f>
        <v>M2</v>
      </c>
      <c r="D13" s="787"/>
      <c r="E13" s="402"/>
      <c r="F13" s="788">
        <f t="shared" si="16"/>
        <v>0</v>
      </c>
      <c r="G13" s="790"/>
      <c r="H13" s="787"/>
      <c r="I13" s="402"/>
      <c r="J13" s="788">
        <f t="shared" si="17"/>
        <v>0</v>
      </c>
      <c r="K13" s="788"/>
      <c r="L13" s="822"/>
      <c r="M13" s="823"/>
      <c r="N13" s="824">
        <f t="shared" si="18"/>
        <v>0</v>
      </c>
      <c r="O13" s="825">
        <f t="shared" ref="O13:O14" si="54">+ROUND(L13*M13,2)</f>
        <v>0</v>
      </c>
      <c r="P13" s="815"/>
      <c r="Q13" s="789"/>
      <c r="R13" s="788">
        <f t="shared" si="19"/>
        <v>0</v>
      </c>
      <c r="S13" s="790">
        <f t="shared" si="37"/>
        <v>0</v>
      </c>
      <c r="T13" s="417"/>
      <c r="U13" s="789"/>
      <c r="V13" s="788">
        <f t="shared" si="20"/>
        <v>0</v>
      </c>
      <c r="W13" s="790">
        <f t="shared" si="38"/>
        <v>0</v>
      </c>
      <c r="X13" s="815"/>
      <c r="Y13" s="789"/>
      <c r="Z13" s="788">
        <f t="shared" si="21"/>
        <v>0</v>
      </c>
      <c r="AA13" s="790">
        <f t="shared" si="39"/>
        <v>0</v>
      </c>
      <c r="AB13" s="417"/>
      <c r="AC13" s="789"/>
      <c r="AD13" s="788">
        <f t="shared" si="22"/>
        <v>0</v>
      </c>
      <c r="AE13" s="790">
        <f t="shared" si="40"/>
        <v>0</v>
      </c>
      <c r="AF13" s="787"/>
      <c r="AG13" s="789"/>
      <c r="AH13" s="788">
        <f t="shared" si="23"/>
        <v>0</v>
      </c>
      <c r="AI13" s="790">
        <f>+'AREAS Y PERIMETROS'!B15</f>
        <v>16.100000000000001</v>
      </c>
      <c r="AJ13" s="787"/>
      <c r="AK13" s="789"/>
      <c r="AL13" s="788">
        <f t="shared" si="24"/>
        <v>0</v>
      </c>
      <c r="AM13" s="790">
        <f>+'AREAS Y PERIMETROS'!B7</f>
        <v>11.21</v>
      </c>
      <c r="AN13" s="417"/>
      <c r="AO13" s="789"/>
      <c r="AP13" s="788">
        <f t="shared" si="25"/>
        <v>0</v>
      </c>
      <c r="AQ13" s="790"/>
      <c r="AR13" s="417"/>
      <c r="AS13" s="789"/>
      <c r="AT13" s="788">
        <f t="shared" si="26"/>
        <v>0</v>
      </c>
      <c r="AU13" s="790"/>
      <c r="AV13" s="787"/>
      <c r="AW13" s="402"/>
      <c r="AX13" s="789">
        <f t="shared" si="27"/>
        <v>0</v>
      </c>
      <c r="AY13" s="790">
        <f>+'AREAS Y PERIMETROS'!B19</f>
        <v>5.37</v>
      </c>
      <c r="AZ13" s="787"/>
      <c r="BA13" s="402"/>
      <c r="BB13" s="789">
        <f t="shared" si="28"/>
        <v>0</v>
      </c>
      <c r="BC13" s="790">
        <f>+'AREAS Y PERIMETROS'!B20</f>
        <v>10.28</v>
      </c>
      <c r="BD13" s="787"/>
      <c r="BE13" s="402"/>
      <c r="BF13" s="789">
        <f t="shared" si="29"/>
        <v>0</v>
      </c>
      <c r="BG13" s="790">
        <f>+'AREAS Y PERIMETROS'!B25</f>
        <v>5.4</v>
      </c>
      <c r="BH13" s="787"/>
      <c r="BI13" s="402"/>
      <c r="BJ13" s="789">
        <f t="shared" si="30"/>
        <v>0</v>
      </c>
      <c r="BK13" s="790">
        <f>+'AREAS Y PERIMETROS'!B23</f>
        <v>2.4900000000000002</v>
      </c>
      <c r="BL13" s="787"/>
      <c r="BM13" s="402"/>
      <c r="BN13" s="789">
        <f t="shared" si="31"/>
        <v>0</v>
      </c>
      <c r="BO13" s="790">
        <f>+'AREAS Y PERIMETROS'!B24</f>
        <v>2.4900000000000002</v>
      </c>
      <c r="BP13" s="787"/>
      <c r="BQ13" s="402"/>
      <c r="BR13" s="789">
        <f t="shared" si="32"/>
        <v>0</v>
      </c>
      <c r="BS13" s="790"/>
      <c r="BT13" s="787"/>
      <c r="BU13" s="402"/>
      <c r="BV13" s="789">
        <f t="shared" si="33"/>
        <v>0</v>
      </c>
      <c r="BW13" s="790"/>
      <c r="BX13" s="787"/>
      <c r="BY13" s="402"/>
      <c r="BZ13" s="789">
        <f t="shared" si="34"/>
        <v>0</v>
      </c>
      <c r="CA13" s="790"/>
      <c r="CB13" s="783">
        <f t="shared" si="53"/>
        <v>53</v>
      </c>
      <c r="CC13" s="783">
        <v>1.1000000000000001</v>
      </c>
      <c r="CD13" s="783">
        <f t="shared" si="35"/>
        <v>58</v>
      </c>
    </row>
    <row r="14" spans="1:82" ht="74.25" customHeight="1">
      <c r="A14" s="821" t="str">
        <f>+PRESUPUESTO!B96</f>
        <v>15.4.</v>
      </c>
      <c r="B14" s="785" t="str">
        <f>+PRESUPUESTO!C96</f>
        <v>Suministro e instalación de pintura koraza  5 años para techos exteriores, dos manos, color a escoger. Incluye medidas inferiores a 1.00 m. Incluye: resanes en estuco plástico, encintado cielorrasos y todos los materiales y trabajos necesarios para su correcta ejecución.</v>
      </c>
      <c r="C14" s="814" t="str">
        <f>+PRESUPUESTO!D96</f>
        <v>M2</v>
      </c>
      <c r="D14" s="787"/>
      <c r="E14" s="402"/>
      <c r="F14" s="788">
        <f t="shared" si="16"/>
        <v>0</v>
      </c>
      <c r="G14" s="790"/>
      <c r="H14" s="787"/>
      <c r="I14" s="402"/>
      <c r="J14" s="788">
        <f t="shared" si="17"/>
        <v>0</v>
      </c>
      <c r="K14" s="788"/>
      <c r="L14" s="822"/>
      <c r="M14" s="823"/>
      <c r="N14" s="824">
        <f t="shared" si="18"/>
        <v>0</v>
      </c>
      <c r="O14" s="825">
        <f t="shared" si="54"/>
        <v>0</v>
      </c>
      <c r="P14" s="815"/>
      <c r="Q14" s="789"/>
      <c r="R14" s="788">
        <f t="shared" si="19"/>
        <v>0</v>
      </c>
      <c r="S14" s="790">
        <f t="shared" si="37"/>
        <v>0</v>
      </c>
      <c r="T14" s="417"/>
      <c r="U14" s="789"/>
      <c r="V14" s="788">
        <f t="shared" si="20"/>
        <v>0</v>
      </c>
      <c r="W14" s="790">
        <f t="shared" si="38"/>
        <v>0</v>
      </c>
      <c r="X14" s="815"/>
      <c r="Y14" s="789"/>
      <c r="Z14" s="788">
        <f t="shared" si="21"/>
        <v>0</v>
      </c>
      <c r="AA14" s="790">
        <f t="shared" si="39"/>
        <v>0</v>
      </c>
      <c r="AB14" s="417"/>
      <c r="AC14" s="789"/>
      <c r="AD14" s="788">
        <f t="shared" si="22"/>
        <v>0</v>
      </c>
      <c r="AE14" s="790">
        <f t="shared" si="40"/>
        <v>0</v>
      </c>
      <c r="AF14" s="787"/>
      <c r="AG14" s="789"/>
      <c r="AH14" s="788">
        <f t="shared" si="23"/>
        <v>0</v>
      </c>
      <c r="AI14" s="790"/>
      <c r="AJ14" s="787"/>
      <c r="AK14" s="789"/>
      <c r="AL14" s="788">
        <f t="shared" si="24"/>
        <v>0</v>
      </c>
      <c r="AM14" s="790"/>
      <c r="AN14" s="417"/>
      <c r="AO14" s="789"/>
      <c r="AP14" s="788">
        <f t="shared" si="25"/>
        <v>0</v>
      </c>
      <c r="AQ14" s="826">
        <f>+'AREAS Y PERIMETROS'!B17</f>
        <v>17.41</v>
      </c>
      <c r="AR14" s="421"/>
      <c r="AS14" s="827"/>
      <c r="AT14" s="828">
        <f t="shared" si="26"/>
        <v>0</v>
      </c>
      <c r="AU14" s="826">
        <f>+'AREAS Y PERIMETROS'!B18</f>
        <v>11.73</v>
      </c>
      <c r="AV14" s="829"/>
      <c r="AW14" s="422"/>
      <c r="AX14" s="827">
        <f t="shared" si="27"/>
        <v>0</v>
      </c>
      <c r="AY14" s="826"/>
      <c r="AZ14" s="829"/>
      <c r="BA14" s="422"/>
      <c r="BB14" s="827">
        <f t="shared" si="28"/>
        <v>0</v>
      </c>
      <c r="BC14" s="826">
        <f>+'AREAS Y PERIMETROS'!F27*1.1</f>
        <v>0</v>
      </c>
      <c r="BD14" s="829"/>
      <c r="BE14" s="402"/>
      <c r="BF14" s="789">
        <f t="shared" si="29"/>
        <v>0</v>
      </c>
      <c r="BG14" s="790">
        <f>+'AREAS Y PERIMETROS'!F27*1.1</f>
        <v>0</v>
      </c>
      <c r="BH14" s="787"/>
      <c r="BI14" s="402"/>
      <c r="BJ14" s="789">
        <f t="shared" si="30"/>
        <v>0</v>
      </c>
      <c r="BK14" s="790">
        <f>+'AREAS Y PERIMETROS'!J27*1.1</f>
        <v>0</v>
      </c>
      <c r="BL14" s="787"/>
      <c r="BM14" s="402"/>
      <c r="BN14" s="789">
        <f t="shared" si="31"/>
        <v>0</v>
      </c>
      <c r="BO14" s="790">
        <f>+'AREAS Y PERIMETROS'!J27*1.1</f>
        <v>0</v>
      </c>
      <c r="BP14" s="787"/>
      <c r="BQ14" s="402"/>
      <c r="BR14" s="789">
        <f t="shared" si="32"/>
        <v>0</v>
      </c>
      <c r="BS14" s="790">
        <f>+'AREAS Y PERIMETROS'!N27*1.1</f>
        <v>0</v>
      </c>
      <c r="BT14" s="787"/>
      <c r="BU14" s="402"/>
      <c r="BV14" s="789">
        <f t="shared" si="33"/>
        <v>0</v>
      </c>
      <c r="BW14" s="790">
        <f>+'AREAS Y PERIMETROS'!R27*1.1</f>
        <v>0</v>
      </c>
      <c r="BX14" s="787"/>
      <c r="BY14" s="402"/>
      <c r="BZ14" s="789">
        <f t="shared" si="34"/>
        <v>0</v>
      </c>
      <c r="CA14" s="790">
        <f>+'AREAS Y PERIMETROS'!V27*1.1</f>
        <v>0</v>
      </c>
      <c r="CB14" s="783">
        <f t="shared" si="53"/>
        <v>29</v>
      </c>
      <c r="CC14" s="783">
        <v>1.1000000000000001</v>
      </c>
      <c r="CD14" s="783">
        <f t="shared" si="35"/>
        <v>32</v>
      </c>
    </row>
    <row r="15" spans="1:82" ht="69" customHeight="1">
      <c r="A15" s="821" t="str">
        <f>+PRESUPUESTO!B97</f>
        <v>15.5.</v>
      </c>
      <c r="B15" s="785" t="str">
        <f>+PRESUPUESTO!C97</f>
        <v>Suministro e instalación de pintura esmalte mate superlavable exterior dos manos  (color a escoger), incluye medidas menores a 1.00 m. Incluye una mano de anticorrosivo gris o negro  y todos los materiales y trabajos necesarios para su correcta ejecución (Fachada metalica vertical)</v>
      </c>
      <c r="C15" s="814" t="str">
        <f>+PRESUPUESTO!D97</f>
        <v>M2</v>
      </c>
      <c r="D15" s="787"/>
      <c r="E15" s="402"/>
      <c r="F15" s="788">
        <f t="shared" si="16"/>
        <v>0</v>
      </c>
      <c r="G15" s="790"/>
      <c r="H15" s="787"/>
      <c r="I15" s="402"/>
      <c r="J15" s="788">
        <f t="shared" si="17"/>
        <v>0</v>
      </c>
      <c r="K15" s="788"/>
      <c r="L15" s="822"/>
      <c r="M15" s="823"/>
      <c r="N15" s="824">
        <f t="shared" si="18"/>
        <v>0</v>
      </c>
      <c r="O15" s="825"/>
      <c r="P15" s="815"/>
      <c r="Q15" s="789"/>
      <c r="R15" s="788">
        <f t="shared" si="19"/>
        <v>0</v>
      </c>
      <c r="S15" s="790"/>
      <c r="T15" s="417"/>
      <c r="U15" s="789"/>
      <c r="V15" s="788">
        <f t="shared" si="20"/>
        <v>0</v>
      </c>
      <c r="W15" s="790"/>
      <c r="X15" s="815"/>
      <c r="Y15" s="789"/>
      <c r="Z15" s="788">
        <f t="shared" si="21"/>
        <v>0</v>
      </c>
      <c r="AA15" s="790"/>
      <c r="AB15" s="417"/>
      <c r="AC15" s="789"/>
      <c r="AD15" s="788">
        <f t="shared" si="22"/>
        <v>0</v>
      </c>
      <c r="AE15" s="790"/>
      <c r="AF15" s="787"/>
      <c r="AG15" s="789"/>
      <c r="AH15" s="788">
        <f t="shared" si="23"/>
        <v>0</v>
      </c>
      <c r="AI15" s="790">
        <f t="shared" ref="AI15" si="55">+ROUND(AF15*AG15,2)</f>
        <v>0</v>
      </c>
      <c r="AJ15" s="787"/>
      <c r="AK15" s="789"/>
      <c r="AL15" s="788">
        <f t="shared" si="24"/>
        <v>0</v>
      </c>
      <c r="AM15" s="790">
        <f t="shared" ref="AM15" si="56">+ROUND(AJ15*AK15,2)</f>
        <v>0</v>
      </c>
      <c r="AN15" s="417"/>
      <c r="AO15" s="789"/>
      <c r="AP15" s="788">
        <f t="shared" si="25"/>
        <v>0</v>
      </c>
      <c r="AQ15" s="790"/>
      <c r="AR15" s="417"/>
      <c r="AS15" s="789"/>
      <c r="AT15" s="788">
        <f t="shared" si="26"/>
        <v>0</v>
      </c>
      <c r="AU15" s="790"/>
      <c r="AV15" s="787"/>
      <c r="AW15" s="402"/>
      <c r="AX15" s="789">
        <f t="shared" si="27"/>
        <v>0</v>
      </c>
      <c r="AY15" s="790"/>
      <c r="AZ15" s="787"/>
      <c r="BA15" s="402"/>
      <c r="BB15" s="789">
        <f t="shared" si="28"/>
        <v>0</v>
      </c>
      <c r="BC15" s="790"/>
      <c r="BD15" s="787"/>
      <c r="BE15" s="402"/>
      <c r="BF15" s="789">
        <f t="shared" si="29"/>
        <v>0</v>
      </c>
      <c r="BG15" s="790"/>
      <c r="BH15" s="787"/>
      <c r="BI15" s="402"/>
      <c r="BJ15" s="789">
        <f t="shared" si="30"/>
        <v>0</v>
      </c>
      <c r="BK15" s="790"/>
      <c r="BL15" s="787"/>
      <c r="BM15" s="402"/>
      <c r="BN15" s="789">
        <f t="shared" si="31"/>
        <v>0</v>
      </c>
      <c r="BO15" s="790"/>
      <c r="BP15" s="787">
        <f>31.19+16.72+13.21+7.23+17.99+9.48</f>
        <v>95.82</v>
      </c>
      <c r="BQ15" s="402">
        <v>1.95</v>
      </c>
      <c r="BR15" s="789">
        <f t="shared" si="32"/>
        <v>186.84899999999999</v>
      </c>
      <c r="BS15" s="790"/>
      <c r="BT15" s="787"/>
      <c r="BU15" s="402"/>
      <c r="BV15" s="789">
        <f t="shared" si="33"/>
        <v>0</v>
      </c>
      <c r="BW15" s="790"/>
      <c r="BX15" s="787"/>
      <c r="BY15" s="402"/>
      <c r="BZ15" s="789">
        <f t="shared" si="34"/>
        <v>0</v>
      </c>
      <c r="CA15" s="790"/>
      <c r="CB15" s="783">
        <f t="shared" si="53"/>
        <v>187</v>
      </c>
      <c r="CC15" s="783">
        <v>1.1000000000000001</v>
      </c>
      <c r="CD15" s="783">
        <f t="shared" si="35"/>
        <v>206</v>
      </c>
    </row>
    <row r="16" spans="1:82" ht="83.25" customHeight="1">
      <c r="A16" s="821" t="str">
        <f>+PRESUPUESTO!B98</f>
        <v>15.6.</v>
      </c>
      <c r="B16" s="785" t="str">
        <f>+PRESUPUESTO!C98</f>
        <v>Suministro e instalación de pintura esmalte mate superlavable exterior dos manos  (color a escoger) cuatro caras, incluye medidas menores a 1.00 m. Incluye una mano de anticorrosivo gris o verde  y todos los materiales y trabajos necesarios para su correcta ejecución (Pergola fachada principal y cerramiento anterior y posterior)</v>
      </c>
      <c r="C16" s="814" t="str">
        <f>+PRESUPUESTO!D98</f>
        <v>M2</v>
      </c>
      <c r="D16" s="787"/>
      <c r="E16" s="402"/>
      <c r="F16" s="788">
        <f t="shared" si="16"/>
        <v>0</v>
      </c>
      <c r="G16" s="790"/>
      <c r="H16" s="787"/>
      <c r="I16" s="402"/>
      <c r="J16" s="788">
        <f t="shared" si="17"/>
        <v>0</v>
      </c>
      <c r="K16" s="788"/>
      <c r="L16" s="822"/>
      <c r="M16" s="823"/>
      <c r="N16" s="824">
        <f t="shared" si="18"/>
        <v>0</v>
      </c>
      <c r="O16" s="825"/>
      <c r="P16" s="815"/>
      <c r="Q16" s="789"/>
      <c r="R16" s="788">
        <f t="shared" si="19"/>
        <v>0</v>
      </c>
      <c r="S16" s="790"/>
      <c r="T16" s="417"/>
      <c r="U16" s="789"/>
      <c r="V16" s="788">
        <f t="shared" si="20"/>
        <v>0</v>
      </c>
      <c r="W16" s="790"/>
      <c r="X16" s="815"/>
      <c r="Y16" s="789"/>
      <c r="Z16" s="788">
        <f t="shared" si="21"/>
        <v>0</v>
      </c>
      <c r="AA16" s="790"/>
      <c r="AB16" s="417"/>
      <c r="AC16" s="789"/>
      <c r="AD16" s="788">
        <f t="shared" si="22"/>
        <v>0</v>
      </c>
      <c r="AE16" s="790"/>
      <c r="AF16" s="787"/>
      <c r="AG16" s="789"/>
      <c r="AH16" s="788">
        <f t="shared" si="23"/>
        <v>0</v>
      </c>
      <c r="AI16" s="790">
        <f>+AF16*AG16</f>
        <v>0</v>
      </c>
      <c r="AJ16" s="787"/>
      <c r="AK16" s="789"/>
      <c r="AL16" s="788">
        <f t="shared" si="24"/>
        <v>0</v>
      </c>
      <c r="AM16" s="790">
        <f>+AJ16*AK16</f>
        <v>0</v>
      </c>
      <c r="AN16" s="417"/>
      <c r="AO16" s="789"/>
      <c r="AP16" s="788">
        <f t="shared" si="25"/>
        <v>0</v>
      </c>
      <c r="AQ16" s="790"/>
      <c r="AR16" s="417">
        <v>12.9</v>
      </c>
      <c r="AS16" s="789">
        <v>2.7</v>
      </c>
      <c r="AT16" s="788">
        <f t="shared" si="26"/>
        <v>34.830000000000005</v>
      </c>
      <c r="AU16" s="790"/>
      <c r="AV16" s="787"/>
      <c r="AW16" s="402"/>
      <c r="AX16" s="789">
        <f t="shared" si="27"/>
        <v>0</v>
      </c>
      <c r="AY16" s="790"/>
      <c r="AZ16" s="787"/>
      <c r="BA16" s="402"/>
      <c r="BB16" s="789">
        <f t="shared" si="28"/>
        <v>0</v>
      </c>
      <c r="BC16" s="790"/>
      <c r="BD16" s="787"/>
      <c r="BE16" s="402"/>
      <c r="BF16" s="789">
        <f t="shared" si="29"/>
        <v>0</v>
      </c>
      <c r="BG16" s="790"/>
      <c r="BH16" s="787"/>
      <c r="BI16" s="402"/>
      <c r="BJ16" s="789">
        <f t="shared" si="30"/>
        <v>0</v>
      </c>
      <c r="BK16" s="790"/>
      <c r="BL16" s="787"/>
      <c r="BM16" s="402"/>
      <c r="BN16" s="789">
        <f t="shared" si="31"/>
        <v>0</v>
      </c>
      <c r="BO16" s="790"/>
      <c r="BP16" s="787">
        <v>31.32</v>
      </c>
      <c r="BQ16" s="402">
        <v>2.4</v>
      </c>
      <c r="BR16" s="789">
        <f t="shared" si="32"/>
        <v>75.167999999999992</v>
      </c>
      <c r="BS16" s="790"/>
      <c r="BT16" s="787">
        <f>17.7+7.1+3.48</f>
        <v>28.279999999999998</v>
      </c>
      <c r="BU16" s="402">
        <v>2.1</v>
      </c>
      <c r="BV16" s="789">
        <f t="shared" si="33"/>
        <v>59.387999999999998</v>
      </c>
      <c r="BW16" s="790"/>
      <c r="BX16" s="787"/>
      <c r="BY16" s="402"/>
      <c r="BZ16" s="789">
        <f t="shared" si="34"/>
        <v>0</v>
      </c>
      <c r="CA16" s="790"/>
      <c r="CB16" s="783">
        <f t="shared" si="53"/>
        <v>169</v>
      </c>
      <c r="CC16" s="783">
        <v>1.1000000000000001</v>
      </c>
      <c r="CD16" s="783">
        <f t="shared" si="35"/>
        <v>186</v>
      </c>
    </row>
    <row r="17" spans="1:82" ht="63.75">
      <c r="A17" s="821" t="str">
        <f>+PRESUPUESTO!B99</f>
        <v>15.7.</v>
      </c>
      <c r="B17" s="785" t="str">
        <f>+PRESUPUESTO!C99</f>
        <v>Suministro e instalación de pintura esmalte mate superlavable exterior dos manos  (color a escoger) dos caras, incluye medidas menores a 1.00 m y pintura de marcos. Incluye una mano de anticorrosivo gris o  verde  y todos los materiales y trabajos necesarios para su correcta ejecución (Puertas metalicas)</v>
      </c>
      <c r="C17" s="814" t="str">
        <f>+PRESUPUESTO!D99</f>
        <v>M2</v>
      </c>
      <c r="D17" s="787">
        <f>0.8*2</f>
        <v>1.6</v>
      </c>
      <c r="E17" s="402">
        <v>2.34</v>
      </c>
      <c r="F17" s="788">
        <f t="shared" si="16"/>
        <v>3.7439999999999998</v>
      </c>
      <c r="G17" s="790"/>
      <c r="H17" s="787">
        <v>0.8</v>
      </c>
      <c r="I17" s="402">
        <v>2.34</v>
      </c>
      <c r="J17" s="788">
        <f t="shared" si="17"/>
        <v>1.8719999999999999</v>
      </c>
      <c r="K17" s="788"/>
      <c r="L17" s="787"/>
      <c r="M17" s="789"/>
      <c r="N17" s="788">
        <f t="shared" si="18"/>
        <v>0</v>
      </c>
      <c r="O17" s="790"/>
      <c r="P17" s="815">
        <v>0.9</v>
      </c>
      <c r="Q17" s="789">
        <v>2.34</v>
      </c>
      <c r="R17" s="402">
        <f t="shared" si="19"/>
        <v>2.1059999999999999</v>
      </c>
      <c r="S17" s="790"/>
      <c r="T17" s="417">
        <v>1.45</v>
      </c>
      <c r="U17" s="789">
        <v>2.34</v>
      </c>
      <c r="V17" s="788">
        <f t="shared" si="20"/>
        <v>3.3929999999999998</v>
      </c>
      <c r="W17" s="790"/>
      <c r="X17" s="815">
        <v>1.32</v>
      </c>
      <c r="Y17" s="789">
        <v>2.08</v>
      </c>
      <c r="Z17" s="402">
        <f t="shared" si="21"/>
        <v>2.7456</v>
      </c>
      <c r="AA17" s="790"/>
      <c r="AB17" s="417">
        <v>1.32</v>
      </c>
      <c r="AC17" s="789">
        <v>2.08</v>
      </c>
      <c r="AD17" s="788">
        <f t="shared" si="22"/>
        <v>2.7456</v>
      </c>
      <c r="AE17" s="790"/>
      <c r="AF17" s="787">
        <f>0.8*2</f>
        <v>1.6</v>
      </c>
      <c r="AG17" s="789">
        <v>2.3199999999999998</v>
      </c>
      <c r="AH17" s="788">
        <f t="shared" si="23"/>
        <v>3.7119999999999997</v>
      </c>
      <c r="AI17" s="790"/>
      <c r="AJ17" s="787"/>
      <c r="AK17" s="789"/>
      <c r="AL17" s="788">
        <f t="shared" si="24"/>
        <v>0</v>
      </c>
      <c r="AM17" s="790"/>
      <c r="AN17" s="417"/>
      <c r="AO17" s="789"/>
      <c r="AP17" s="788">
        <f t="shared" si="25"/>
        <v>0</v>
      </c>
      <c r="AQ17" s="790"/>
      <c r="AR17" s="417"/>
      <c r="AS17" s="789"/>
      <c r="AT17" s="788">
        <f t="shared" si="26"/>
        <v>0</v>
      </c>
      <c r="AU17" s="790"/>
      <c r="AV17" s="787"/>
      <c r="AW17" s="402"/>
      <c r="AX17" s="789">
        <f t="shared" si="27"/>
        <v>0</v>
      </c>
      <c r="AY17" s="790"/>
      <c r="AZ17" s="787"/>
      <c r="BA17" s="402"/>
      <c r="BB17" s="789">
        <f t="shared" si="28"/>
        <v>0</v>
      </c>
      <c r="BC17" s="790"/>
      <c r="BD17" s="787">
        <v>0.9</v>
      </c>
      <c r="BE17" s="402">
        <v>2.35</v>
      </c>
      <c r="BF17" s="789">
        <f t="shared" si="29"/>
        <v>2.1150000000000002</v>
      </c>
      <c r="BG17" s="790"/>
      <c r="BH17" s="787"/>
      <c r="BI17" s="402">
        <v>2.35</v>
      </c>
      <c r="BJ17" s="789">
        <f t="shared" si="30"/>
        <v>0</v>
      </c>
      <c r="BK17" s="790"/>
      <c r="BL17" s="787">
        <f>0.75*2</f>
        <v>1.5</v>
      </c>
      <c r="BM17" s="402">
        <v>2.35</v>
      </c>
      <c r="BN17" s="789">
        <f t="shared" si="31"/>
        <v>3.5250000000000004</v>
      </c>
      <c r="BO17" s="790"/>
      <c r="BP17" s="787"/>
      <c r="BQ17" s="402"/>
      <c r="BR17" s="789">
        <f t="shared" si="32"/>
        <v>0</v>
      </c>
      <c r="BS17" s="790"/>
      <c r="BT17" s="787"/>
      <c r="BU17" s="402"/>
      <c r="BV17" s="789">
        <f t="shared" si="33"/>
        <v>0</v>
      </c>
      <c r="BW17" s="790"/>
      <c r="BX17" s="787">
        <v>1.5</v>
      </c>
      <c r="BY17" s="402">
        <v>2.25</v>
      </c>
      <c r="BZ17" s="789">
        <f t="shared" si="34"/>
        <v>3.375</v>
      </c>
      <c r="CA17" s="790"/>
      <c r="CB17" s="783">
        <f t="shared" si="53"/>
        <v>29</v>
      </c>
      <c r="CC17" s="783">
        <v>1.1000000000000001</v>
      </c>
      <c r="CD17" s="783">
        <f t="shared" si="35"/>
        <v>32</v>
      </c>
    </row>
    <row r="18" spans="1:82" ht="25.5">
      <c r="A18" s="1044" t="str">
        <f>+PRESUPUESTO!B100</f>
        <v>15.8.</v>
      </c>
      <c r="B18" s="785" t="str">
        <f>+PRESUPUESTO!C100</f>
        <v>Conformación de media caña remate muro-cieloraso de 1 ". Incluye todos los materiales para su construcción</v>
      </c>
      <c r="C18" s="1045" t="str">
        <f>+PRESUPUESTO!D100</f>
        <v>ML</v>
      </c>
      <c r="D18" s="423">
        <f>+'AREAS Y PERIMETROS'!C14</f>
        <v>18.95</v>
      </c>
      <c r="E18" s="1046"/>
      <c r="F18" s="788"/>
      <c r="G18" s="790"/>
      <c r="H18" s="423">
        <f>+'AREAS Y PERIMETROS'!C13</f>
        <v>20.16</v>
      </c>
      <c r="I18" s="1046"/>
      <c r="J18" s="1047"/>
      <c r="K18" s="1047"/>
      <c r="L18" s="787">
        <f>+'AREAS Y PERIMETROS'!C12</f>
        <v>30.9</v>
      </c>
      <c r="M18" s="789"/>
      <c r="N18" s="788"/>
      <c r="O18" s="790"/>
      <c r="P18" s="424">
        <f>+'AREAS Y PERIMETROS'!C11</f>
        <v>12.23</v>
      </c>
      <c r="Q18" s="1048"/>
      <c r="R18" s="1046"/>
      <c r="S18" s="425"/>
      <c r="T18" s="1049">
        <f>+'AREAS Y PERIMETROS'!C10</f>
        <v>16.309999999999999</v>
      </c>
      <c r="U18" s="1048"/>
      <c r="V18" s="1047"/>
      <c r="W18" s="425"/>
      <c r="X18" s="424">
        <f>+'AREAS Y PERIMETROS'!C8</f>
        <v>7.39</v>
      </c>
      <c r="Y18" s="1048"/>
      <c r="Z18" s="1046"/>
      <c r="AA18" s="425"/>
      <c r="AB18" s="1049">
        <f>+'AREAS Y PERIMETROS'!C9</f>
        <v>8.85</v>
      </c>
      <c r="AC18" s="1048"/>
      <c r="AD18" s="1047"/>
      <c r="AE18" s="425"/>
      <c r="AF18" s="423"/>
      <c r="AG18" s="1048"/>
      <c r="AH18" s="1047"/>
      <c r="AI18" s="425"/>
      <c r="AJ18" s="423"/>
      <c r="AK18" s="1048"/>
      <c r="AL18" s="1047"/>
      <c r="AM18" s="425"/>
      <c r="AN18" s="1049"/>
      <c r="AO18" s="1048"/>
      <c r="AP18" s="1047"/>
      <c r="AQ18" s="425"/>
      <c r="AR18" s="1049"/>
      <c r="AS18" s="1048"/>
      <c r="AT18" s="1047"/>
      <c r="AU18" s="425"/>
      <c r="AV18" s="423"/>
      <c r="AW18" s="1046"/>
      <c r="AX18" s="789"/>
      <c r="AY18" s="425"/>
      <c r="AZ18" s="423"/>
      <c r="BA18" s="1046"/>
      <c r="BB18" s="1048"/>
      <c r="BC18" s="425"/>
      <c r="BD18" s="423"/>
      <c r="BE18" s="1046"/>
      <c r="BF18" s="1048"/>
      <c r="BG18" s="425"/>
      <c r="BH18" s="423"/>
      <c r="BI18" s="1046"/>
      <c r="BJ18" s="1048"/>
      <c r="BK18" s="425"/>
      <c r="BL18" s="423"/>
      <c r="BM18" s="1046"/>
      <c r="BN18" s="1048"/>
      <c r="BO18" s="425"/>
      <c r="BP18" s="423"/>
      <c r="BQ18" s="1046"/>
      <c r="BR18" s="1048"/>
      <c r="BS18" s="425"/>
      <c r="BT18" s="423"/>
      <c r="BU18" s="1046"/>
      <c r="BV18" s="1048"/>
      <c r="BW18" s="425"/>
      <c r="BX18" s="423"/>
      <c r="BY18" s="1046"/>
      <c r="BZ18" s="1048"/>
      <c r="CA18" s="425"/>
      <c r="CB18" s="783">
        <f>+D18+H18+L18+P18+T18+X18+AB18+AF18+AJ18+AN18+AR18+AV18+AZ18+BD18+BH18+BL18+BP18+BT18+BX18</f>
        <v>114.78999999999999</v>
      </c>
      <c r="CC18" s="783">
        <v>1.1000000000000001</v>
      </c>
      <c r="CD18" s="783">
        <f t="shared" ref="CD18" si="57">+ROUND(CB18*CC18,0)</f>
        <v>126</v>
      </c>
    </row>
    <row r="19" spans="1:82">
      <c r="A19" s="1050"/>
      <c r="B19" s="780"/>
      <c r="C19" s="1051"/>
      <c r="D19" s="423"/>
      <c r="E19" s="1046"/>
      <c r="F19" s="788">
        <f t="shared" si="16"/>
        <v>0</v>
      </c>
      <c r="G19" s="790"/>
      <c r="H19" s="423"/>
      <c r="I19" s="1046"/>
      <c r="J19" s="1047">
        <f t="shared" si="17"/>
        <v>0</v>
      </c>
      <c r="K19" s="1047"/>
      <c r="L19" s="787"/>
      <c r="M19" s="789"/>
      <c r="N19" s="788">
        <f t="shared" si="18"/>
        <v>0</v>
      </c>
      <c r="O19" s="790"/>
      <c r="P19" s="424"/>
      <c r="Q19" s="1048"/>
      <c r="R19" s="1046">
        <f t="shared" si="19"/>
        <v>0</v>
      </c>
      <c r="S19" s="425"/>
      <c r="T19" s="1049"/>
      <c r="U19" s="1048"/>
      <c r="V19" s="1047">
        <f t="shared" si="20"/>
        <v>0</v>
      </c>
      <c r="W19" s="425"/>
      <c r="X19" s="424"/>
      <c r="Y19" s="1048"/>
      <c r="Z19" s="1046">
        <f t="shared" si="21"/>
        <v>0</v>
      </c>
      <c r="AA19" s="425"/>
      <c r="AB19" s="1049"/>
      <c r="AC19" s="1048"/>
      <c r="AD19" s="1047">
        <f t="shared" si="22"/>
        <v>0</v>
      </c>
      <c r="AE19" s="425"/>
      <c r="AF19" s="423"/>
      <c r="AG19" s="1048"/>
      <c r="AH19" s="1047">
        <f t="shared" si="23"/>
        <v>0</v>
      </c>
      <c r="AI19" s="425"/>
      <c r="AJ19" s="423"/>
      <c r="AK19" s="1048"/>
      <c r="AL19" s="1047">
        <f t="shared" si="24"/>
        <v>0</v>
      </c>
      <c r="AM19" s="425"/>
      <c r="AN19" s="1049"/>
      <c r="AO19" s="1048"/>
      <c r="AP19" s="1047">
        <f t="shared" si="25"/>
        <v>0</v>
      </c>
      <c r="AQ19" s="425"/>
      <c r="AR19" s="1049"/>
      <c r="AS19" s="1048"/>
      <c r="AT19" s="1047">
        <f t="shared" si="26"/>
        <v>0</v>
      </c>
      <c r="AU19" s="425"/>
      <c r="AV19" s="423"/>
      <c r="AW19" s="1046"/>
      <c r="AX19" s="789">
        <f t="shared" si="27"/>
        <v>0</v>
      </c>
      <c r="AY19" s="425"/>
      <c r="AZ19" s="423"/>
      <c r="BA19" s="1046"/>
      <c r="BB19" s="1048">
        <f t="shared" si="28"/>
        <v>0</v>
      </c>
      <c r="BC19" s="425"/>
      <c r="BD19" s="423"/>
      <c r="BE19" s="1046"/>
      <c r="BF19" s="1048">
        <f t="shared" si="29"/>
        <v>0</v>
      </c>
      <c r="BG19" s="425"/>
      <c r="BH19" s="423"/>
      <c r="BI19" s="1046"/>
      <c r="BJ19" s="1048">
        <f t="shared" si="30"/>
        <v>0</v>
      </c>
      <c r="BK19" s="425"/>
      <c r="BL19" s="423"/>
      <c r="BM19" s="1046"/>
      <c r="BN19" s="1048">
        <f t="shared" si="31"/>
        <v>0</v>
      </c>
      <c r="BO19" s="425"/>
      <c r="BP19" s="423"/>
      <c r="BQ19" s="1046"/>
      <c r="BR19" s="1048">
        <f t="shared" si="32"/>
        <v>0</v>
      </c>
      <c r="BS19" s="425"/>
      <c r="BT19" s="423"/>
      <c r="BU19" s="1046"/>
      <c r="BV19" s="1048">
        <f t="shared" si="33"/>
        <v>0</v>
      </c>
      <c r="BW19" s="425"/>
      <c r="BX19" s="423"/>
      <c r="BY19" s="1046"/>
      <c r="BZ19" s="1048"/>
      <c r="CA19" s="425"/>
      <c r="CB19" s="783">
        <f>+F19+G19+J19+K19+N19+O19+R19+S19+V19+W19+Z19+AA19+AD19+AE19+AL19+AM19+AT19+AU19+AX19+AY19+BB19+BC19+BF19+BG19+BJ19+BK19+BR19+BS19+BV19+BW19+BZ19+CA19</f>
        <v>0</v>
      </c>
      <c r="CC19" s="783"/>
      <c r="CD19" s="783">
        <f t="shared" ref="CD19:CD20" si="58">+CB19*CC19</f>
        <v>0</v>
      </c>
    </row>
    <row r="20" spans="1:82" ht="15.75" thickBot="1">
      <c r="A20" s="262"/>
      <c r="B20" s="426" t="s">
        <v>103</v>
      </c>
      <c r="C20" s="427"/>
      <c r="D20" s="830"/>
      <c r="E20" s="831"/>
      <c r="F20" s="428"/>
      <c r="G20" s="831"/>
      <c r="H20" s="830"/>
      <c r="I20" s="831"/>
      <c r="J20" s="428"/>
      <c r="K20" s="428"/>
      <c r="L20" s="832"/>
      <c r="M20" s="833"/>
      <c r="N20" s="426"/>
      <c r="O20" s="834"/>
      <c r="P20" s="835"/>
      <c r="Q20" s="836"/>
      <c r="R20" s="831"/>
      <c r="S20" s="837"/>
      <c r="T20" s="838"/>
      <c r="U20" s="836"/>
      <c r="V20" s="428"/>
      <c r="W20" s="837"/>
      <c r="X20" s="835"/>
      <c r="Y20" s="836"/>
      <c r="Z20" s="831"/>
      <c r="AA20" s="837"/>
      <c r="AB20" s="838"/>
      <c r="AC20" s="836"/>
      <c r="AD20" s="428"/>
      <c r="AE20" s="837"/>
      <c r="AF20" s="830"/>
      <c r="AG20" s="836"/>
      <c r="AH20" s="428"/>
      <c r="AI20" s="837"/>
      <c r="AJ20" s="830"/>
      <c r="AK20" s="836"/>
      <c r="AL20" s="428"/>
      <c r="AM20" s="837"/>
      <c r="AN20" s="838"/>
      <c r="AO20" s="836"/>
      <c r="AP20" s="428"/>
      <c r="AQ20" s="837"/>
      <c r="AR20" s="838"/>
      <c r="AS20" s="836"/>
      <c r="AT20" s="428"/>
      <c r="AU20" s="837"/>
      <c r="AV20" s="830"/>
      <c r="AW20" s="831"/>
      <c r="AX20" s="836"/>
      <c r="AY20" s="837"/>
      <c r="AZ20" s="830"/>
      <c r="BA20" s="831"/>
      <c r="BB20" s="836"/>
      <c r="BC20" s="837"/>
      <c r="BD20" s="830"/>
      <c r="BE20" s="831"/>
      <c r="BF20" s="836"/>
      <c r="BG20" s="837"/>
      <c r="BH20" s="830"/>
      <c r="BI20" s="831"/>
      <c r="BJ20" s="836"/>
      <c r="BK20" s="837"/>
      <c r="BL20" s="830"/>
      <c r="BM20" s="831"/>
      <c r="BN20" s="836"/>
      <c r="BO20" s="837"/>
      <c r="BP20" s="830"/>
      <c r="BQ20" s="831"/>
      <c r="BR20" s="836"/>
      <c r="BS20" s="837"/>
      <c r="BT20" s="830"/>
      <c r="BU20" s="831"/>
      <c r="BV20" s="836"/>
      <c r="BW20" s="837"/>
      <c r="BX20" s="830"/>
      <c r="BY20" s="831"/>
      <c r="BZ20" s="836"/>
      <c r="CA20" s="837"/>
      <c r="CB20" s="429"/>
      <c r="CC20" s="429"/>
      <c r="CD20" s="429">
        <f t="shared" si="58"/>
        <v>0</v>
      </c>
    </row>
  </sheetData>
  <mergeCells count="22">
    <mergeCell ref="BX4:CA4"/>
    <mergeCell ref="AZ4:BC4"/>
    <mergeCell ref="AN4:AQ4"/>
    <mergeCell ref="BL4:BO4"/>
    <mergeCell ref="AF4:AI4"/>
    <mergeCell ref="BT4:BW4"/>
    <mergeCell ref="CC4:CC5"/>
    <mergeCell ref="CD4:CD5"/>
    <mergeCell ref="H4:K4"/>
    <mergeCell ref="D4:G4"/>
    <mergeCell ref="CB4:CB5"/>
    <mergeCell ref="T4:W4"/>
    <mergeCell ref="X4:AA4"/>
    <mergeCell ref="L4:O4"/>
    <mergeCell ref="P4:S4"/>
    <mergeCell ref="AJ4:AM4"/>
    <mergeCell ref="AR4:AU4"/>
    <mergeCell ref="AV4:AY4"/>
    <mergeCell ref="AB4:AE4"/>
    <mergeCell ref="BD4:BG4"/>
    <mergeCell ref="BH4:BK4"/>
    <mergeCell ref="BP4:BS4"/>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2:F39"/>
  <sheetViews>
    <sheetView topLeftCell="A3" workbookViewId="0">
      <pane ySplit="1500" topLeftCell="A8" activePane="bottomLeft"/>
      <selection activeCell="E6" sqref="E6"/>
      <selection pane="bottomLeft" activeCell="C12" sqref="C12"/>
    </sheetView>
  </sheetViews>
  <sheetFormatPr baseColWidth="10" defaultColWidth="11.42578125" defaultRowHeight="15"/>
  <cols>
    <col min="1" max="1" width="58.42578125" customWidth="1"/>
    <col min="3" max="3" width="14.42578125" customWidth="1"/>
    <col min="5" max="5" width="13.28515625" customWidth="1"/>
  </cols>
  <sheetData>
    <row r="2" spans="1:6">
      <c r="A2" s="244" t="s">
        <v>721</v>
      </c>
    </row>
    <row r="3" spans="1:6">
      <c r="A3" t="s">
        <v>685</v>
      </c>
      <c r="B3" s="245">
        <v>45386</v>
      </c>
    </row>
    <row r="5" spans="1:6">
      <c r="A5" s="839" t="s">
        <v>722</v>
      </c>
      <c r="B5" s="839" t="s">
        <v>723</v>
      </c>
      <c r="C5" s="839" t="s">
        <v>118</v>
      </c>
      <c r="D5" s="839" t="s">
        <v>724</v>
      </c>
      <c r="E5" s="839" t="s">
        <v>725</v>
      </c>
      <c r="F5" s="839"/>
    </row>
    <row r="6" spans="1:6">
      <c r="A6" s="840"/>
      <c r="B6" s="841"/>
      <c r="C6" s="841"/>
      <c r="D6" s="841"/>
      <c r="E6" s="841"/>
      <c r="F6" s="841"/>
    </row>
    <row r="7" spans="1:6">
      <c r="A7" s="842" t="s">
        <v>726</v>
      </c>
      <c r="B7" s="843">
        <v>11.21</v>
      </c>
      <c r="C7" s="843">
        <v>13.64</v>
      </c>
      <c r="D7" s="843"/>
      <c r="E7" s="843"/>
      <c r="F7" s="843"/>
    </row>
    <row r="8" spans="1:6">
      <c r="A8" s="842" t="s">
        <v>704</v>
      </c>
      <c r="B8" s="843">
        <v>3.28</v>
      </c>
      <c r="C8" s="843">
        <v>7.39</v>
      </c>
      <c r="D8" s="843"/>
      <c r="E8" s="843"/>
      <c r="F8" s="843"/>
    </row>
    <row r="9" spans="1:6">
      <c r="A9" s="842" t="s">
        <v>727</v>
      </c>
      <c r="B9" s="843">
        <v>4.71</v>
      </c>
      <c r="C9" s="843">
        <v>8.85</v>
      </c>
      <c r="D9" s="843"/>
      <c r="E9" s="843"/>
      <c r="F9" s="843"/>
    </row>
    <row r="10" spans="1:6">
      <c r="A10" s="842" t="s">
        <v>728</v>
      </c>
      <c r="B10" s="843">
        <v>15.8</v>
      </c>
      <c r="C10" s="843">
        <v>16.309999999999999</v>
      </c>
      <c r="D10" s="843"/>
      <c r="E10" s="843"/>
      <c r="F10" s="843"/>
    </row>
    <row r="11" spans="1:6">
      <c r="A11" s="842" t="s">
        <v>729</v>
      </c>
      <c r="B11" s="843">
        <v>8</v>
      </c>
      <c r="C11" s="843">
        <v>12.23</v>
      </c>
      <c r="D11" s="843"/>
      <c r="E11" s="843"/>
      <c r="F11" s="843"/>
    </row>
    <row r="12" spans="1:6">
      <c r="A12" s="842" t="s">
        <v>701</v>
      </c>
      <c r="B12" s="843">
        <v>35.1</v>
      </c>
      <c r="C12" s="843">
        <v>30.9</v>
      </c>
      <c r="D12" s="843"/>
      <c r="E12" s="843"/>
      <c r="F12" s="843"/>
    </row>
    <row r="13" spans="1:6">
      <c r="A13" s="842" t="s">
        <v>730</v>
      </c>
      <c r="B13" s="843">
        <v>23.27</v>
      </c>
      <c r="C13" s="843">
        <v>20.16</v>
      </c>
      <c r="D13" s="843"/>
      <c r="E13" s="843"/>
      <c r="F13" s="843"/>
    </row>
    <row r="14" spans="1:6">
      <c r="A14" s="842" t="s">
        <v>731</v>
      </c>
      <c r="B14" s="843">
        <v>11.68</v>
      </c>
      <c r="C14" s="843">
        <v>18.95</v>
      </c>
      <c r="D14" s="843"/>
      <c r="E14" s="843"/>
      <c r="F14" s="843"/>
    </row>
    <row r="15" spans="1:6">
      <c r="A15" s="842" t="s">
        <v>732</v>
      </c>
      <c r="B15" s="843">
        <v>16.100000000000001</v>
      </c>
      <c r="C15" s="843">
        <f>18.7*2</f>
        <v>37.4</v>
      </c>
      <c r="D15" s="843"/>
      <c r="E15" s="843">
        <v>2.35</v>
      </c>
      <c r="F15" s="843"/>
    </row>
    <row r="16" spans="1:6">
      <c r="A16" s="842" t="s">
        <v>733</v>
      </c>
      <c r="B16" s="843">
        <v>14.3</v>
      </c>
      <c r="C16" s="843">
        <v>15.16</v>
      </c>
      <c r="D16" s="843"/>
      <c r="E16" s="843"/>
      <c r="F16" s="843"/>
    </row>
    <row r="17" spans="1:6">
      <c r="A17" s="842" t="s">
        <v>734</v>
      </c>
      <c r="B17" s="843">
        <v>17.41</v>
      </c>
      <c r="C17" s="843"/>
      <c r="D17" s="843"/>
      <c r="E17" s="843"/>
      <c r="F17" s="843"/>
    </row>
    <row r="18" spans="1:6">
      <c r="A18" s="842" t="s">
        <v>735</v>
      </c>
      <c r="B18" s="843">
        <v>11.73</v>
      </c>
      <c r="C18" s="843"/>
      <c r="D18" s="843"/>
      <c r="E18" s="843"/>
      <c r="F18" s="843"/>
    </row>
    <row r="19" spans="1:6">
      <c r="A19" s="842" t="s">
        <v>736</v>
      </c>
      <c r="B19" s="843">
        <v>5.37</v>
      </c>
      <c r="C19" s="843"/>
      <c r="D19" s="843"/>
      <c r="E19" s="843"/>
      <c r="F19" s="843"/>
    </row>
    <row r="20" spans="1:6">
      <c r="A20" s="842" t="s">
        <v>737</v>
      </c>
      <c r="B20" s="843">
        <v>10.28</v>
      </c>
      <c r="C20" s="843"/>
      <c r="D20" s="843"/>
      <c r="E20" s="843"/>
      <c r="F20" s="843"/>
    </row>
    <row r="21" spans="1:6">
      <c r="A21" s="840" t="s">
        <v>738</v>
      </c>
      <c r="B21" s="841">
        <v>44.33</v>
      </c>
      <c r="C21" s="841">
        <v>18.420000000000002</v>
      </c>
      <c r="D21" s="841"/>
      <c r="E21" s="841"/>
      <c r="F21" s="841"/>
    </row>
    <row r="22" spans="1:6">
      <c r="A22" s="840" t="s">
        <v>739</v>
      </c>
      <c r="B22" s="841">
        <f>+C22*E22</f>
        <v>40.524000000000008</v>
      </c>
      <c r="C22" s="841">
        <v>18.420000000000002</v>
      </c>
      <c r="D22" s="841"/>
      <c r="E22" s="841">
        <v>2.2000000000000002</v>
      </c>
      <c r="F22" s="841">
        <v>2.2000000000000002</v>
      </c>
    </row>
    <row r="23" spans="1:6">
      <c r="A23" s="842" t="s">
        <v>740</v>
      </c>
      <c r="B23" s="843">
        <v>2.4900000000000002</v>
      </c>
      <c r="C23" s="843">
        <v>6.6</v>
      </c>
      <c r="D23" s="843"/>
      <c r="E23" s="843">
        <v>2.6</v>
      </c>
      <c r="F23" s="843"/>
    </row>
    <row r="24" spans="1:6">
      <c r="A24" s="842" t="s">
        <v>741</v>
      </c>
      <c r="B24" s="843">
        <v>2.4900000000000002</v>
      </c>
      <c r="C24" s="843">
        <v>6.6</v>
      </c>
      <c r="D24" s="843"/>
      <c r="E24" s="843">
        <v>2.6</v>
      </c>
      <c r="F24" s="843"/>
    </row>
    <row r="25" spans="1:6">
      <c r="A25" s="842" t="s">
        <v>742</v>
      </c>
      <c r="B25" s="843">
        <v>5.4</v>
      </c>
      <c r="C25" s="843">
        <v>10.26</v>
      </c>
      <c r="D25" s="843"/>
      <c r="E25" s="843">
        <v>2.6</v>
      </c>
      <c r="F25" s="843"/>
    </row>
    <row r="26" spans="1:6">
      <c r="A26" s="840" t="s">
        <v>743</v>
      </c>
      <c r="B26" s="841">
        <v>46.01</v>
      </c>
      <c r="C26" s="841"/>
      <c r="D26" s="841"/>
      <c r="E26" s="841"/>
      <c r="F26" s="841"/>
    </row>
    <row r="27" spans="1:6">
      <c r="A27" s="840" t="s">
        <v>744</v>
      </c>
      <c r="B27" s="841">
        <v>7.65</v>
      </c>
      <c r="C27" s="841"/>
      <c r="D27" s="841"/>
      <c r="E27" s="841"/>
      <c r="F27" s="841"/>
    </row>
    <row r="28" spans="1:6">
      <c r="A28" s="842" t="s">
        <v>745</v>
      </c>
      <c r="B28" s="843">
        <f>+C28*E28</f>
        <v>186.84899999999999</v>
      </c>
      <c r="C28" s="843">
        <f>31.19+16.72+13.21+7.23+17.99+9.48</f>
        <v>95.82</v>
      </c>
      <c r="D28" s="843"/>
      <c r="E28" s="843">
        <v>1.95</v>
      </c>
      <c r="F28" s="843"/>
    </row>
    <row r="29" spans="1:6">
      <c r="A29" s="842" t="s">
        <v>746</v>
      </c>
      <c r="B29" s="843">
        <f t="shared" ref="B29" si="0">+D29*E29</f>
        <v>16.029</v>
      </c>
      <c r="C29" s="843"/>
      <c r="D29" s="843">
        <f>2.04*3+1.05*2</f>
        <v>8.2200000000000006</v>
      </c>
      <c r="E29" s="843">
        <v>1.95</v>
      </c>
      <c r="F29" s="843"/>
    </row>
    <row r="30" spans="1:6">
      <c r="A30" s="842" t="s">
        <v>747</v>
      </c>
      <c r="B30" s="843">
        <f>+D30*E30</f>
        <v>53.319999999999993</v>
      </c>
      <c r="C30" s="843"/>
      <c r="D30" s="843">
        <f>17.7+7.1</f>
        <v>24.799999999999997</v>
      </c>
      <c r="E30" s="843">
        <v>2.15</v>
      </c>
      <c r="F30" s="843"/>
    </row>
    <row r="31" spans="1:6">
      <c r="A31" s="842" t="s">
        <v>748</v>
      </c>
      <c r="B31" s="843">
        <f t="shared" ref="B31" si="1">+D31*E31</f>
        <v>7.3079999999999998</v>
      </c>
      <c r="C31" s="843"/>
      <c r="D31" s="843">
        <v>3.48</v>
      </c>
      <c r="E31" s="843">
        <v>2.1</v>
      </c>
      <c r="F31" s="843"/>
    </row>
    <row r="32" spans="1:6">
      <c r="A32" s="842" t="s">
        <v>749</v>
      </c>
      <c r="B32" s="843">
        <f>+D32*E32</f>
        <v>152.69399999999999</v>
      </c>
      <c r="C32" s="843"/>
      <c r="D32" s="843">
        <v>84.83</v>
      </c>
      <c r="E32" s="843">
        <v>1.8</v>
      </c>
      <c r="F32" s="843"/>
    </row>
    <row r="33" spans="1:6">
      <c r="A33" s="842" t="s">
        <v>750</v>
      </c>
      <c r="B33" s="843">
        <f>+D33*E33</f>
        <v>86.54249999999999</v>
      </c>
      <c r="C33" s="843"/>
      <c r="D33" s="843">
        <f>13.45+8.75+9.12+(0.05*3)</f>
        <v>31.47</v>
      </c>
      <c r="E33" s="843">
        <v>2.75</v>
      </c>
      <c r="F33" s="843"/>
    </row>
    <row r="34" spans="1:6">
      <c r="A34" s="842" t="s">
        <v>751</v>
      </c>
      <c r="B34" s="843">
        <f t="shared" ref="B34:B35" si="2">+D34*E34</f>
        <v>27.599999999999998</v>
      </c>
      <c r="C34" s="843"/>
      <c r="D34" s="843">
        <v>18.399999999999999</v>
      </c>
      <c r="E34" s="843">
        <v>1.5</v>
      </c>
      <c r="F34" s="843"/>
    </row>
    <row r="35" spans="1:6">
      <c r="A35" s="842" t="s">
        <v>752</v>
      </c>
      <c r="B35" s="843">
        <f t="shared" si="2"/>
        <v>74.855999999999995</v>
      </c>
      <c r="C35" s="843"/>
      <c r="D35" s="843">
        <v>31.19</v>
      </c>
      <c r="E35" s="843">
        <v>2.4</v>
      </c>
      <c r="F35" s="843"/>
    </row>
    <row r="36" spans="1:6">
      <c r="A36" s="842" t="s">
        <v>753</v>
      </c>
      <c r="B36" s="843">
        <f>+C36</f>
        <v>38</v>
      </c>
      <c r="C36" s="843">
        <v>38</v>
      </c>
      <c r="D36" s="843"/>
      <c r="E36" s="843"/>
      <c r="F36" s="843"/>
    </row>
    <row r="37" spans="1:6">
      <c r="A37" s="842" t="s">
        <v>754</v>
      </c>
      <c r="B37" s="843">
        <f t="shared" ref="B37:B38" si="3">+D37*E37</f>
        <v>18.38</v>
      </c>
      <c r="C37" s="843"/>
      <c r="D37" s="843">
        <v>18.38</v>
      </c>
      <c r="E37" s="843">
        <v>1</v>
      </c>
      <c r="F37" s="843"/>
    </row>
    <row r="38" spans="1:6">
      <c r="A38" s="842" t="s">
        <v>755</v>
      </c>
      <c r="B38" s="843">
        <f t="shared" si="3"/>
        <v>5</v>
      </c>
      <c r="C38" s="843"/>
      <c r="D38" s="843">
        <v>5</v>
      </c>
      <c r="E38" s="843">
        <v>1</v>
      </c>
      <c r="F38" s="843"/>
    </row>
    <row r="39" spans="1:6">
      <c r="A39" s="842" t="s">
        <v>756</v>
      </c>
      <c r="B39" s="843">
        <v>206.94</v>
      </c>
      <c r="C39" s="843"/>
      <c r="D39" s="843"/>
      <c r="E39" s="843"/>
      <c r="F39" s="84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5"/>
  </sheetPr>
  <dimension ref="B1:AG162"/>
  <sheetViews>
    <sheetView showZeros="0" topLeftCell="B26" zoomScale="80" zoomScaleNormal="80" workbookViewId="0">
      <selection activeCell="C16" sqref="C16"/>
    </sheetView>
  </sheetViews>
  <sheetFormatPr baseColWidth="10" defaultColWidth="10.85546875" defaultRowHeight="12.75"/>
  <cols>
    <col min="1" max="1" width="3.42578125" style="12" customWidth="1"/>
    <col min="2" max="2" width="8.28515625" style="7" customWidth="1"/>
    <col min="3" max="3" width="73.7109375" style="1" customWidth="1"/>
    <col min="4" max="4" width="7" style="1" customWidth="1"/>
    <col min="5" max="5" width="13" style="13" customWidth="1"/>
    <col min="6" max="6" width="15.28515625" style="2" customWidth="1"/>
    <col min="7" max="7" width="19.28515625" style="2" customWidth="1"/>
    <col min="8" max="8" width="13.42578125" style="2" customWidth="1"/>
    <col min="9" max="10" width="19.28515625" style="2" customWidth="1"/>
    <col min="11" max="11" width="9.42578125" style="18" customWidth="1"/>
    <col min="12" max="12" width="15.7109375" style="18" customWidth="1"/>
    <col min="13" max="13" width="19.28515625" style="18" customWidth="1"/>
    <col min="14" max="14" width="8" style="46" customWidth="1"/>
    <col min="15" max="15" width="11.28515625" style="51" customWidth="1"/>
    <col min="16" max="16" width="11" style="51" customWidth="1"/>
    <col min="17" max="18" width="9.28515625" style="51" customWidth="1"/>
    <col min="19" max="19" width="11.42578125" style="54" customWidth="1"/>
    <col min="20" max="21" width="11.140625" style="51" customWidth="1"/>
    <col min="22" max="22" width="10.85546875" style="51" customWidth="1"/>
    <col min="23" max="23" width="12.28515625" style="51" customWidth="1"/>
    <col min="24" max="24" width="77" style="59" customWidth="1"/>
    <col min="25" max="25" width="10.85546875" style="46" customWidth="1"/>
    <col min="26" max="26" width="10.85546875" style="46"/>
    <col min="27" max="27" width="73.7109375" style="162" customWidth="1"/>
    <col min="28" max="28" width="7.42578125" style="47" customWidth="1"/>
    <col min="29" max="29" width="10.85546875" style="12"/>
    <col min="30" max="30" width="15.42578125" style="12" customWidth="1"/>
    <col min="31" max="33" width="21.42578125" style="12" customWidth="1"/>
    <col min="34" max="34" width="13.7109375" style="12" customWidth="1"/>
    <col min="35" max="16384" width="10.85546875" style="12"/>
  </cols>
  <sheetData>
    <row r="1" spans="2:28" ht="13.5" thickBot="1"/>
    <row r="2" spans="2:28" s="20" customFormat="1" ht="21" customHeight="1">
      <c r="B2" s="1165" t="s">
        <v>757</v>
      </c>
      <c r="C2" s="1166"/>
      <c r="D2" s="1166"/>
      <c r="E2" s="1166"/>
      <c r="F2" s="1166"/>
      <c r="G2" s="19"/>
      <c r="H2" s="23"/>
      <c r="I2" s="23"/>
      <c r="J2" s="23"/>
      <c r="K2" s="18"/>
      <c r="L2" s="18"/>
      <c r="M2" s="18"/>
      <c r="N2" s="159"/>
      <c r="O2" s="52"/>
      <c r="P2" s="52"/>
      <c r="Q2" s="52"/>
      <c r="R2" s="52"/>
      <c r="S2" s="53"/>
      <c r="T2" s="52"/>
      <c r="U2" s="52"/>
      <c r="V2" s="52"/>
      <c r="W2" s="52"/>
      <c r="X2" s="60"/>
      <c r="Y2" s="159"/>
      <c r="Z2" s="159"/>
      <c r="AA2" s="163"/>
      <c r="AB2" s="49"/>
    </row>
    <row r="3" spans="2:28" s="20" customFormat="1" ht="40.5" customHeight="1">
      <c r="B3" s="1167" t="e">
        <f>+#REF!</f>
        <v>#REF!</v>
      </c>
      <c r="C3" s="1168"/>
      <c r="D3" s="1168"/>
      <c r="E3" s="1168"/>
      <c r="F3" s="1168"/>
      <c r="G3" s="21"/>
      <c r="H3" s="276"/>
      <c r="I3" s="276"/>
      <c r="J3" s="276"/>
      <c r="K3" s="18"/>
      <c r="L3" s="18"/>
      <c r="M3" s="18"/>
      <c r="N3" s="1169"/>
      <c r="O3" s="1169"/>
      <c r="P3" s="1169"/>
      <c r="Q3" s="1169"/>
      <c r="R3" s="1169"/>
      <c r="S3" s="53"/>
      <c r="T3" s="52"/>
      <c r="U3" s="52"/>
      <c r="V3" s="52"/>
      <c r="W3" s="52"/>
      <c r="X3" s="60"/>
      <c r="Y3" s="159"/>
      <c r="Z3" s="159"/>
      <c r="AA3" s="163"/>
      <c r="AB3" s="49"/>
    </row>
    <row r="4" spans="2:28" s="20" customFormat="1" ht="5.25" customHeight="1" thickBot="1">
      <c r="B4" s="8"/>
      <c r="C4" s="22"/>
      <c r="D4" s="22"/>
      <c r="E4" s="23"/>
      <c r="F4" s="53"/>
      <c r="G4" s="24"/>
      <c r="H4" s="23"/>
      <c r="I4" s="23"/>
      <c r="J4" s="23"/>
      <c r="K4" s="18"/>
      <c r="L4" s="18"/>
      <c r="M4" s="18"/>
      <c r="N4" s="159"/>
      <c r="O4" s="52"/>
      <c r="P4" s="52"/>
      <c r="Q4" s="52"/>
      <c r="R4" s="52"/>
      <c r="S4" s="53"/>
      <c r="T4" s="52"/>
      <c r="U4" s="52"/>
      <c r="V4" s="52"/>
      <c r="W4" s="52"/>
      <c r="X4" s="60"/>
      <c r="Y4" s="159"/>
      <c r="Z4" s="159"/>
      <c r="AA4" s="163"/>
      <c r="AB4" s="49"/>
    </row>
    <row r="5" spans="2:28" ht="15">
      <c r="B5" s="1170" t="s">
        <v>758</v>
      </c>
      <c r="C5" s="1171"/>
      <c r="D5" s="1171"/>
      <c r="E5" s="1171"/>
      <c r="F5" s="1171"/>
      <c r="G5" s="25"/>
      <c r="H5" s="277"/>
      <c r="I5" s="1172" t="s">
        <v>759</v>
      </c>
      <c r="J5" s="1173"/>
    </row>
    <row r="6" spans="2:28" s="1" customFormat="1" ht="13.5" thickBot="1">
      <c r="B6" s="9"/>
      <c r="C6" s="26"/>
      <c r="D6" s="27"/>
      <c r="E6" s="28"/>
      <c r="F6" s="67"/>
      <c r="G6" s="29"/>
      <c r="H6" s="50"/>
      <c r="I6" s="1174"/>
      <c r="J6" s="1175"/>
      <c r="K6" s="293"/>
      <c r="L6" s="293"/>
      <c r="M6" s="293"/>
      <c r="N6" s="293"/>
      <c r="O6" s="293"/>
      <c r="P6" s="293"/>
      <c r="Q6" s="293"/>
      <c r="R6" s="293"/>
      <c r="S6" s="293"/>
      <c r="T6" s="293"/>
      <c r="U6" s="293"/>
      <c r="V6" s="293"/>
      <c r="W6" s="293"/>
      <c r="X6" s="293"/>
      <c r="Y6" s="293"/>
      <c r="Z6" s="13"/>
      <c r="AA6" s="164"/>
      <c r="AB6" s="50"/>
    </row>
    <row r="7" spans="2:28" ht="27.75" customHeight="1" thickBot="1">
      <c r="B7" s="10" t="s">
        <v>690</v>
      </c>
      <c r="C7" s="10" t="s">
        <v>86</v>
      </c>
      <c r="D7" s="10" t="s">
        <v>117</v>
      </c>
      <c r="E7" s="15" t="s">
        <v>691</v>
      </c>
      <c r="F7" s="68" t="s">
        <v>88</v>
      </c>
      <c r="G7" s="68" t="s">
        <v>760</v>
      </c>
      <c r="H7" s="278"/>
      <c r="I7" s="287" t="s">
        <v>761</v>
      </c>
      <c r="J7" s="285" t="s">
        <v>760</v>
      </c>
      <c r="K7" s="30"/>
      <c r="L7" s="1163" t="s">
        <v>762</v>
      </c>
      <c r="M7" s="1164"/>
      <c r="O7" s="56" t="s">
        <v>763</v>
      </c>
      <c r="P7" s="56" t="s">
        <v>764</v>
      </c>
      <c r="Q7" s="56" t="s">
        <v>724</v>
      </c>
      <c r="R7" s="56" t="s">
        <v>765</v>
      </c>
      <c r="S7" s="56" t="s">
        <v>117</v>
      </c>
      <c r="T7" s="56" t="s">
        <v>118</v>
      </c>
      <c r="U7" s="56" t="s">
        <v>697</v>
      </c>
      <c r="V7" s="56" t="s">
        <v>119</v>
      </c>
      <c r="W7" s="56" t="s">
        <v>103</v>
      </c>
      <c r="X7" s="61" t="s">
        <v>114</v>
      </c>
    </row>
    <row r="8" spans="2:28">
      <c r="B8" s="5" t="s">
        <v>766</v>
      </c>
      <c r="C8" s="6" t="s">
        <v>142</v>
      </c>
      <c r="D8" s="31"/>
      <c r="E8" s="14"/>
      <c r="F8" s="69"/>
      <c r="G8" s="70" t="e">
        <f>+SUBTOTAL(9,G9:G24)</f>
        <v>#REF!</v>
      </c>
      <c r="H8" s="279"/>
      <c r="I8" s="288"/>
      <c r="J8" s="286">
        <f>+SUBTOTAL(9,J9:J24)</f>
        <v>11434610</v>
      </c>
      <c r="L8" s="32"/>
      <c r="M8" s="33"/>
    </row>
    <row r="9" spans="2:28" ht="28.5" customHeight="1">
      <c r="B9" s="844" t="s">
        <v>767</v>
      </c>
      <c r="C9" s="845" t="s">
        <v>768</v>
      </c>
      <c r="D9" s="812" t="s">
        <v>145</v>
      </c>
      <c r="E9" s="846">
        <f t="shared" ref="E9:E14" si="0">+W9</f>
        <v>18</v>
      </c>
      <c r="F9" s="847" t="e">
        <f>+'EST.MERCADO.'!Z9</f>
        <v>#REF!</v>
      </c>
      <c r="G9" s="848" t="e">
        <f>+F9*E9</f>
        <v>#REF!</v>
      </c>
      <c r="H9" s="280"/>
      <c r="I9" s="849">
        <v>16104</v>
      </c>
      <c r="J9" s="430">
        <f>+E9*I9</f>
        <v>289872</v>
      </c>
      <c r="L9" s="850" t="e">
        <f t="shared" ref="L9:L40" si="1">+F9</f>
        <v>#REF!</v>
      </c>
      <c r="M9" s="851" t="e">
        <f t="shared" ref="M9:M40" si="2">+L9*E9</f>
        <v>#REF!</v>
      </c>
      <c r="N9" s="46" t="e">
        <f t="shared" ref="N9:N24" si="3">+IF(M9=G9,"ok","error")</f>
        <v>#REF!</v>
      </c>
      <c r="O9" s="246">
        <v>1.1000000000000001</v>
      </c>
      <c r="P9" s="58"/>
      <c r="Q9" s="246">
        <v>8.2200000000000006</v>
      </c>
      <c r="R9" s="246">
        <v>1.95</v>
      </c>
      <c r="S9" s="54">
        <f>+ROUND(O9*P9*Q9*R9,2)</f>
        <v>0</v>
      </c>
      <c r="W9" s="247">
        <f>+ROUND(O9*Q9*R9,0)</f>
        <v>18</v>
      </c>
    </row>
    <row r="10" spans="2:28" ht="28.5" customHeight="1">
      <c r="B10" s="844" t="s">
        <v>769</v>
      </c>
      <c r="C10" s="852" t="s">
        <v>770</v>
      </c>
      <c r="D10" s="812" t="s">
        <v>95</v>
      </c>
      <c r="E10" s="846">
        <f t="shared" si="0"/>
        <v>3</v>
      </c>
      <c r="F10" s="847" t="e">
        <f>+'EST.MERCADO.'!Z10</f>
        <v>#REF!</v>
      </c>
      <c r="G10" s="848" t="e">
        <f t="shared" ref="G10:G24" si="4">+F10*E10</f>
        <v>#REF!</v>
      </c>
      <c r="H10" s="280"/>
      <c r="I10" s="849">
        <v>149240</v>
      </c>
      <c r="J10" s="430">
        <f t="shared" ref="J10:J24" si="5">+E10*I10</f>
        <v>447720</v>
      </c>
      <c r="L10" s="850" t="e">
        <f t="shared" si="1"/>
        <v>#REF!</v>
      </c>
      <c r="M10" s="851" t="e">
        <f t="shared" si="2"/>
        <v>#REF!</v>
      </c>
      <c r="N10" s="46" t="e">
        <f t="shared" si="3"/>
        <v>#REF!</v>
      </c>
      <c r="O10" s="246">
        <v>1</v>
      </c>
      <c r="P10" s="58"/>
      <c r="S10" s="246">
        <v>3</v>
      </c>
      <c r="W10" s="247">
        <f>+ROUND(O10*S10,0)</f>
        <v>3</v>
      </c>
      <c r="X10" s="248" t="s">
        <v>771</v>
      </c>
    </row>
    <row r="11" spans="2:28" ht="31.5" customHeight="1">
      <c r="B11" s="844" t="s">
        <v>772</v>
      </c>
      <c r="C11" s="852" t="s">
        <v>773</v>
      </c>
      <c r="D11" s="812" t="s">
        <v>95</v>
      </c>
      <c r="E11" s="846">
        <f t="shared" si="0"/>
        <v>16</v>
      </c>
      <c r="F11" s="847" t="e">
        <f>+'EST.MERCADO.'!Z11</f>
        <v>#REF!</v>
      </c>
      <c r="G11" s="848" t="e">
        <f t="shared" si="4"/>
        <v>#REF!</v>
      </c>
      <c r="H11" s="280"/>
      <c r="I11" s="849">
        <v>48840</v>
      </c>
      <c r="J11" s="430">
        <f t="shared" si="5"/>
        <v>781440</v>
      </c>
      <c r="L11" s="850" t="e">
        <f t="shared" si="1"/>
        <v>#REF!</v>
      </c>
      <c r="M11" s="851" t="e">
        <f t="shared" si="2"/>
        <v>#REF!</v>
      </c>
      <c r="N11" s="46" t="e">
        <f t="shared" si="3"/>
        <v>#REF!</v>
      </c>
      <c r="O11" s="246">
        <v>1</v>
      </c>
      <c r="S11" s="246">
        <v>16</v>
      </c>
      <c r="W11" s="247">
        <f>+ROUND(O11*S11,0)</f>
        <v>16</v>
      </c>
      <c r="X11" s="257" t="s">
        <v>774</v>
      </c>
    </row>
    <row r="12" spans="2:28" ht="29.25" customHeight="1">
      <c r="B12" s="844" t="s">
        <v>775</v>
      </c>
      <c r="C12" s="852" t="s">
        <v>776</v>
      </c>
      <c r="D12" s="812" t="s">
        <v>145</v>
      </c>
      <c r="E12" s="846">
        <f t="shared" si="0"/>
        <v>15</v>
      </c>
      <c r="F12" s="847" t="e">
        <f>+'EST.MERCADO.'!Z12</f>
        <v>#REF!</v>
      </c>
      <c r="G12" s="848" t="e">
        <f t="shared" si="4"/>
        <v>#REF!</v>
      </c>
      <c r="H12" s="280"/>
      <c r="I12" s="849">
        <v>11679</v>
      </c>
      <c r="J12" s="430">
        <f t="shared" si="5"/>
        <v>175185</v>
      </c>
      <c r="L12" s="850" t="e">
        <f t="shared" si="1"/>
        <v>#REF!</v>
      </c>
      <c r="M12" s="851" t="e">
        <f t="shared" si="2"/>
        <v>#REF!</v>
      </c>
      <c r="N12" s="46" t="e">
        <f t="shared" si="3"/>
        <v>#REF!</v>
      </c>
      <c r="O12" s="246">
        <v>1.1000000000000001</v>
      </c>
      <c r="Q12" s="246">
        <f>(1.92*2+0.62*2)+(1.3*2+0.65*2)+(1.85*2+0.6*2)</f>
        <v>13.88</v>
      </c>
      <c r="R12" s="246">
        <v>1</v>
      </c>
      <c r="S12" s="246">
        <v>1</v>
      </c>
      <c r="W12" s="247">
        <f>+ROUND(O12*Q12*R12*S12,0)</f>
        <v>15</v>
      </c>
      <c r="X12" s="248" t="s">
        <v>777</v>
      </c>
    </row>
    <row r="13" spans="2:28" ht="45.75" customHeight="1">
      <c r="B13" s="844" t="s">
        <v>778</v>
      </c>
      <c r="C13" s="853" t="s">
        <v>779</v>
      </c>
      <c r="D13" s="812" t="s">
        <v>145</v>
      </c>
      <c r="E13" s="846">
        <f t="shared" si="0"/>
        <v>120</v>
      </c>
      <c r="F13" s="847" t="e">
        <f>+'EST.MERCADO.'!Z13</f>
        <v>#REF!</v>
      </c>
      <c r="G13" s="848" t="e">
        <f t="shared" si="4"/>
        <v>#REF!</v>
      </c>
      <c r="H13" s="280"/>
      <c r="I13" s="849">
        <v>17430</v>
      </c>
      <c r="J13" s="430">
        <f t="shared" si="5"/>
        <v>2091600</v>
      </c>
      <c r="L13" s="850" t="e">
        <f t="shared" si="1"/>
        <v>#REF!</v>
      </c>
      <c r="M13" s="851" t="e">
        <f t="shared" si="2"/>
        <v>#REF!</v>
      </c>
      <c r="N13" s="46" t="e">
        <f t="shared" si="3"/>
        <v>#REF!</v>
      </c>
      <c r="O13" s="246">
        <v>1.05</v>
      </c>
      <c r="U13" s="246">
        <f>+'AREAS Y PERIMETROS'!B33+'AREAS Y PERIMETROS'!B34</f>
        <v>114.14249999999998</v>
      </c>
      <c r="W13" s="247">
        <f>+ROUND(O13*U13,0)</f>
        <v>120</v>
      </c>
    </row>
    <row r="14" spans="2:28" ht="36.75" customHeight="1">
      <c r="B14" s="844" t="s">
        <v>780</v>
      </c>
      <c r="C14" s="1052" t="s">
        <v>781</v>
      </c>
      <c r="D14" s="812" t="s">
        <v>154</v>
      </c>
      <c r="E14" s="846">
        <f t="shared" si="0"/>
        <v>52</v>
      </c>
      <c r="F14" s="847" t="e">
        <f>+'EST.MERCADO.'!Z14</f>
        <v>#REF!</v>
      </c>
      <c r="G14" s="848" t="e">
        <f t="shared" si="4"/>
        <v>#REF!</v>
      </c>
      <c r="H14" s="280"/>
      <c r="I14" s="849">
        <v>19154</v>
      </c>
      <c r="J14" s="430">
        <f t="shared" si="5"/>
        <v>996008</v>
      </c>
      <c r="L14" s="850" t="e">
        <f t="shared" si="1"/>
        <v>#REF!</v>
      </c>
      <c r="M14" s="851" t="e">
        <f t="shared" si="2"/>
        <v>#REF!</v>
      </c>
      <c r="N14" s="46" t="e">
        <f t="shared" si="3"/>
        <v>#REF!</v>
      </c>
      <c r="O14" s="246">
        <v>1</v>
      </c>
      <c r="Q14" s="246">
        <f>+(3.64+3.52)*2+3.18+1.04+3.53+5.77+3.51+0.15+0.54+0.15+1.76+1.78+1.02+14.87</f>
        <v>51.62</v>
      </c>
      <c r="W14" s="247">
        <f>+ROUND(O14*Q14,0)</f>
        <v>52</v>
      </c>
      <c r="X14" s="248" t="s">
        <v>782</v>
      </c>
    </row>
    <row r="15" spans="2:28" ht="41.25" customHeight="1">
      <c r="B15" s="844" t="s">
        <v>783</v>
      </c>
      <c r="C15" s="852" t="s">
        <v>784</v>
      </c>
      <c r="D15" s="854" t="s">
        <v>145</v>
      </c>
      <c r="E15" s="846">
        <f t="shared" ref="E15:E20" si="6">+W15</f>
        <v>23</v>
      </c>
      <c r="F15" s="847" t="e">
        <f>+'EST.MERCADO.'!Z15</f>
        <v>#REF!</v>
      </c>
      <c r="G15" s="848" t="e">
        <f t="shared" si="4"/>
        <v>#REF!</v>
      </c>
      <c r="H15" s="280"/>
      <c r="I15" s="849">
        <v>57085</v>
      </c>
      <c r="J15" s="430">
        <f t="shared" si="5"/>
        <v>1312955</v>
      </c>
      <c r="L15" s="850" t="e">
        <f t="shared" si="1"/>
        <v>#REF!</v>
      </c>
      <c r="M15" s="851" t="e">
        <f t="shared" si="2"/>
        <v>#REF!</v>
      </c>
      <c r="N15" s="46" t="e">
        <f t="shared" si="3"/>
        <v>#REF!</v>
      </c>
      <c r="O15" s="246">
        <v>1.1000000000000001</v>
      </c>
      <c r="U15" s="246">
        <f>+'AREAS Y PERIMETROS'!B16+'AREAS Y PERIMETROS'!B12*0.2</f>
        <v>21.32</v>
      </c>
      <c r="W15" s="247">
        <f>+ROUND(O15*U15,0)</f>
        <v>23</v>
      </c>
      <c r="X15" s="248" t="s">
        <v>785</v>
      </c>
    </row>
    <row r="16" spans="2:28" ht="60" customHeight="1">
      <c r="B16" s="855" t="s">
        <v>786</v>
      </c>
      <c r="C16" s="856" t="s">
        <v>787</v>
      </c>
      <c r="D16" s="857" t="s">
        <v>145</v>
      </c>
      <c r="E16" s="846">
        <f t="shared" si="6"/>
        <v>130</v>
      </c>
      <c r="F16" s="858" t="e">
        <f>+'EST.MERCADO.'!Z16</f>
        <v>#REF!</v>
      </c>
      <c r="G16" s="859" t="e">
        <f t="shared" si="4"/>
        <v>#REF!</v>
      </c>
      <c r="H16" s="281"/>
      <c r="I16" s="860">
        <v>19540</v>
      </c>
      <c r="J16" s="431">
        <f t="shared" si="5"/>
        <v>2540200</v>
      </c>
      <c r="L16" s="850" t="e">
        <f t="shared" si="1"/>
        <v>#REF!</v>
      </c>
      <c r="M16" s="851" t="e">
        <f t="shared" si="2"/>
        <v>#REF!</v>
      </c>
      <c r="N16" s="46" t="e">
        <f t="shared" si="3"/>
        <v>#REF!</v>
      </c>
      <c r="O16" s="246">
        <v>1.1000000000000001</v>
      </c>
      <c r="U16" s="246">
        <f>+SUM('AREAS Y PERIMETROS'!$B$8:$B$15)</f>
        <v>117.94</v>
      </c>
      <c r="W16" s="247">
        <f>+ROUND(O16*U16,0)</f>
        <v>130</v>
      </c>
      <c r="X16" s="248" t="s">
        <v>788</v>
      </c>
    </row>
    <row r="17" spans="2:33" ht="21" customHeight="1">
      <c r="B17" s="855" t="s">
        <v>789</v>
      </c>
      <c r="C17" s="856" t="s">
        <v>790</v>
      </c>
      <c r="D17" s="857" t="s">
        <v>95</v>
      </c>
      <c r="E17" s="846">
        <f t="shared" si="6"/>
        <v>6</v>
      </c>
      <c r="F17" s="858" t="e">
        <f>+'EST.MERCADO.'!Z17</f>
        <v>#REF!</v>
      </c>
      <c r="G17" s="859" t="e">
        <f t="shared" si="4"/>
        <v>#REF!</v>
      </c>
      <c r="H17" s="281"/>
      <c r="I17" s="860">
        <v>24420</v>
      </c>
      <c r="J17" s="431">
        <f t="shared" si="5"/>
        <v>146520</v>
      </c>
      <c r="L17" s="850" t="e">
        <f t="shared" si="1"/>
        <v>#REF!</v>
      </c>
      <c r="M17" s="851" t="e">
        <f t="shared" si="2"/>
        <v>#REF!</v>
      </c>
      <c r="N17" s="46" t="e">
        <f t="shared" si="3"/>
        <v>#REF!</v>
      </c>
      <c r="O17" s="246">
        <v>1</v>
      </c>
      <c r="S17" s="246">
        <v>6</v>
      </c>
      <c r="W17" s="247">
        <f>+ROUND(O17*S17,0)</f>
        <v>6</v>
      </c>
      <c r="X17" s="248" t="s">
        <v>791</v>
      </c>
    </row>
    <row r="18" spans="2:33" ht="21" customHeight="1">
      <c r="B18" s="855" t="s">
        <v>792</v>
      </c>
      <c r="C18" s="856" t="s">
        <v>793</v>
      </c>
      <c r="D18" s="857" t="s">
        <v>95</v>
      </c>
      <c r="E18" s="846">
        <f t="shared" si="6"/>
        <v>2</v>
      </c>
      <c r="F18" s="858" t="e">
        <f>+'EST.MERCADO.'!Z18</f>
        <v>#REF!</v>
      </c>
      <c r="G18" s="859" t="e">
        <f t="shared" si="4"/>
        <v>#REF!</v>
      </c>
      <c r="H18" s="281"/>
      <c r="I18" s="860">
        <v>24420</v>
      </c>
      <c r="J18" s="431">
        <f t="shared" si="5"/>
        <v>48840</v>
      </c>
      <c r="L18" s="850" t="e">
        <f t="shared" si="1"/>
        <v>#REF!</v>
      </c>
      <c r="M18" s="851" t="e">
        <f t="shared" si="2"/>
        <v>#REF!</v>
      </c>
      <c r="N18" s="46" t="e">
        <f t="shared" si="3"/>
        <v>#REF!</v>
      </c>
      <c r="O18" s="246">
        <v>1</v>
      </c>
      <c r="S18" s="246">
        <v>2</v>
      </c>
      <c r="W18" s="247">
        <f>+ROUND(O18*S18,0)</f>
        <v>2</v>
      </c>
      <c r="X18" s="248" t="s">
        <v>794</v>
      </c>
    </row>
    <row r="19" spans="2:33" ht="35.25" customHeight="1">
      <c r="B19" s="844" t="s">
        <v>795</v>
      </c>
      <c r="C19" s="845" t="s">
        <v>796</v>
      </c>
      <c r="D19" s="854" t="s">
        <v>145</v>
      </c>
      <c r="E19" s="846">
        <f t="shared" si="6"/>
        <v>38</v>
      </c>
      <c r="F19" s="847" t="e">
        <f>+'EST.MERCADO.'!Z19</f>
        <v>#REF!</v>
      </c>
      <c r="G19" s="848" t="e">
        <f t="shared" si="4"/>
        <v>#REF!</v>
      </c>
      <c r="H19" s="280"/>
      <c r="I19" s="849">
        <v>14452</v>
      </c>
      <c r="J19" s="430">
        <f t="shared" si="5"/>
        <v>549176</v>
      </c>
      <c r="L19" s="850" t="e">
        <f t="shared" si="1"/>
        <v>#REF!</v>
      </c>
      <c r="M19" s="851" t="e">
        <f t="shared" si="2"/>
        <v>#REF!</v>
      </c>
      <c r="N19" s="46" t="e">
        <f t="shared" si="3"/>
        <v>#REF!</v>
      </c>
      <c r="O19" s="246">
        <v>1</v>
      </c>
      <c r="U19" s="246">
        <f>+'AREAS Y PERIMETROS'!B36</f>
        <v>38</v>
      </c>
      <c r="W19" s="247">
        <f>+ROUND(O19*U19,0)</f>
        <v>38</v>
      </c>
      <c r="X19" s="248" t="s">
        <v>797</v>
      </c>
    </row>
    <row r="20" spans="2:33" ht="35.25" customHeight="1">
      <c r="B20" s="844" t="s">
        <v>798</v>
      </c>
      <c r="C20" s="852" t="s">
        <v>799</v>
      </c>
      <c r="D20" s="854" t="s">
        <v>145</v>
      </c>
      <c r="E20" s="846">
        <f t="shared" si="6"/>
        <v>16</v>
      </c>
      <c r="F20" s="847" t="e">
        <f>+'EST.MERCADO.'!Z20</f>
        <v>#REF!</v>
      </c>
      <c r="G20" s="848" t="e">
        <f t="shared" si="4"/>
        <v>#REF!</v>
      </c>
      <c r="H20" s="280"/>
      <c r="I20" s="849">
        <v>4459</v>
      </c>
      <c r="J20" s="430">
        <f t="shared" si="5"/>
        <v>71344</v>
      </c>
      <c r="L20" s="850" t="e">
        <f t="shared" si="1"/>
        <v>#REF!</v>
      </c>
      <c r="M20" s="851" t="e">
        <f t="shared" si="2"/>
        <v>#REF!</v>
      </c>
      <c r="N20" s="46" t="e">
        <f t="shared" si="3"/>
        <v>#REF!</v>
      </c>
      <c r="O20" s="246">
        <v>1.1000000000000001</v>
      </c>
      <c r="Q20" s="246">
        <f>+'AREAS Y PERIMETROS'!B23+'AREAS Y PERIMETROS'!B24</f>
        <v>4.9800000000000004</v>
      </c>
      <c r="R20" s="246">
        <v>2.87</v>
      </c>
      <c r="U20" s="246">
        <v>0</v>
      </c>
      <c r="V20" s="246"/>
      <c r="W20" s="247">
        <f>+ROUND(((Q20*R20)*O20),0)</f>
        <v>16</v>
      </c>
      <c r="X20" s="248" t="s">
        <v>800</v>
      </c>
    </row>
    <row r="21" spans="2:33" ht="35.25" customHeight="1">
      <c r="B21" s="844" t="s">
        <v>801</v>
      </c>
      <c r="C21" s="852" t="s">
        <v>802</v>
      </c>
      <c r="D21" s="812" t="s">
        <v>145</v>
      </c>
      <c r="E21" s="846">
        <f>+PINTURA!CB8</f>
        <v>110</v>
      </c>
      <c r="F21" s="847" t="e">
        <f>+'EST.MERCADO.'!Z21</f>
        <v>#REF!</v>
      </c>
      <c r="G21" s="848" t="e">
        <f t="shared" si="4"/>
        <v>#REF!</v>
      </c>
      <c r="H21" s="280"/>
      <c r="I21" s="849">
        <v>7005</v>
      </c>
      <c r="J21" s="430">
        <f t="shared" si="5"/>
        <v>770550</v>
      </c>
      <c r="L21" s="850" t="e">
        <f t="shared" si="1"/>
        <v>#REF!</v>
      </c>
      <c r="M21" s="851" t="e">
        <f t="shared" si="2"/>
        <v>#REF!</v>
      </c>
      <c r="N21" s="46" t="e">
        <f t="shared" si="3"/>
        <v>#REF!</v>
      </c>
      <c r="W21" s="54"/>
      <c r="X21" s="248" t="s">
        <v>803</v>
      </c>
    </row>
    <row r="22" spans="2:33" ht="35.25" customHeight="1">
      <c r="B22" s="844" t="s">
        <v>804</v>
      </c>
      <c r="C22" s="852" t="s">
        <v>805</v>
      </c>
      <c r="D22" s="812" t="s">
        <v>145</v>
      </c>
      <c r="E22" s="846">
        <f>+W22</f>
        <v>1</v>
      </c>
      <c r="F22" s="847" t="e">
        <f>+'EST.MERCADO.'!Z22</f>
        <v>#REF!</v>
      </c>
      <c r="G22" s="848" t="e">
        <f t="shared" si="4"/>
        <v>#REF!</v>
      </c>
      <c r="H22" s="280"/>
      <c r="I22" s="849">
        <v>15064</v>
      </c>
      <c r="J22" s="430">
        <f t="shared" si="5"/>
        <v>15064</v>
      </c>
      <c r="L22" s="850" t="e">
        <f t="shared" si="1"/>
        <v>#REF!</v>
      </c>
      <c r="M22" s="851" t="e">
        <f t="shared" si="2"/>
        <v>#REF!</v>
      </c>
      <c r="N22" s="46" t="e">
        <f t="shared" si="3"/>
        <v>#REF!</v>
      </c>
      <c r="O22" s="246">
        <v>1.1000000000000001</v>
      </c>
      <c r="Q22" s="246">
        <v>1.2</v>
      </c>
      <c r="R22" s="246">
        <v>0.4</v>
      </c>
      <c r="U22" s="246">
        <f>1*0.67</f>
        <v>0.67</v>
      </c>
      <c r="W22" s="247">
        <f>+ROUND(Q22*R22+U22,0)</f>
        <v>1</v>
      </c>
      <c r="X22" s="248" t="s">
        <v>806</v>
      </c>
    </row>
    <row r="23" spans="2:33" ht="45.75" customHeight="1">
      <c r="B23" s="844" t="s">
        <v>807</v>
      </c>
      <c r="C23" s="852" t="s">
        <v>808</v>
      </c>
      <c r="D23" s="812" t="s">
        <v>145</v>
      </c>
      <c r="E23" s="846">
        <f>+PINTURA!CB9</f>
        <v>74</v>
      </c>
      <c r="F23" s="847" t="e">
        <f>+'EST.MERCADO.'!Z23</f>
        <v>#REF!</v>
      </c>
      <c r="G23" s="848" t="e">
        <f t="shared" si="4"/>
        <v>#REF!</v>
      </c>
      <c r="H23" s="280"/>
      <c r="I23" s="849">
        <v>15347</v>
      </c>
      <c r="J23" s="430">
        <f t="shared" si="5"/>
        <v>1135678</v>
      </c>
      <c r="L23" s="850" t="e">
        <f t="shared" si="1"/>
        <v>#REF!</v>
      </c>
      <c r="M23" s="851" t="e">
        <f t="shared" si="2"/>
        <v>#REF!</v>
      </c>
      <c r="N23" s="46" t="e">
        <f t="shared" si="3"/>
        <v>#REF!</v>
      </c>
      <c r="O23" s="246">
        <v>1.1000000000000001</v>
      </c>
      <c r="U23" s="246">
        <f>+'AREAS Y PERIMETROS'!B12+'AREAS Y PERIMETROS'!B15</f>
        <v>51.2</v>
      </c>
      <c r="W23" s="247">
        <f>+ROUND(O23*U23,0)</f>
        <v>56</v>
      </c>
      <c r="X23" s="248" t="s">
        <v>809</v>
      </c>
    </row>
    <row r="24" spans="2:33" ht="34.5" customHeight="1">
      <c r="B24" s="844" t="s">
        <v>810</v>
      </c>
      <c r="C24" s="852" t="s">
        <v>811</v>
      </c>
      <c r="D24" s="812" t="s">
        <v>95</v>
      </c>
      <c r="E24" s="846">
        <f>+W24</f>
        <v>1</v>
      </c>
      <c r="F24" s="847" t="e">
        <f>+'EST.MERCADO.'!Z24</f>
        <v>#REF!</v>
      </c>
      <c r="G24" s="848" t="e">
        <f t="shared" si="4"/>
        <v>#REF!</v>
      </c>
      <c r="H24" s="280"/>
      <c r="I24" s="849">
        <v>62458</v>
      </c>
      <c r="J24" s="430">
        <f t="shared" si="5"/>
        <v>62458</v>
      </c>
      <c r="L24" s="850" t="e">
        <f t="shared" si="1"/>
        <v>#REF!</v>
      </c>
      <c r="M24" s="851" t="e">
        <f t="shared" si="2"/>
        <v>#REF!</v>
      </c>
      <c r="N24" s="46" t="e">
        <f t="shared" si="3"/>
        <v>#REF!</v>
      </c>
      <c r="O24" s="246">
        <v>1</v>
      </c>
      <c r="T24" s="246">
        <v>1</v>
      </c>
      <c r="W24" s="247">
        <f>+ROUND(O24*T24,0)</f>
        <v>1</v>
      </c>
      <c r="X24" s="248" t="s">
        <v>700</v>
      </c>
    </row>
    <row r="25" spans="2:33">
      <c r="B25" s="861" t="s">
        <v>812</v>
      </c>
      <c r="C25" s="862" t="s">
        <v>813</v>
      </c>
      <c r="D25" s="863"/>
      <c r="E25" s="864"/>
      <c r="F25" s="865"/>
      <c r="G25" s="866" t="e">
        <f>+SUBTOTAL(9,G26:G27)</f>
        <v>#REF!</v>
      </c>
      <c r="H25" s="279"/>
      <c r="I25" s="867"/>
      <c r="J25" s="432">
        <f>+SUBTOTAL(9,J26:J27)</f>
        <v>1394840</v>
      </c>
      <c r="L25" s="850">
        <f t="shared" si="1"/>
        <v>0</v>
      </c>
      <c r="M25" s="851">
        <f t="shared" si="2"/>
        <v>0</v>
      </c>
      <c r="Y25" s="48"/>
      <c r="Z25" s="48"/>
    </row>
    <row r="26" spans="2:33" ht="31.5" customHeight="1">
      <c r="B26" s="844" t="s">
        <v>814</v>
      </c>
      <c r="C26" s="816" t="s">
        <v>815</v>
      </c>
      <c r="D26" s="812" t="s">
        <v>686</v>
      </c>
      <c r="E26" s="846">
        <f>+W26</f>
        <v>8</v>
      </c>
      <c r="F26" s="847" t="e">
        <f>+'EST.MERCADO.'!Z26</f>
        <v>#REF!</v>
      </c>
      <c r="G26" s="848" t="e">
        <f t="shared" ref="G26:G27" si="7">+F26*E26</f>
        <v>#REF!</v>
      </c>
      <c r="H26" s="280"/>
      <c r="I26" s="849">
        <v>63778</v>
      </c>
      <c r="J26" s="430">
        <f t="shared" ref="J26:J27" si="8">+E26*I26</f>
        <v>510224</v>
      </c>
      <c r="L26" s="850" t="e">
        <f t="shared" si="1"/>
        <v>#REF!</v>
      </c>
      <c r="M26" s="851" t="e">
        <f t="shared" si="2"/>
        <v>#REF!</v>
      </c>
      <c r="N26" s="46" t="e">
        <f>+IF(M26=G26,"ok","error")</f>
        <v>#REF!</v>
      </c>
      <c r="O26" s="246">
        <v>1.1000000000000001</v>
      </c>
      <c r="P26" s="246">
        <v>0.3</v>
      </c>
      <c r="Q26" s="246">
        <v>3</v>
      </c>
      <c r="R26" s="246">
        <v>0.7</v>
      </c>
      <c r="S26" s="246">
        <v>2</v>
      </c>
      <c r="T26" s="246"/>
      <c r="U26" s="246">
        <f>+'AREAS Y PERIMETROS'!B37+'AREAS Y PERIMETROS'!B38</f>
        <v>23.38</v>
      </c>
      <c r="V26" s="246">
        <v>0.25</v>
      </c>
      <c r="W26" s="247">
        <f>+ROUND(O26*((P26*Q26*R26*S26)+(U26*V26)),0)</f>
        <v>8</v>
      </c>
      <c r="X26" s="248" t="s">
        <v>816</v>
      </c>
      <c r="Y26" s="48"/>
      <c r="Z26" s="48"/>
    </row>
    <row r="27" spans="2:33" ht="29.1" customHeight="1">
      <c r="B27" s="844" t="s">
        <v>817</v>
      </c>
      <c r="C27" s="868" t="s">
        <v>818</v>
      </c>
      <c r="D27" s="812" t="s">
        <v>686</v>
      </c>
      <c r="E27" s="846">
        <f>+W27</f>
        <v>6</v>
      </c>
      <c r="F27" s="847" t="e">
        <f>+'EST.MERCADO.'!Z27</f>
        <v>#REF!</v>
      </c>
      <c r="G27" s="848" t="e">
        <f t="shared" si="7"/>
        <v>#REF!</v>
      </c>
      <c r="H27" s="280"/>
      <c r="I27" s="849">
        <v>147436</v>
      </c>
      <c r="J27" s="430">
        <f t="shared" si="8"/>
        <v>884616</v>
      </c>
      <c r="L27" s="850" t="e">
        <f t="shared" si="1"/>
        <v>#REF!</v>
      </c>
      <c r="M27" s="851" t="e">
        <f t="shared" si="2"/>
        <v>#REF!</v>
      </c>
      <c r="N27" s="46" t="e">
        <f>+IF(M27=G27,"ok","error")</f>
        <v>#REF!</v>
      </c>
      <c r="O27" s="246">
        <v>1.1000000000000001</v>
      </c>
      <c r="P27" s="246">
        <v>0.3</v>
      </c>
      <c r="Q27" s="246">
        <v>3</v>
      </c>
      <c r="R27" s="246">
        <v>0.7</v>
      </c>
      <c r="S27" s="246">
        <v>2</v>
      </c>
      <c r="T27" s="246"/>
      <c r="U27" s="246">
        <f>+'AREAS Y PERIMETROS'!B37+'AREAS Y PERIMETROS'!B38</f>
        <v>23.38</v>
      </c>
      <c r="V27" s="246">
        <f>+V26-0.08</f>
        <v>0.16999999999999998</v>
      </c>
      <c r="W27" s="247">
        <f>+ROUND(O27*((P27*Q27*R27*S27)+(U27*V27)),0)</f>
        <v>6</v>
      </c>
      <c r="X27" s="248" t="s">
        <v>816</v>
      </c>
      <c r="Y27" s="48"/>
      <c r="Z27" s="48"/>
    </row>
    <row r="28" spans="2:33">
      <c r="B28" s="861">
        <v>3</v>
      </c>
      <c r="C28" s="862" t="s">
        <v>819</v>
      </c>
      <c r="D28" s="863"/>
      <c r="E28" s="864"/>
      <c r="F28" s="865"/>
      <c r="G28" s="866" t="e">
        <f>+SUBTOTAL(9,G29:G38)</f>
        <v>#REF!</v>
      </c>
      <c r="H28" s="279"/>
      <c r="I28" s="867"/>
      <c r="J28" s="432">
        <f>+SUBTOTAL(9,J29:J38)</f>
        <v>2957137</v>
      </c>
      <c r="L28" s="850">
        <f t="shared" si="1"/>
        <v>0</v>
      </c>
      <c r="M28" s="851">
        <f t="shared" si="2"/>
        <v>0</v>
      </c>
      <c r="Y28" s="48"/>
      <c r="Z28" s="48"/>
    </row>
    <row r="29" spans="2:33" ht="40.5" customHeight="1">
      <c r="B29" s="844" t="s">
        <v>820</v>
      </c>
      <c r="C29" s="869" t="s">
        <v>821</v>
      </c>
      <c r="D29" s="854" t="s">
        <v>95</v>
      </c>
      <c r="E29" s="846">
        <f t="shared" ref="E29:E35" si="9">+W29</f>
        <v>3</v>
      </c>
      <c r="F29" s="847" t="e">
        <f>+'EST.MERCADO.'!Z29</f>
        <v>#REF!</v>
      </c>
      <c r="G29" s="848" t="e">
        <f t="shared" ref="G29:G38" si="10">+F29*E29</f>
        <v>#REF!</v>
      </c>
      <c r="H29" s="280"/>
      <c r="I29" s="849">
        <v>90120</v>
      </c>
      <c r="J29" s="430">
        <f t="shared" ref="J29:J38" si="11">+E29*I29</f>
        <v>270360</v>
      </c>
      <c r="L29" s="850" t="e">
        <f t="shared" si="1"/>
        <v>#REF!</v>
      </c>
      <c r="M29" s="851" t="e">
        <f t="shared" si="2"/>
        <v>#REF!</v>
      </c>
      <c r="N29" s="46" t="e">
        <f t="shared" ref="N29:N42" si="12">+IF(M29=G29,"ok","error")</f>
        <v>#REF!</v>
      </c>
      <c r="O29" s="246">
        <v>1</v>
      </c>
      <c r="S29" s="246">
        <v>3</v>
      </c>
      <c r="W29" s="247">
        <f>+O29*S29</f>
        <v>3</v>
      </c>
      <c r="X29" s="248" t="s">
        <v>822</v>
      </c>
      <c r="Y29" s="48"/>
      <c r="Z29" s="48"/>
    </row>
    <row r="30" spans="2:33" ht="15.75">
      <c r="B30" s="844" t="s">
        <v>823</v>
      </c>
      <c r="C30" s="869" t="s">
        <v>824</v>
      </c>
      <c r="D30" s="854" t="s">
        <v>95</v>
      </c>
      <c r="E30" s="846">
        <f t="shared" ref="E30" si="13">+W30</f>
        <v>2</v>
      </c>
      <c r="F30" s="847" t="e">
        <f>+'EST.MERCADO.'!Z30</f>
        <v>#REF!</v>
      </c>
      <c r="G30" s="848" t="e">
        <f t="shared" si="10"/>
        <v>#REF!</v>
      </c>
      <c r="H30" s="280"/>
      <c r="I30" s="849">
        <v>34229</v>
      </c>
      <c r="J30" s="430">
        <f t="shared" si="11"/>
        <v>68458</v>
      </c>
      <c r="L30" s="850" t="e">
        <f t="shared" si="1"/>
        <v>#REF!</v>
      </c>
      <c r="M30" s="851" t="e">
        <f t="shared" si="2"/>
        <v>#REF!</v>
      </c>
      <c r="N30" s="46" t="e">
        <f t="shared" si="12"/>
        <v>#REF!</v>
      </c>
      <c r="O30" s="246">
        <v>1</v>
      </c>
      <c r="S30" s="246">
        <v>2</v>
      </c>
      <c r="W30" s="247">
        <f t="shared" ref="W30" si="14">+O30*S30</f>
        <v>2</v>
      </c>
      <c r="X30" s="248" t="s">
        <v>825</v>
      </c>
      <c r="Y30" s="48"/>
      <c r="Z30" s="870"/>
      <c r="AA30" s="433"/>
      <c r="AB30" s="433"/>
      <c r="AC30" s="434"/>
      <c r="AD30" s="435"/>
      <c r="AE30" s="871"/>
      <c r="AF30" s="871"/>
      <c r="AG30" s="871"/>
    </row>
    <row r="31" spans="2:33" ht="15.75">
      <c r="B31" s="844" t="s">
        <v>826</v>
      </c>
      <c r="C31" s="869" t="s">
        <v>827</v>
      </c>
      <c r="D31" s="854" t="s">
        <v>95</v>
      </c>
      <c r="E31" s="846">
        <f t="shared" si="9"/>
        <v>2</v>
      </c>
      <c r="F31" s="847" t="e">
        <f>+'EST.MERCADO.'!Z31</f>
        <v>#REF!</v>
      </c>
      <c r="G31" s="848" t="e">
        <f t="shared" si="10"/>
        <v>#REF!</v>
      </c>
      <c r="H31" s="280"/>
      <c r="I31" s="849">
        <v>48604</v>
      </c>
      <c r="J31" s="430">
        <f t="shared" si="11"/>
        <v>97208</v>
      </c>
      <c r="L31" s="850" t="e">
        <f t="shared" si="1"/>
        <v>#REF!</v>
      </c>
      <c r="M31" s="851" t="e">
        <f t="shared" si="2"/>
        <v>#REF!</v>
      </c>
      <c r="N31" s="46" t="e">
        <f t="shared" si="12"/>
        <v>#REF!</v>
      </c>
      <c r="O31" s="246">
        <v>1</v>
      </c>
      <c r="S31" s="246">
        <v>2</v>
      </c>
      <c r="W31" s="247">
        <f t="shared" ref="W31:W32" si="15">+O31*S31</f>
        <v>2</v>
      </c>
      <c r="X31" s="248" t="s">
        <v>828</v>
      </c>
      <c r="Y31" s="48"/>
      <c r="Z31" s="870"/>
      <c r="AA31" s="433"/>
      <c r="AB31" s="433"/>
      <c r="AC31" s="434"/>
      <c r="AD31" s="435"/>
      <c r="AE31" s="871"/>
      <c r="AF31" s="871"/>
      <c r="AG31" s="871"/>
    </row>
    <row r="32" spans="2:33" ht="15.75">
      <c r="B32" s="844" t="s">
        <v>829</v>
      </c>
      <c r="C32" s="869" t="s">
        <v>830</v>
      </c>
      <c r="D32" s="854" t="s">
        <v>95</v>
      </c>
      <c r="E32" s="846">
        <f t="shared" si="9"/>
        <v>2</v>
      </c>
      <c r="F32" s="847" t="e">
        <f>+'EST.MERCADO.'!Z32</f>
        <v>#REF!</v>
      </c>
      <c r="G32" s="848" t="e">
        <f t="shared" si="10"/>
        <v>#REF!</v>
      </c>
      <c r="H32" s="280"/>
      <c r="I32" s="849">
        <v>74115</v>
      </c>
      <c r="J32" s="430">
        <f t="shared" si="11"/>
        <v>148230</v>
      </c>
      <c r="L32" s="850" t="e">
        <f t="shared" si="1"/>
        <v>#REF!</v>
      </c>
      <c r="M32" s="851" t="e">
        <f t="shared" si="2"/>
        <v>#REF!</v>
      </c>
      <c r="N32" s="46" t="e">
        <f t="shared" si="12"/>
        <v>#REF!</v>
      </c>
      <c r="O32" s="246">
        <v>1</v>
      </c>
      <c r="S32" s="246">
        <v>2</v>
      </c>
      <c r="W32" s="247">
        <f t="shared" si="15"/>
        <v>2</v>
      </c>
      <c r="X32" s="248" t="s">
        <v>831</v>
      </c>
      <c r="Y32" s="48"/>
      <c r="Z32" s="870"/>
      <c r="AA32" s="433"/>
      <c r="AB32" s="433"/>
      <c r="AC32" s="434"/>
      <c r="AD32" s="435"/>
      <c r="AE32" s="871"/>
      <c r="AF32" s="871"/>
      <c r="AG32" s="871"/>
    </row>
    <row r="33" spans="2:33" ht="15.75">
      <c r="B33" s="844" t="s">
        <v>832</v>
      </c>
      <c r="C33" s="868" t="s">
        <v>833</v>
      </c>
      <c r="D33" s="854" t="s">
        <v>154</v>
      </c>
      <c r="E33" s="846">
        <f t="shared" si="9"/>
        <v>2</v>
      </c>
      <c r="F33" s="847" t="e">
        <f>+'EST.MERCADO.'!Z33</f>
        <v>#REF!</v>
      </c>
      <c r="G33" s="848" t="e">
        <f t="shared" si="10"/>
        <v>#REF!</v>
      </c>
      <c r="H33" s="280"/>
      <c r="I33" s="849">
        <v>17342</v>
      </c>
      <c r="J33" s="430">
        <f t="shared" si="11"/>
        <v>34684</v>
      </c>
      <c r="L33" s="850" t="e">
        <f t="shared" si="1"/>
        <v>#REF!</v>
      </c>
      <c r="M33" s="851" t="e">
        <f t="shared" si="2"/>
        <v>#REF!</v>
      </c>
      <c r="N33" s="46" t="e">
        <f t="shared" si="12"/>
        <v>#REF!</v>
      </c>
      <c r="O33" s="246">
        <v>1</v>
      </c>
      <c r="Q33" s="246">
        <v>1</v>
      </c>
      <c r="S33" s="246">
        <v>2</v>
      </c>
      <c r="W33" s="247">
        <f>+O33*Q33*S33</f>
        <v>2</v>
      </c>
      <c r="X33" s="248" t="s">
        <v>834</v>
      </c>
      <c r="Y33" s="48"/>
      <c r="Z33" s="870"/>
      <c r="AA33" s="433"/>
      <c r="AB33" s="433"/>
      <c r="AC33" s="434"/>
      <c r="AD33" s="435"/>
      <c r="AE33" s="871"/>
      <c r="AF33" s="871"/>
      <c r="AG33" s="871"/>
    </row>
    <row r="34" spans="2:33" ht="15.75">
      <c r="B34" s="844" t="s">
        <v>835</v>
      </c>
      <c r="C34" s="868" t="s">
        <v>836</v>
      </c>
      <c r="D34" s="854" t="s">
        <v>154</v>
      </c>
      <c r="E34" s="846">
        <f t="shared" si="9"/>
        <v>6</v>
      </c>
      <c r="F34" s="847" t="e">
        <f>+'EST.MERCADO.'!Z34</f>
        <v>#REF!</v>
      </c>
      <c r="G34" s="848" t="e">
        <f t="shared" si="10"/>
        <v>#REF!</v>
      </c>
      <c r="H34" s="280"/>
      <c r="I34" s="849">
        <v>21078</v>
      </c>
      <c r="J34" s="430">
        <f t="shared" si="11"/>
        <v>126468</v>
      </c>
      <c r="L34" s="850" t="e">
        <f t="shared" si="1"/>
        <v>#REF!</v>
      </c>
      <c r="M34" s="851" t="e">
        <f t="shared" si="2"/>
        <v>#REF!</v>
      </c>
      <c r="N34" s="46" t="e">
        <f t="shared" si="12"/>
        <v>#REF!</v>
      </c>
      <c r="O34" s="246">
        <v>1</v>
      </c>
      <c r="Q34" s="246">
        <v>3</v>
      </c>
      <c r="S34" s="246">
        <v>2</v>
      </c>
      <c r="W34" s="247">
        <f>+O34*Q34*S34</f>
        <v>6</v>
      </c>
      <c r="X34" s="248" t="s">
        <v>837</v>
      </c>
      <c r="Y34" s="48"/>
      <c r="Z34" s="870"/>
      <c r="AA34" s="433"/>
      <c r="AB34" s="433"/>
      <c r="AC34" s="434"/>
      <c r="AD34" s="435"/>
      <c r="AE34" s="871"/>
      <c r="AF34" s="871"/>
      <c r="AG34" s="871"/>
    </row>
    <row r="35" spans="2:33" ht="15.75">
      <c r="B35" s="844" t="s">
        <v>838</v>
      </c>
      <c r="C35" s="868" t="s">
        <v>839</v>
      </c>
      <c r="D35" s="857" t="s">
        <v>154</v>
      </c>
      <c r="E35" s="846">
        <f t="shared" si="9"/>
        <v>10</v>
      </c>
      <c r="F35" s="847" t="e">
        <f>+'EST.MERCADO.'!Z35</f>
        <v>#REF!</v>
      </c>
      <c r="G35" s="848" t="e">
        <f t="shared" si="10"/>
        <v>#REF!</v>
      </c>
      <c r="H35" s="280"/>
      <c r="I35" s="849">
        <v>27446</v>
      </c>
      <c r="J35" s="430">
        <f t="shared" si="11"/>
        <v>274460</v>
      </c>
      <c r="L35" s="850" t="e">
        <f t="shared" si="1"/>
        <v>#REF!</v>
      </c>
      <c r="M35" s="851" t="e">
        <f t="shared" si="2"/>
        <v>#REF!</v>
      </c>
      <c r="N35" s="46" t="e">
        <f t="shared" si="12"/>
        <v>#REF!</v>
      </c>
      <c r="O35" s="246">
        <v>1</v>
      </c>
      <c r="Q35" s="246">
        <v>2</v>
      </c>
      <c r="S35" s="246">
        <v>5</v>
      </c>
      <c r="W35" s="247">
        <f>+O35*Q35*S35</f>
        <v>10</v>
      </c>
      <c r="X35" s="248" t="s">
        <v>840</v>
      </c>
      <c r="Y35" s="48"/>
      <c r="Z35" s="870"/>
      <c r="AA35" s="433"/>
      <c r="AB35" s="433"/>
      <c r="AC35" s="434"/>
      <c r="AD35" s="435"/>
      <c r="AE35" s="871"/>
      <c r="AF35" s="871"/>
      <c r="AG35" s="871"/>
    </row>
    <row r="36" spans="2:33" ht="72" customHeight="1">
      <c r="B36" s="844" t="s">
        <v>841</v>
      </c>
      <c r="C36" s="872" t="s">
        <v>842</v>
      </c>
      <c r="D36" s="857" t="s">
        <v>95</v>
      </c>
      <c r="E36" s="846">
        <v>1</v>
      </c>
      <c r="F36" s="847" t="e">
        <f>+'EST.MERCADO.'!Z36</f>
        <v>#REF!</v>
      </c>
      <c r="G36" s="848" t="e">
        <f t="shared" si="10"/>
        <v>#REF!</v>
      </c>
      <c r="H36" s="280"/>
      <c r="I36" s="849">
        <v>751083</v>
      </c>
      <c r="J36" s="430">
        <f t="shared" si="11"/>
        <v>751083</v>
      </c>
      <c r="L36" s="850" t="e">
        <f t="shared" si="1"/>
        <v>#REF!</v>
      </c>
      <c r="M36" s="851" t="e">
        <f t="shared" si="2"/>
        <v>#REF!</v>
      </c>
      <c r="N36" s="46" t="e">
        <f t="shared" si="12"/>
        <v>#REF!</v>
      </c>
      <c r="O36" s="246">
        <v>1</v>
      </c>
      <c r="S36" s="246">
        <v>1</v>
      </c>
      <c r="W36" s="247">
        <f>+O36*S36</f>
        <v>1</v>
      </c>
      <c r="X36" s="248" t="s">
        <v>843</v>
      </c>
      <c r="Y36" s="48"/>
      <c r="Z36" s="870"/>
      <c r="AA36" s="433"/>
      <c r="AB36" s="433"/>
      <c r="AC36" s="434"/>
      <c r="AD36" s="435"/>
      <c r="AE36" s="871"/>
      <c r="AF36" s="871"/>
      <c r="AG36" s="871"/>
    </row>
    <row r="37" spans="2:33" ht="15.75">
      <c r="B37" s="844" t="s">
        <v>844</v>
      </c>
      <c r="C37" s="816" t="s">
        <v>845</v>
      </c>
      <c r="D37" s="1053" t="s">
        <v>95</v>
      </c>
      <c r="E37" s="846">
        <v>1</v>
      </c>
      <c r="F37" s="847" t="e">
        <f>+'EST.MERCADO.'!Z37</f>
        <v>#REF!</v>
      </c>
      <c r="G37" s="848" t="e">
        <f t="shared" si="10"/>
        <v>#REF!</v>
      </c>
      <c r="H37" s="280"/>
      <c r="I37" s="849">
        <v>386528</v>
      </c>
      <c r="J37" s="430">
        <f t="shared" si="11"/>
        <v>386528</v>
      </c>
      <c r="L37" s="850" t="e">
        <f t="shared" si="1"/>
        <v>#REF!</v>
      </c>
      <c r="M37" s="851" t="e">
        <f t="shared" si="2"/>
        <v>#REF!</v>
      </c>
      <c r="N37" s="46" t="e">
        <f t="shared" si="12"/>
        <v>#REF!</v>
      </c>
      <c r="O37" s="246">
        <v>1</v>
      </c>
      <c r="S37" s="246">
        <v>1</v>
      </c>
      <c r="W37" s="247">
        <f>+O37*S37</f>
        <v>1</v>
      </c>
      <c r="X37" s="248"/>
      <c r="Y37" s="48"/>
      <c r="Z37" s="870"/>
      <c r="AA37" s="433"/>
      <c r="AB37" s="433"/>
      <c r="AC37" s="434"/>
      <c r="AD37" s="435"/>
      <c r="AE37" s="871"/>
      <c r="AF37" s="871"/>
      <c r="AG37" s="871"/>
    </row>
    <row r="38" spans="2:33" ht="32.25" customHeight="1">
      <c r="B38" s="844" t="s">
        <v>846</v>
      </c>
      <c r="C38" s="816" t="s">
        <v>847</v>
      </c>
      <c r="D38" s="1053" t="s">
        <v>95</v>
      </c>
      <c r="E38" s="846">
        <v>2</v>
      </c>
      <c r="F38" s="847" t="e">
        <f>+'EST.MERCADO.'!Z38</f>
        <v>#REF!</v>
      </c>
      <c r="G38" s="848" t="e">
        <f t="shared" si="10"/>
        <v>#REF!</v>
      </c>
      <c r="H38" s="280"/>
      <c r="I38" s="849">
        <v>399829</v>
      </c>
      <c r="J38" s="430">
        <f t="shared" si="11"/>
        <v>799658</v>
      </c>
      <c r="L38" s="850" t="e">
        <f t="shared" si="1"/>
        <v>#REF!</v>
      </c>
      <c r="M38" s="851" t="e">
        <f t="shared" si="2"/>
        <v>#REF!</v>
      </c>
      <c r="N38" s="46" t="e">
        <f t="shared" si="12"/>
        <v>#REF!</v>
      </c>
      <c r="O38" s="246">
        <v>1</v>
      </c>
      <c r="S38" s="246">
        <v>2</v>
      </c>
      <c r="W38" s="247">
        <f>+O38*S38</f>
        <v>2</v>
      </c>
      <c r="X38" s="248" t="s">
        <v>848</v>
      </c>
      <c r="Y38" s="48"/>
      <c r="Z38" s="870"/>
      <c r="AA38" s="433"/>
      <c r="AB38" s="433"/>
      <c r="AC38" s="434"/>
      <c r="AD38" s="435"/>
      <c r="AE38" s="871"/>
      <c r="AF38" s="871"/>
      <c r="AG38" s="871"/>
    </row>
    <row r="39" spans="2:33">
      <c r="B39" s="861">
        <v>4</v>
      </c>
      <c r="C39" s="862" t="s">
        <v>849</v>
      </c>
      <c r="D39" s="863"/>
      <c r="E39" s="864"/>
      <c r="F39" s="865"/>
      <c r="G39" s="866">
        <f>+SUBTOTAL(9,G40:G42)</f>
        <v>0</v>
      </c>
      <c r="H39" s="279"/>
      <c r="I39" s="867"/>
      <c r="J39" s="432">
        <f>+SUBTOTAL(9,J40:J42)</f>
        <v>0</v>
      </c>
      <c r="L39" s="850">
        <f t="shared" si="1"/>
        <v>0</v>
      </c>
      <c r="M39" s="851">
        <f t="shared" si="2"/>
        <v>0</v>
      </c>
      <c r="N39" s="46" t="str">
        <f t="shared" si="12"/>
        <v>ok</v>
      </c>
      <c r="Y39" s="450"/>
      <c r="Z39" s="873"/>
      <c r="AA39" s="436"/>
      <c r="AB39" s="437"/>
      <c r="AC39" s="437"/>
      <c r="AD39" s="438"/>
      <c r="AE39" s="874">
        <f>+SUBTOTAL(9,AE41:AE42)</f>
        <v>4311743.0999999996</v>
      </c>
      <c r="AF39" s="874"/>
      <c r="AG39" s="874">
        <f>+SUBTOTAL(9,AG41:AG42)</f>
        <v>4311743.0999999996</v>
      </c>
    </row>
    <row r="40" spans="2:33" ht="21" customHeight="1">
      <c r="B40" s="844"/>
      <c r="C40" s="875"/>
      <c r="D40" s="812"/>
      <c r="E40" s="876"/>
      <c r="F40" s="847"/>
      <c r="G40" s="848">
        <f t="shared" ref="G40:G42" si="16">+F40*E40</f>
        <v>0</v>
      </c>
      <c r="H40" s="280"/>
      <c r="I40" s="849"/>
      <c r="J40" s="430">
        <f t="shared" ref="J40:J42" si="17">+E40*I40</f>
        <v>0</v>
      </c>
      <c r="L40" s="850">
        <f t="shared" si="1"/>
        <v>0</v>
      </c>
      <c r="M40" s="851">
        <f t="shared" si="2"/>
        <v>0</v>
      </c>
      <c r="N40" s="46" t="str">
        <f t="shared" si="12"/>
        <v>ok</v>
      </c>
      <c r="Y40" s="450"/>
      <c r="Z40" s="877"/>
      <c r="AA40" s="875" t="s">
        <v>850</v>
      </c>
      <c r="AB40" s="878"/>
      <c r="AC40" s="878"/>
      <c r="AD40" s="879"/>
      <c r="AE40" s="879"/>
      <c r="AF40" s="879"/>
      <c r="AG40" s="879"/>
    </row>
    <row r="41" spans="2:33" ht="21" customHeight="1">
      <c r="B41" s="861">
        <v>5</v>
      </c>
      <c r="C41" s="862" t="s">
        <v>851</v>
      </c>
      <c r="D41" s="863"/>
      <c r="E41" s="864"/>
      <c r="F41" s="865"/>
      <c r="G41" s="866"/>
      <c r="H41" s="280"/>
      <c r="I41" s="849"/>
      <c r="J41" s="430">
        <f t="shared" si="17"/>
        <v>0</v>
      </c>
      <c r="L41" s="850">
        <f t="shared" ref="L41:L59" si="18">+F41</f>
        <v>0</v>
      </c>
      <c r="M41" s="851">
        <f t="shared" ref="M41:M59" si="19">+L41*E41</f>
        <v>0</v>
      </c>
      <c r="N41" s="46" t="str">
        <f t="shared" si="12"/>
        <v>ok</v>
      </c>
      <c r="O41" s="161"/>
      <c r="P41" s="161"/>
      <c r="Q41" s="161"/>
      <c r="R41" s="161"/>
      <c r="S41" s="161"/>
      <c r="T41" s="161"/>
      <c r="U41" s="161"/>
      <c r="V41" s="161"/>
      <c r="W41" s="161"/>
      <c r="Y41" s="451"/>
      <c r="Z41" s="877">
        <v>1.2</v>
      </c>
      <c r="AA41" s="880" t="s">
        <v>852</v>
      </c>
      <c r="AB41" s="878" t="s">
        <v>853</v>
      </c>
      <c r="AC41" s="878">
        <v>40</v>
      </c>
      <c r="AD41" s="879">
        <v>16219</v>
      </c>
      <c r="AE41" s="879">
        <f>+AC41*AD41</f>
        <v>648760</v>
      </c>
      <c r="AF41" s="879">
        <f>+AD41</f>
        <v>16219</v>
      </c>
      <c r="AG41" s="879">
        <f>+AE41</f>
        <v>648760</v>
      </c>
    </row>
    <row r="42" spans="2:33" ht="21" customHeight="1">
      <c r="B42" s="844"/>
      <c r="C42" s="816"/>
      <c r="D42" s="812"/>
      <c r="E42" s="876"/>
      <c r="F42" s="847"/>
      <c r="G42" s="848">
        <f t="shared" si="16"/>
        <v>0</v>
      </c>
      <c r="H42" s="280"/>
      <c r="I42" s="849"/>
      <c r="J42" s="430">
        <f t="shared" si="17"/>
        <v>0</v>
      </c>
      <c r="L42" s="850">
        <f t="shared" si="18"/>
        <v>0</v>
      </c>
      <c r="M42" s="851">
        <f t="shared" si="19"/>
        <v>0</v>
      </c>
      <c r="N42" s="46" t="str">
        <f t="shared" si="12"/>
        <v>ok</v>
      </c>
      <c r="O42" s="161"/>
      <c r="P42" s="161"/>
      <c r="Q42" s="161"/>
      <c r="R42" s="161"/>
      <c r="S42" s="161"/>
      <c r="T42" s="161"/>
      <c r="U42" s="161"/>
      <c r="V42" s="161"/>
      <c r="W42" s="161"/>
      <c r="Y42" s="451"/>
      <c r="Z42" s="877">
        <v>1.1000000000000001</v>
      </c>
      <c r="AA42" s="880" t="s">
        <v>854</v>
      </c>
      <c r="AB42" s="878" t="s">
        <v>154</v>
      </c>
      <c r="AC42" s="878">
        <v>70</v>
      </c>
      <c r="AD42" s="879">
        <v>52328.33</v>
      </c>
      <c r="AE42" s="879">
        <f t="shared" ref="AE42" si="20">+AC42*AD42</f>
        <v>3662983.1</v>
      </c>
      <c r="AF42" s="879">
        <f t="shared" ref="AF42" si="21">+AD42</f>
        <v>52328.33</v>
      </c>
      <c r="AG42" s="879">
        <f t="shared" ref="AG42" si="22">+AE42</f>
        <v>3662983.1</v>
      </c>
    </row>
    <row r="43" spans="2:33">
      <c r="B43" s="861">
        <v>6</v>
      </c>
      <c r="C43" s="881" t="s">
        <v>855</v>
      </c>
      <c r="D43" s="863"/>
      <c r="E43" s="864"/>
      <c r="F43" s="865"/>
      <c r="G43" s="866" t="e">
        <f>+SUBTOTAL(9,G44)</f>
        <v>#REF!</v>
      </c>
      <c r="H43" s="279"/>
      <c r="I43" s="867"/>
      <c r="J43" s="432">
        <f>+SUBTOTAL(9,J44)</f>
        <v>1705515</v>
      </c>
      <c r="L43" s="850">
        <f t="shared" si="18"/>
        <v>0</v>
      </c>
      <c r="M43" s="851">
        <f t="shared" si="19"/>
        <v>0</v>
      </c>
      <c r="O43" s="12"/>
      <c r="Z43" s="882">
        <v>45</v>
      </c>
      <c r="AA43" s="880" t="s">
        <v>79</v>
      </c>
      <c r="AB43" s="877" t="s">
        <v>12</v>
      </c>
      <c r="AC43" s="877">
        <v>1</v>
      </c>
      <c r="AD43" s="883">
        <v>500000</v>
      </c>
      <c r="AE43" s="879">
        <f t="shared" ref="AE43" si="23">AC43*AD43</f>
        <v>500000</v>
      </c>
      <c r="AF43" s="879">
        <f t="shared" ref="AF43" si="24">+ROUND(AD43*1.19,2)</f>
        <v>595000</v>
      </c>
      <c r="AG43" s="879">
        <f t="shared" ref="AG43" si="25">+AC43*AF43</f>
        <v>595000</v>
      </c>
    </row>
    <row r="44" spans="2:33" ht="67.5" customHeight="1">
      <c r="B44" s="844" t="s">
        <v>856</v>
      </c>
      <c r="C44" s="816" t="s">
        <v>857</v>
      </c>
      <c r="D44" s="812" t="s">
        <v>145</v>
      </c>
      <c r="E44" s="846">
        <f t="shared" ref="E44" si="26">+W44</f>
        <v>15</v>
      </c>
      <c r="F44" s="847" t="e">
        <f>+'EST.MERCADO.'!Z44</f>
        <v>#REF!</v>
      </c>
      <c r="G44" s="848" t="e">
        <f>+F44*E44</f>
        <v>#REF!</v>
      </c>
      <c r="H44" s="280"/>
      <c r="I44" s="849">
        <v>113701</v>
      </c>
      <c r="J44" s="430">
        <f>+E44*I44</f>
        <v>1705515</v>
      </c>
      <c r="L44" s="850" t="e">
        <f t="shared" si="18"/>
        <v>#REF!</v>
      </c>
      <c r="M44" s="851" t="e">
        <f t="shared" si="19"/>
        <v>#REF!</v>
      </c>
      <c r="N44" s="46" t="e">
        <f>+IF(M44=G44,"ok","error")</f>
        <v>#REF!</v>
      </c>
      <c r="O44" s="246">
        <v>1.1000000000000001</v>
      </c>
      <c r="Q44" s="246">
        <f>(1.92*2+0.62*2)+(1.3*2+0.65*2)+(1.85*2+0.6*2)</f>
        <v>13.88</v>
      </c>
      <c r="R44" s="246">
        <v>1</v>
      </c>
      <c r="W44" s="247">
        <f>+ROUND(O44*Q44*R44,0)</f>
        <v>15</v>
      </c>
      <c r="X44" s="248" t="s">
        <v>858</v>
      </c>
    </row>
    <row r="45" spans="2:33">
      <c r="B45" s="861">
        <v>7</v>
      </c>
      <c r="C45" s="881" t="s">
        <v>859</v>
      </c>
      <c r="D45" s="863"/>
      <c r="E45" s="864"/>
      <c r="F45" s="865"/>
      <c r="G45" s="866" t="e">
        <f>+SUBTOTAL(9,G46)</f>
        <v>#REF!</v>
      </c>
      <c r="H45" s="279"/>
      <c r="I45" s="867"/>
      <c r="J45" s="432">
        <f>+SUBTOTAL(9,J46)</f>
        <v>1690854</v>
      </c>
      <c r="L45" s="850">
        <f t="shared" si="18"/>
        <v>0</v>
      </c>
      <c r="M45" s="851">
        <f t="shared" si="19"/>
        <v>0</v>
      </c>
      <c r="W45" s="54"/>
    </row>
    <row r="46" spans="2:33" ht="25.5">
      <c r="B46" s="844" t="s">
        <v>860</v>
      </c>
      <c r="C46" s="816" t="s">
        <v>861</v>
      </c>
      <c r="D46" s="812" t="s">
        <v>145</v>
      </c>
      <c r="E46" s="846">
        <f>+W46</f>
        <v>34</v>
      </c>
      <c r="F46" s="847" t="e">
        <f>+'EST.MERCADO.'!Z46</f>
        <v>#REF!</v>
      </c>
      <c r="G46" s="848" t="e">
        <f>+F46*E46</f>
        <v>#REF!</v>
      </c>
      <c r="H46" s="280"/>
      <c r="I46" s="849">
        <v>49731</v>
      </c>
      <c r="J46" s="430">
        <f>+E46*I46</f>
        <v>1690854</v>
      </c>
      <c r="L46" s="850" t="e">
        <f t="shared" si="18"/>
        <v>#REF!</v>
      </c>
      <c r="M46" s="851" t="e">
        <f t="shared" si="19"/>
        <v>#REF!</v>
      </c>
      <c r="N46" s="46" t="e">
        <f>+IF(M46=G46,"ok","error")</f>
        <v>#REF!</v>
      </c>
      <c r="O46" s="246">
        <v>1.1000000000000001</v>
      </c>
      <c r="S46" s="51"/>
      <c r="T46" s="246">
        <f>+'AREAS Y PERIMETROS'!C12</f>
        <v>30.9</v>
      </c>
      <c r="V46" s="246">
        <v>1</v>
      </c>
      <c r="W46" s="247">
        <f>+ROUND(O46*T46*V46,0)</f>
        <v>34</v>
      </c>
      <c r="X46" s="248" t="s">
        <v>777</v>
      </c>
    </row>
    <row r="47" spans="2:33">
      <c r="B47" s="861">
        <v>8</v>
      </c>
      <c r="C47" s="881" t="s">
        <v>688</v>
      </c>
      <c r="D47" s="863"/>
      <c r="E47" s="864"/>
      <c r="F47" s="865"/>
      <c r="G47" s="866" t="e">
        <f>+SUBTOTAL(9,G48:G49)</f>
        <v>#REF!</v>
      </c>
      <c r="H47" s="279"/>
      <c r="I47" s="867"/>
      <c r="J47" s="432">
        <f>+SUBTOTAL(9,J48:J49)</f>
        <v>12851766</v>
      </c>
      <c r="L47" s="850">
        <f t="shared" si="18"/>
        <v>0</v>
      </c>
      <c r="M47" s="851">
        <f t="shared" si="19"/>
        <v>0</v>
      </c>
    </row>
    <row r="48" spans="2:33" ht="82.5" customHeight="1">
      <c r="B48" s="844" t="s">
        <v>862</v>
      </c>
      <c r="C48" s="853" t="s">
        <v>863</v>
      </c>
      <c r="D48" s="1053" t="s">
        <v>145</v>
      </c>
      <c r="E48" s="263">
        <f>+W48</f>
        <v>120</v>
      </c>
      <c r="F48" s="1054" t="e">
        <f>+'EST.MERCADO.'!Z48</f>
        <v>#REF!</v>
      </c>
      <c r="G48" s="848" t="e">
        <f t="shared" ref="G48:G49" si="27">+F48*E48</f>
        <v>#REF!</v>
      </c>
      <c r="H48" s="280"/>
      <c r="I48" s="849">
        <v>92115</v>
      </c>
      <c r="J48" s="430">
        <f t="shared" ref="J48:J49" si="28">+E48*I48</f>
        <v>11053800</v>
      </c>
      <c r="L48" s="850" t="e">
        <f t="shared" si="18"/>
        <v>#REF!</v>
      </c>
      <c r="M48" s="851" t="e">
        <f t="shared" si="19"/>
        <v>#REF!</v>
      </c>
      <c r="N48" s="46" t="e">
        <f>+IF(M48=G48,"ok","error")</f>
        <v>#REF!</v>
      </c>
      <c r="O48" s="246">
        <v>1.05</v>
      </c>
      <c r="U48" s="246">
        <f>+'AREAS Y PERIMETROS'!B33+'AREAS Y PERIMETROS'!B34</f>
        <v>114.14249999999998</v>
      </c>
      <c r="W48" s="247">
        <f>+ROUND(O48*U48,0)</f>
        <v>120</v>
      </c>
      <c r="X48" s="248" t="s">
        <v>864</v>
      </c>
    </row>
    <row r="49" spans="2:26" ht="37.5" customHeight="1">
      <c r="B49" s="844" t="s">
        <v>865</v>
      </c>
      <c r="C49" s="853" t="s">
        <v>866</v>
      </c>
      <c r="D49" s="812" t="s">
        <v>145</v>
      </c>
      <c r="E49" s="439">
        <f>+W49</f>
        <v>18</v>
      </c>
      <c r="F49" s="1054" t="e">
        <f>+'EST.MERCADO.'!Z49</f>
        <v>#REF!</v>
      </c>
      <c r="G49" s="848" t="e">
        <f t="shared" si="27"/>
        <v>#REF!</v>
      </c>
      <c r="H49" s="280"/>
      <c r="I49" s="849">
        <v>99887</v>
      </c>
      <c r="J49" s="430">
        <f t="shared" si="28"/>
        <v>1797966</v>
      </c>
      <c r="L49" s="850" t="e">
        <f t="shared" si="18"/>
        <v>#REF!</v>
      </c>
      <c r="M49" s="851" t="e">
        <f t="shared" si="19"/>
        <v>#REF!</v>
      </c>
      <c r="N49" s="46" t="e">
        <f>+IF(M49=G49,"ok","error")</f>
        <v>#REF!</v>
      </c>
      <c r="O49" s="246">
        <v>1.1000000000000001</v>
      </c>
      <c r="Q49" s="246">
        <f>+'AREAS Y PERIMETROS'!D29</f>
        <v>8.2200000000000006</v>
      </c>
      <c r="R49" s="246">
        <f>+'AREAS Y PERIMETROS'!E29</f>
        <v>1.95</v>
      </c>
      <c r="W49" s="247">
        <f>+ROUND(O49*Q49*R49,0)</f>
        <v>18</v>
      </c>
      <c r="X49" s="248" t="s">
        <v>867</v>
      </c>
    </row>
    <row r="50" spans="2:26">
      <c r="B50" s="861">
        <v>9</v>
      </c>
      <c r="C50" s="862" t="s">
        <v>506</v>
      </c>
      <c r="D50" s="863"/>
      <c r="E50" s="864"/>
      <c r="F50" s="865"/>
      <c r="G50" s="866" t="e">
        <f>+SUBTOTAL(9,G51:G60)</f>
        <v>#REF!</v>
      </c>
      <c r="H50" s="279"/>
      <c r="I50" s="867"/>
      <c r="J50" s="432">
        <f>+SUBTOTAL(9,J51:J60)</f>
        <v>42577221</v>
      </c>
      <c r="L50" s="850">
        <f t="shared" si="18"/>
        <v>0</v>
      </c>
      <c r="M50" s="851">
        <f t="shared" si="19"/>
        <v>0</v>
      </c>
    </row>
    <row r="51" spans="2:26" ht="35.1" customHeight="1">
      <c r="B51" s="844" t="s">
        <v>868</v>
      </c>
      <c r="C51" s="816" t="s">
        <v>869</v>
      </c>
      <c r="D51" s="812" t="s">
        <v>145</v>
      </c>
      <c r="E51" s="846">
        <f>+W51</f>
        <v>18</v>
      </c>
      <c r="F51" s="847" t="e">
        <f>+'EST.MERCADO.'!Z51</f>
        <v>#REF!</v>
      </c>
      <c r="G51" s="848" t="e">
        <f t="shared" ref="G51:G60" si="29">+F51*E51</f>
        <v>#REF!</v>
      </c>
      <c r="H51" s="280"/>
      <c r="I51" s="849">
        <v>60592</v>
      </c>
      <c r="J51" s="430">
        <f t="shared" ref="J51:J60" si="30">+E51*I51</f>
        <v>1090656</v>
      </c>
      <c r="L51" s="850" t="e">
        <f t="shared" si="18"/>
        <v>#REF!</v>
      </c>
      <c r="M51" s="851" t="e">
        <f t="shared" si="19"/>
        <v>#REF!</v>
      </c>
      <c r="N51" s="46" t="e">
        <f t="shared" ref="N51:N60" si="31">+IF(M51=G51,"ok","error")</f>
        <v>#REF!</v>
      </c>
      <c r="O51" s="246">
        <v>1.1000000000000001</v>
      </c>
      <c r="U51" s="246">
        <f>+'AREAS Y PERIMETROS'!B15</f>
        <v>16.100000000000001</v>
      </c>
      <c r="W51" s="246">
        <f>+ROUND(O51*U51,0)</f>
        <v>18</v>
      </c>
      <c r="X51" s="248" t="s">
        <v>870</v>
      </c>
    </row>
    <row r="52" spans="2:26" ht="38.25">
      <c r="B52" s="844" t="s">
        <v>871</v>
      </c>
      <c r="C52" s="853" t="s">
        <v>872</v>
      </c>
      <c r="D52" s="884" t="s">
        <v>154</v>
      </c>
      <c r="E52" s="846">
        <f t="shared" ref="E52" si="32">+W52</f>
        <v>126</v>
      </c>
      <c r="F52" s="847" t="e">
        <f>+'EST.MERCADO.'!Z52</f>
        <v>#REF!</v>
      </c>
      <c r="G52" s="848" t="e">
        <f t="shared" si="29"/>
        <v>#REF!</v>
      </c>
      <c r="H52" s="280"/>
      <c r="I52" s="849">
        <v>63798</v>
      </c>
      <c r="J52" s="430">
        <f t="shared" si="30"/>
        <v>8038548</v>
      </c>
      <c r="L52" s="850" t="e">
        <f t="shared" si="18"/>
        <v>#REF!</v>
      </c>
      <c r="M52" s="851" t="e">
        <f t="shared" si="19"/>
        <v>#REF!</v>
      </c>
      <c r="N52" s="46" t="e">
        <f t="shared" si="31"/>
        <v>#REF!</v>
      </c>
      <c r="O52" s="246">
        <v>1.1000000000000001</v>
      </c>
      <c r="U52" s="246">
        <f>+SUM('AREAS Y PERIMETROS'!C8:C14)</f>
        <v>114.79</v>
      </c>
      <c r="W52" s="246">
        <f>+ROUND(O52*U52,0)</f>
        <v>126</v>
      </c>
      <c r="X52" s="248" t="s">
        <v>873</v>
      </c>
      <c r="Y52" s="48"/>
      <c r="Z52" s="48"/>
    </row>
    <row r="53" spans="2:26" ht="24" customHeight="1">
      <c r="B53" s="844" t="s">
        <v>874</v>
      </c>
      <c r="C53" s="816" t="s">
        <v>875</v>
      </c>
      <c r="D53" s="884" t="s">
        <v>154</v>
      </c>
      <c r="E53" s="846">
        <f t="shared" ref="E53:E60" si="33">+W53</f>
        <v>20</v>
      </c>
      <c r="F53" s="847" t="e">
        <f>+'EST.MERCADO.'!Z53</f>
        <v>#REF!</v>
      </c>
      <c r="G53" s="848" t="e">
        <f t="shared" si="29"/>
        <v>#REF!</v>
      </c>
      <c r="H53" s="280"/>
      <c r="I53" s="849">
        <v>96359</v>
      </c>
      <c r="J53" s="430">
        <f t="shared" si="30"/>
        <v>1927180</v>
      </c>
      <c r="L53" s="850" t="e">
        <f t="shared" si="18"/>
        <v>#REF!</v>
      </c>
      <c r="M53" s="851" t="e">
        <f t="shared" si="19"/>
        <v>#REF!</v>
      </c>
      <c r="N53" s="46" t="e">
        <f t="shared" si="31"/>
        <v>#REF!</v>
      </c>
      <c r="O53" s="246">
        <v>1.1000000000000001</v>
      </c>
      <c r="Q53" s="246">
        <f>+(1.32*2)+1.32+1.45+0.9+(0.8*4)+1.3+1.2+1.5+(0.8*2)+3</f>
        <v>18.11</v>
      </c>
      <c r="S53" s="51"/>
      <c r="W53" s="246">
        <f>+ROUND(O53*Q53,0)</f>
        <v>20</v>
      </c>
      <c r="X53" s="248" t="s">
        <v>876</v>
      </c>
      <c r="Y53" s="48"/>
      <c r="Z53" s="48"/>
    </row>
    <row r="54" spans="2:26" ht="48" customHeight="1">
      <c r="B54" s="844" t="s">
        <v>877</v>
      </c>
      <c r="C54" s="868" t="s">
        <v>878</v>
      </c>
      <c r="D54" s="884" t="s">
        <v>145</v>
      </c>
      <c r="E54" s="846">
        <f t="shared" si="33"/>
        <v>26</v>
      </c>
      <c r="F54" s="847" t="e">
        <f>+'EST.MERCADO.'!Z54</f>
        <v>#REF!</v>
      </c>
      <c r="G54" s="848" t="e">
        <f t="shared" si="29"/>
        <v>#REF!</v>
      </c>
      <c r="H54" s="280"/>
      <c r="I54" s="849">
        <v>85217</v>
      </c>
      <c r="J54" s="430">
        <f t="shared" si="30"/>
        <v>2215642</v>
      </c>
      <c r="L54" s="850" t="e">
        <f t="shared" si="18"/>
        <v>#REF!</v>
      </c>
      <c r="M54" s="851" t="e">
        <f t="shared" si="19"/>
        <v>#REF!</v>
      </c>
      <c r="N54" s="46" t="e">
        <f t="shared" si="31"/>
        <v>#REF!</v>
      </c>
      <c r="O54" s="246">
        <v>1.1000000000000001</v>
      </c>
      <c r="P54" s="58"/>
      <c r="Q54" s="58"/>
      <c r="R54" s="58"/>
      <c r="U54" s="246">
        <f>+'AREAS Y PERIMETROS'!B37+'AREAS Y PERIMETROS'!B38</f>
        <v>23.38</v>
      </c>
      <c r="W54" s="246">
        <f>+ROUND(O54*U54,0)</f>
        <v>26</v>
      </c>
      <c r="X54" s="248" t="s">
        <v>879</v>
      </c>
      <c r="Y54" s="48"/>
      <c r="Z54" s="48"/>
    </row>
    <row r="55" spans="2:26">
      <c r="B55" s="844" t="s">
        <v>880</v>
      </c>
      <c r="C55" s="816" t="s">
        <v>881</v>
      </c>
      <c r="D55" s="884" t="s">
        <v>145</v>
      </c>
      <c r="E55" s="846">
        <f t="shared" si="33"/>
        <v>18</v>
      </c>
      <c r="F55" s="847" t="e">
        <f>+'EST.MERCADO.'!Z55</f>
        <v>#REF!</v>
      </c>
      <c r="G55" s="848" t="e">
        <f t="shared" si="29"/>
        <v>#REF!</v>
      </c>
      <c r="H55" s="280"/>
      <c r="I55" s="849">
        <v>32953</v>
      </c>
      <c r="J55" s="430">
        <f t="shared" si="30"/>
        <v>593154</v>
      </c>
      <c r="L55" s="850" t="e">
        <f t="shared" si="18"/>
        <v>#REF!</v>
      </c>
      <c r="M55" s="851" t="e">
        <f t="shared" si="19"/>
        <v>#REF!</v>
      </c>
      <c r="N55" s="46" t="e">
        <f t="shared" si="31"/>
        <v>#REF!</v>
      </c>
      <c r="O55" s="246">
        <v>1.1000000000000001</v>
      </c>
      <c r="U55" s="246">
        <f>+'AREAS Y PERIMETROS'!B15</f>
        <v>16.100000000000001</v>
      </c>
      <c r="W55" s="246">
        <f>+ROUND(O55*U55,0)</f>
        <v>18</v>
      </c>
      <c r="X55" s="248" t="s">
        <v>882</v>
      </c>
      <c r="Y55" s="48"/>
      <c r="Z55" s="48"/>
    </row>
    <row r="56" spans="2:26" ht="25.5">
      <c r="B56" s="844" t="s">
        <v>883</v>
      </c>
      <c r="C56" s="816" t="s">
        <v>884</v>
      </c>
      <c r="D56" s="884" t="s">
        <v>145</v>
      </c>
      <c r="E56" s="846">
        <f>+W56</f>
        <v>18</v>
      </c>
      <c r="F56" s="847" t="e">
        <f>+'EST.MERCADO.'!Z56</f>
        <v>#REF!</v>
      </c>
      <c r="G56" s="848" t="e">
        <f t="shared" si="29"/>
        <v>#REF!</v>
      </c>
      <c r="H56" s="280"/>
      <c r="I56" s="849">
        <v>102340</v>
      </c>
      <c r="J56" s="430">
        <f t="shared" si="30"/>
        <v>1842120</v>
      </c>
      <c r="L56" s="850" t="e">
        <f t="shared" si="18"/>
        <v>#REF!</v>
      </c>
      <c r="M56" s="851" t="e">
        <f t="shared" si="19"/>
        <v>#REF!</v>
      </c>
      <c r="N56" s="46" t="e">
        <f t="shared" si="31"/>
        <v>#REF!</v>
      </c>
      <c r="O56" s="246">
        <v>1.1000000000000001</v>
      </c>
      <c r="U56" s="246">
        <f>+'AREAS Y PERIMETROS'!B15</f>
        <v>16.100000000000001</v>
      </c>
      <c r="W56" s="246">
        <f>+ROUND(O56*U56,0)</f>
        <v>18</v>
      </c>
      <c r="X56" s="248" t="s">
        <v>885</v>
      </c>
      <c r="Y56" s="48"/>
      <c r="Z56" s="48"/>
    </row>
    <row r="57" spans="2:26" ht="72" customHeight="1">
      <c r="B57" s="844" t="s">
        <v>886</v>
      </c>
      <c r="C57" s="853" t="s">
        <v>887</v>
      </c>
      <c r="D57" s="884" t="s">
        <v>145</v>
      </c>
      <c r="E57" s="846">
        <f t="shared" si="33"/>
        <v>145</v>
      </c>
      <c r="F57" s="847" t="e">
        <f>+'EST.MERCADO.'!Z57</f>
        <v>#REF!</v>
      </c>
      <c r="G57" s="848" t="e">
        <f t="shared" si="29"/>
        <v>#REF!</v>
      </c>
      <c r="H57" s="280"/>
      <c r="I57" s="849">
        <v>169127</v>
      </c>
      <c r="J57" s="430">
        <f t="shared" si="30"/>
        <v>24523415</v>
      </c>
      <c r="L57" s="850" t="e">
        <f t="shared" si="18"/>
        <v>#REF!</v>
      </c>
      <c r="M57" s="851" t="e">
        <f t="shared" si="19"/>
        <v>#REF!</v>
      </c>
      <c r="N57" s="46" t="e">
        <f t="shared" si="31"/>
        <v>#REF!</v>
      </c>
      <c r="O57" s="246">
        <v>1.25</v>
      </c>
      <c r="U57" s="246">
        <f>+SUM('AREAS Y PERIMETROS'!B8:B14)+'AREAS Y PERIMETROS'!B16</f>
        <v>116.14</v>
      </c>
      <c r="W57" s="246">
        <f>+ROUND(O57*U57,0)</f>
        <v>145</v>
      </c>
      <c r="X57" s="248" t="s">
        <v>888</v>
      </c>
      <c r="Y57" s="48"/>
      <c r="Z57" s="48"/>
    </row>
    <row r="58" spans="2:26" ht="38.25">
      <c r="B58" s="844" t="s">
        <v>889</v>
      </c>
      <c r="C58" s="853" t="s">
        <v>890</v>
      </c>
      <c r="D58" s="884" t="s">
        <v>154</v>
      </c>
      <c r="E58" s="846">
        <f t="shared" si="33"/>
        <v>17</v>
      </c>
      <c r="F58" s="847" t="e">
        <f>+'EST.MERCADO.'!Z58</f>
        <v>#REF!</v>
      </c>
      <c r="G58" s="848" t="e">
        <f t="shared" si="29"/>
        <v>#REF!</v>
      </c>
      <c r="H58" s="280"/>
      <c r="I58" s="849">
        <v>85696</v>
      </c>
      <c r="J58" s="430">
        <f t="shared" si="30"/>
        <v>1456832</v>
      </c>
      <c r="L58" s="850" t="e">
        <f t="shared" si="18"/>
        <v>#REF!</v>
      </c>
      <c r="M58" s="851" t="e">
        <f t="shared" si="19"/>
        <v>#REF!</v>
      </c>
      <c r="N58" s="46" t="e">
        <f t="shared" si="31"/>
        <v>#REF!</v>
      </c>
      <c r="O58" s="246">
        <v>1.1000000000000001</v>
      </c>
      <c r="T58" s="246">
        <f>+'AREAS Y PERIMETROS'!C16</f>
        <v>15.16</v>
      </c>
      <c r="W58" s="246">
        <f>+ROUND(O58*T58,0)</f>
        <v>17</v>
      </c>
      <c r="X58" s="248" t="s">
        <v>733</v>
      </c>
      <c r="Y58" s="48"/>
      <c r="Z58" s="48"/>
    </row>
    <row r="59" spans="2:26" ht="38.25">
      <c r="B59" s="844" t="s">
        <v>891</v>
      </c>
      <c r="C59" s="853" t="s">
        <v>892</v>
      </c>
      <c r="D59" s="884" t="s">
        <v>95</v>
      </c>
      <c r="E59" s="846">
        <f t="shared" si="33"/>
        <v>3</v>
      </c>
      <c r="F59" s="847" t="e">
        <f>+'EST.MERCADO.'!Z59</f>
        <v>#REF!</v>
      </c>
      <c r="G59" s="848" t="e">
        <f t="shared" si="29"/>
        <v>#REF!</v>
      </c>
      <c r="H59" s="280"/>
      <c r="I59" s="849">
        <v>231954</v>
      </c>
      <c r="J59" s="430">
        <f t="shared" si="30"/>
        <v>695862</v>
      </c>
      <c r="L59" s="850" t="e">
        <f t="shared" si="18"/>
        <v>#REF!</v>
      </c>
      <c r="M59" s="851" t="e">
        <f t="shared" si="19"/>
        <v>#REF!</v>
      </c>
      <c r="N59" s="46" t="e">
        <f t="shared" si="31"/>
        <v>#REF!</v>
      </c>
      <c r="O59" s="246">
        <v>3</v>
      </c>
      <c r="S59" s="246">
        <v>1</v>
      </c>
      <c r="W59" s="246">
        <f>+ROUND(O59*S59,0)</f>
        <v>3</v>
      </c>
      <c r="X59" s="248" t="s">
        <v>893</v>
      </c>
      <c r="Y59" s="48"/>
      <c r="Z59" s="48"/>
    </row>
    <row r="60" spans="2:26" ht="25.5">
      <c r="B60" s="844" t="s">
        <v>894</v>
      </c>
      <c r="C60" s="853" t="s">
        <v>895</v>
      </c>
      <c r="D60" s="884" t="s">
        <v>154</v>
      </c>
      <c r="E60" s="846">
        <f t="shared" si="33"/>
        <v>2</v>
      </c>
      <c r="F60" s="847" t="e">
        <f>+'EST.MERCADO.'!Z60</f>
        <v>#REF!</v>
      </c>
      <c r="G60" s="848" t="e">
        <f t="shared" si="29"/>
        <v>#REF!</v>
      </c>
      <c r="H60" s="280"/>
      <c r="I60" s="849">
        <v>96906</v>
      </c>
      <c r="J60" s="430">
        <f t="shared" si="30"/>
        <v>193812</v>
      </c>
      <c r="L60" s="850" t="e">
        <f t="shared" ref="L60" si="34">+F60</f>
        <v>#REF!</v>
      </c>
      <c r="M60" s="851" t="e">
        <f t="shared" ref="M60" si="35">+L60*E60</f>
        <v>#REF!</v>
      </c>
      <c r="N60" s="46" t="e">
        <f t="shared" si="31"/>
        <v>#REF!</v>
      </c>
      <c r="O60" s="246">
        <v>1</v>
      </c>
      <c r="Q60" s="246">
        <v>0.8</v>
      </c>
      <c r="S60" s="246">
        <v>2</v>
      </c>
      <c r="W60" s="246">
        <f>+ROUND(O60*Q60*S60,0)</f>
        <v>2</v>
      </c>
      <c r="X60" s="248" t="s">
        <v>706</v>
      </c>
      <c r="Y60" s="48"/>
      <c r="Z60" s="48"/>
    </row>
    <row r="61" spans="2:26">
      <c r="B61" s="861">
        <v>10</v>
      </c>
      <c r="C61" s="862" t="s">
        <v>896</v>
      </c>
      <c r="D61" s="863"/>
      <c r="E61" s="864"/>
      <c r="F61" s="865"/>
      <c r="G61" s="866" t="e">
        <f>+SUBTOTAL(9,G62:G63)</f>
        <v>#REF!</v>
      </c>
      <c r="H61" s="279"/>
      <c r="I61" s="867"/>
      <c r="J61" s="432">
        <f>+SUBTOTAL(9,J62:J63)</f>
        <v>7121259</v>
      </c>
      <c r="L61" s="850">
        <f>+F61</f>
        <v>0</v>
      </c>
      <c r="M61" s="851">
        <f>+L61*E61</f>
        <v>0</v>
      </c>
      <c r="Y61" s="48"/>
      <c r="Z61" s="48"/>
    </row>
    <row r="62" spans="2:26" ht="44.25" customHeight="1">
      <c r="B62" s="844" t="s">
        <v>897</v>
      </c>
      <c r="C62" s="872" t="s">
        <v>898</v>
      </c>
      <c r="D62" s="812" t="s">
        <v>95</v>
      </c>
      <c r="E62" s="846">
        <f>+ENCHAPES!R7</f>
        <v>2</v>
      </c>
      <c r="F62" s="847" t="e">
        <f>+'EST.MERCADO.'!Z62</f>
        <v>#REF!</v>
      </c>
      <c r="G62" s="848" t="e">
        <f t="shared" ref="G62:G63" si="36">+F62*E62</f>
        <v>#REF!</v>
      </c>
      <c r="H62" s="280"/>
      <c r="I62" s="849">
        <v>487026</v>
      </c>
      <c r="J62" s="430">
        <f t="shared" ref="J62:J63" si="37">+E62*I62</f>
        <v>974052</v>
      </c>
      <c r="L62" s="850" t="e">
        <f>+F62</f>
        <v>#REF!</v>
      </c>
      <c r="M62" s="851" t="e">
        <f>+L62*E62</f>
        <v>#REF!</v>
      </c>
      <c r="N62" s="46" t="e">
        <f>+IF(M62=G62,"ok","error")</f>
        <v>#REF!</v>
      </c>
      <c r="O62" s="58"/>
      <c r="P62" s="58"/>
      <c r="Q62" s="58"/>
      <c r="R62" s="58"/>
      <c r="S62" s="58"/>
      <c r="T62" s="58"/>
      <c r="U62" s="259"/>
      <c r="V62" s="58"/>
      <c r="W62" s="58"/>
      <c r="X62" s="248" t="s">
        <v>899</v>
      </c>
      <c r="Y62" s="48"/>
      <c r="Z62" s="48"/>
    </row>
    <row r="63" spans="2:26" ht="35.1" customHeight="1">
      <c r="B63" s="844" t="s">
        <v>900</v>
      </c>
      <c r="C63" s="816" t="s">
        <v>901</v>
      </c>
      <c r="D63" s="812" t="s">
        <v>145</v>
      </c>
      <c r="E63" s="846">
        <f>+ENCHAPES!R8</f>
        <v>99</v>
      </c>
      <c r="F63" s="847" t="e">
        <f>+'EST.MERCADO.'!Z63</f>
        <v>#REF!</v>
      </c>
      <c r="G63" s="848" t="e">
        <f t="shared" si="36"/>
        <v>#REF!</v>
      </c>
      <c r="H63" s="280"/>
      <c r="I63" s="849">
        <v>62093</v>
      </c>
      <c r="J63" s="430">
        <f t="shared" si="37"/>
        <v>6147207</v>
      </c>
      <c r="L63" s="850" t="e">
        <f>+F63</f>
        <v>#REF!</v>
      </c>
      <c r="M63" s="851" t="e">
        <f>+L63*E63</f>
        <v>#REF!</v>
      </c>
      <c r="N63" s="46" t="e">
        <f>+IF(M63=G63,"ok","error")</f>
        <v>#REF!</v>
      </c>
      <c r="U63" s="57"/>
      <c r="X63" s="248" t="s">
        <v>902</v>
      </c>
      <c r="Y63" s="48"/>
      <c r="Z63" s="48"/>
    </row>
    <row r="64" spans="2:26">
      <c r="B64" s="861">
        <v>11</v>
      </c>
      <c r="C64" s="862" t="s">
        <v>509</v>
      </c>
      <c r="D64" s="863"/>
      <c r="E64" s="864"/>
      <c r="F64" s="865"/>
      <c r="G64" s="866" t="e">
        <f>+SUBTOTAL(9,G65:G65)</f>
        <v>#REF!</v>
      </c>
      <c r="H64" s="279"/>
      <c r="I64" s="867"/>
      <c r="J64" s="432">
        <f>+SUBTOTAL(9,J65:J65)</f>
        <v>1589040</v>
      </c>
      <c r="L64" s="850">
        <f>+F64</f>
        <v>0</v>
      </c>
      <c r="M64" s="851">
        <f>+L64*E64</f>
        <v>0</v>
      </c>
      <c r="Y64" s="48"/>
      <c r="Z64" s="48"/>
    </row>
    <row r="65" spans="2:26" ht="51" customHeight="1">
      <c r="B65" s="844" t="s">
        <v>903</v>
      </c>
      <c r="C65" s="256" t="s">
        <v>904</v>
      </c>
      <c r="D65" s="812" t="s">
        <v>145</v>
      </c>
      <c r="E65" s="846">
        <f>+W65</f>
        <v>40</v>
      </c>
      <c r="F65" s="847" t="e">
        <f>+'EST.MERCADO.'!Z65</f>
        <v>#REF!</v>
      </c>
      <c r="G65" s="848" t="e">
        <f>+F65*E65</f>
        <v>#REF!</v>
      </c>
      <c r="H65" s="280"/>
      <c r="I65" s="849">
        <v>39726</v>
      </c>
      <c r="J65" s="430">
        <f>+E65*I65</f>
        <v>1589040</v>
      </c>
      <c r="L65" s="850" t="e">
        <f>+F65</f>
        <v>#REF!</v>
      </c>
      <c r="M65" s="851" t="e">
        <f>+L65*E65</f>
        <v>#REF!</v>
      </c>
      <c r="N65" s="46" t="e">
        <f>+IF(M65=G65,"ok","error")</f>
        <v>#REF!</v>
      </c>
      <c r="O65" s="246">
        <v>1.05</v>
      </c>
      <c r="U65" s="246">
        <f>+'AREAS Y PERIMETROS'!B36</f>
        <v>38</v>
      </c>
      <c r="W65" s="246">
        <f>+ROUND(O65*U65,0)</f>
        <v>40</v>
      </c>
      <c r="X65" s="248" t="s">
        <v>905</v>
      </c>
      <c r="Y65" s="48"/>
      <c r="Z65" s="48"/>
    </row>
    <row r="66" spans="2:26">
      <c r="B66" s="861">
        <v>12</v>
      </c>
      <c r="C66" s="885" t="s">
        <v>508</v>
      </c>
      <c r="D66" s="863"/>
      <c r="E66" s="864"/>
      <c r="F66" s="865"/>
      <c r="G66" s="866" t="e">
        <f>+SUBTOTAL(9,G67:G73)</f>
        <v>#REF!</v>
      </c>
      <c r="H66" s="279"/>
      <c r="I66" s="867"/>
      <c r="J66" s="432">
        <f>+SUBTOTAL(9,J67:J73)</f>
        <v>11416351.800000001</v>
      </c>
      <c r="L66" s="850">
        <f t="shared" ref="L66:L115" si="38">+F66</f>
        <v>0</v>
      </c>
      <c r="M66" s="851">
        <f t="shared" ref="M66:M115" si="39">+L66*E66</f>
        <v>0</v>
      </c>
      <c r="Y66" s="48"/>
      <c r="Z66" s="48"/>
    </row>
    <row r="67" spans="2:26" ht="66.75" customHeight="1">
      <c r="B67" s="844" t="s">
        <v>906</v>
      </c>
      <c r="C67" s="816" t="s">
        <v>907</v>
      </c>
      <c r="D67" s="812" t="s">
        <v>145</v>
      </c>
      <c r="E67" s="846">
        <f>+W67</f>
        <v>18</v>
      </c>
      <c r="F67" s="847" t="e">
        <f>+'EST.MERCADO.'!Z67</f>
        <v>#REF!</v>
      </c>
      <c r="G67" s="848" t="e">
        <f t="shared" ref="G67:G73" si="40">+F67*E67</f>
        <v>#REF!</v>
      </c>
      <c r="H67" s="280"/>
      <c r="I67" s="849">
        <v>75820</v>
      </c>
      <c r="J67" s="430">
        <f t="shared" ref="J67:J73" si="41">+E67*I67</f>
        <v>1364760</v>
      </c>
      <c r="L67" s="850" t="e">
        <f t="shared" si="38"/>
        <v>#REF!</v>
      </c>
      <c r="M67" s="851" t="e">
        <f t="shared" si="39"/>
        <v>#REF!</v>
      </c>
      <c r="N67" s="46" t="e">
        <f t="shared" ref="N67:N118" si="42">+IF(M67=G67,"ok","error")</f>
        <v>#REF!</v>
      </c>
      <c r="O67" s="246">
        <v>1.1000000000000001</v>
      </c>
      <c r="U67" s="246">
        <f>+'AREAS Y PERIMETROS'!B15</f>
        <v>16.100000000000001</v>
      </c>
      <c r="W67" s="246">
        <f>+ROUND(O67*U67,0)</f>
        <v>18</v>
      </c>
      <c r="X67" s="248" t="s">
        <v>908</v>
      </c>
      <c r="Y67" s="48"/>
      <c r="Z67" s="48"/>
    </row>
    <row r="68" spans="2:26" ht="72" customHeight="1">
      <c r="B68" s="844" t="s">
        <v>348</v>
      </c>
      <c r="C68" s="816" t="s">
        <v>909</v>
      </c>
      <c r="D68" s="812" t="s">
        <v>145</v>
      </c>
      <c r="E68" s="846">
        <f>+PINTURA!CB9</f>
        <v>74</v>
      </c>
      <c r="F68" s="847" t="e">
        <f>+'EST.MERCADO.'!Z68</f>
        <v>#REF!</v>
      </c>
      <c r="G68" s="848" t="e">
        <f t="shared" si="40"/>
        <v>#REF!</v>
      </c>
      <c r="H68" s="280"/>
      <c r="I68" s="849">
        <v>54883</v>
      </c>
      <c r="J68" s="430">
        <f t="shared" si="41"/>
        <v>4061342</v>
      </c>
      <c r="L68" s="850" t="e">
        <f t="shared" si="38"/>
        <v>#REF!</v>
      </c>
      <c r="M68" s="851" t="e">
        <f t="shared" si="39"/>
        <v>#REF!</v>
      </c>
      <c r="N68" s="46" t="e">
        <f t="shared" si="42"/>
        <v>#REF!</v>
      </c>
      <c r="O68" s="246">
        <v>1.1000000000000001</v>
      </c>
      <c r="U68" s="246">
        <f>+SUM('AREAS Y PERIMETROS'!B10:B14)+'AREAS Y PERIMETROS'!B7+SUM('AREAS Y PERIMETROS'!B23:B25)</f>
        <v>115.44</v>
      </c>
      <c r="W68" s="246">
        <f>+ROUND(O68*U68,0)</f>
        <v>127</v>
      </c>
      <c r="X68" s="248" t="s">
        <v>910</v>
      </c>
      <c r="Y68" s="48"/>
      <c r="Z68" s="48"/>
    </row>
    <row r="69" spans="2:26" ht="51.75" customHeight="1">
      <c r="B69" s="844" t="s">
        <v>911</v>
      </c>
      <c r="C69" s="816" t="s">
        <v>912</v>
      </c>
      <c r="D69" s="812" t="s">
        <v>95</v>
      </c>
      <c r="E69" s="846">
        <f>+W69</f>
        <v>6</v>
      </c>
      <c r="F69" s="847" t="e">
        <f>+'EST.MERCADO.'!Z69</f>
        <v>#REF!</v>
      </c>
      <c r="G69" s="848" t="e">
        <f t="shared" si="40"/>
        <v>#REF!</v>
      </c>
      <c r="H69" s="280"/>
      <c r="I69" s="849">
        <v>116253</v>
      </c>
      <c r="J69" s="430">
        <f t="shared" si="41"/>
        <v>697518</v>
      </c>
      <c r="L69" s="850" t="e">
        <f t="shared" si="38"/>
        <v>#REF!</v>
      </c>
      <c r="M69" s="851" t="e">
        <f t="shared" si="39"/>
        <v>#REF!</v>
      </c>
      <c r="N69" s="46" t="e">
        <f t="shared" si="42"/>
        <v>#REF!</v>
      </c>
      <c r="O69" s="246">
        <v>1</v>
      </c>
      <c r="S69" s="246">
        <v>6</v>
      </c>
      <c r="W69" s="246">
        <f>+O69*S69</f>
        <v>6</v>
      </c>
      <c r="X69" s="248" t="s">
        <v>913</v>
      </c>
      <c r="Y69" s="48"/>
      <c r="Z69" s="48"/>
    </row>
    <row r="70" spans="2:26" ht="51.75" customHeight="1">
      <c r="B70" s="844" t="s">
        <v>914</v>
      </c>
      <c r="C70" s="816" t="s">
        <v>915</v>
      </c>
      <c r="D70" s="812" t="s">
        <v>95</v>
      </c>
      <c r="E70" s="846">
        <f>+W70</f>
        <v>14</v>
      </c>
      <c r="F70" s="847" t="e">
        <f>+'EST.MERCADO.'!Z70</f>
        <v>#REF!</v>
      </c>
      <c r="G70" s="848" t="e">
        <f t="shared" si="40"/>
        <v>#REF!</v>
      </c>
      <c r="H70" s="280"/>
      <c r="I70" s="849">
        <v>189406</v>
      </c>
      <c r="J70" s="430">
        <f t="shared" si="41"/>
        <v>2651684</v>
      </c>
      <c r="L70" s="850" t="e">
        <f t="shared" ref="L70" si="43">+F70</f>
        <v>#REF!</v>
      </c>
      <c r="M70" s="851" t="e">
        <f t="shared" ref="M70" si="44">+L70*E70</f>
        <v>#REF!</v>
      </c>
      <c r="N70" s="46" t="e">
        <f t="shared" si="42"/>
        <v>#REF!</v>
      </c>
      <c r="O70" s="246">
        <v>1</v>
      </c>
      <c r="S70" s="246">
        <v>14</v>
      </c>
      <c r="W70" s="246">
        <f>+O70*S70</f>
        <v>14</v>
      </c>
      <c r="X70" s="248" t="s">
        <v>916</v>
      </c>
      <c r="Y70" s="48"/>
      <c r="Z70" s="48"/>
    </row>
    <row r="71" spans="2:26" ht="44.25" customHeight="1">
      <c r="B71" s="844" t="s">
        <v>917</v>
      </c>
      <c r="C71" s="816" t="s">
        <v>918</v>
      </c>
      <c r="D71" s="812" t="s">
        <v>145</v>
      </c>
      <c r="E71" s="846">
        <f t="shared" ref="E71:E73" si="45">+W71</f>
        <v>7.4</v>
      </c>
      <c r="F71" s="847" t="e">
        <f>+'EST.MERCADO.'!Z71</f>
        <v>#REF!</v>
      </c>
      <c r="G71" s="848" t="e">
        <f t="shared" si="40"/>
        <v>#REF!</v>
      </c>
      <c r="H71" s="280"/>
      <c r="I71" s="849">
        <v>80137</v>
      </c>
      <c r="J71" s="430">
        <f t="shared" si="41"/>
        <v>593013.80000000005</v>
      </c>
      <c r="L71" s="850" t="e">
        <f t="shared" ref="L71:L72" si="46">+F71</f>
        <v>#REF!</v>
      </c>
      <c r="M71" s="851" t="e">
        <f t="shared" ref="M71:M72" si="47">+L71*E71</f>
        <v>#REF!</v>
      </c>
      <c r="N71" s="46" t="e">
        <f t="shared" si="42"/>
        <v>#REF!</v>
      </c>
      <c r="O71" s="246">
        <v>1.1000000000000001</v>
      </c>
      <c r="P71" s="246">
        <v>0.3</v>
      </c>
      <c r="Q71" s="246">
        <v>3</v>
      </c>
      <c r="S71" s="246">
        <v>3</v>
      </c>
      <c r="W71" s="246">
        <f>+O71+P71+Q71+S71</f>
        <v>7.4</v>
      </c>
      <c r="X71" s="248" t="s">
        <v>919</v>
      </c>
      <c r="Y71" s="48"/>
      <c r="Z71" s="48"/>
    </row>
    <row r="72" spans="2:26" ht="41.25" customHeight="1">
      <c r="B72" s="844" t="s">
        <v>920</v>
      </c>
      <c r="C72" s="816" t="s">
        <v>921</v>
      </c>
      <c r="D72" s="812" t="s">
        <v>95</v>
      </c>
      <c r="E72" s="846">
        <f t="shared" si="45"/>
        <v>6</v>
      </c>
      <c r="F72" s="847" t="e">
        <f>+'EST.MERCADO.'!Z72</f>
        <v>#REF!</v>
      </c>
      <c r="G72" s="848" t="e">
        <f t="shared" si="40"/>
        <v>#REF!</v>
      </c>
      <c r="H72" s="280"/>
      <c r="I72" s="849">
        <v>36719</v>
      </c>
      <c r="J72" s="430">
        <f t="shared" si="41"/>
        <v>220314</v>
      </c>
      <c r="L72" s="850" t="e">
        <f t="shared" si="46"/>
        <v>#REF!</v>
      </c>
      <c r="M72" s="851" t="e">
        <f t="shared" si="47"/>
        <v>#REF!</v>
      </c>
      <c r="N72" s="46" t="e">
        <f t="shared" si="42"/>
        <v>#REF!</v>
      </c>
      <c r="O72" s="246">
        <v>1</v>
      </c>
      <c r="S72" s="246">
        <v>6</v>
      </c>
      <c r="W72" s="246">
        <f>+O72*S72</f>
        <v>6</v>
      </c>
      <c r="X72" s="248" t="s">
        <v>922</v>
      </c>
      <c r="Y72" s="48"/>
      <c r="Z72" s="48"/>
    </row>
    <row r="73" spans="2:26" ht="41.25" customHeight="1">
      <c r="B73" s="844" t="s">
        <v>923</v>
      </c>
      <c r="C73" s="816" t="s">
        <v>924</v>
      </c>
      <c r="D73" s="812" t="s">
        <v>95</v>
      </c>
      <c r="E73" s="846">
        <f t="shared" si="45"/>
        <v>30</v>
      </c>
      <c r="F73" s="847" t="e">
        <f>+'EST.MERCADO.'!Z73</f>
        <v>#REF!</v>
      </c>
      <c r="G73" s="848" t="e">
        <f t="shared" si="40"/>
        <v>#REF!</v>
      </c>
      <c r="H73" s="280"/>
      <c r="I73" s="849">
        <v>60924</v>
      </c>
      <c r="J73" s="430">
        <f t="shared" si="41"/>
        <v>1827720</v>
      </c>
      <c r="L73" s="850" t="e">
        <f t="shared" ref="L73" si="48">+F73</f>
        <v>#REF!</v>
      </c>
      <c r="M73" s="851" t="e">
        <f t="shared" ref="M73" si="49">+L73*E73</f>
        <v>#REF!</v>
      </c>
      <c r="O73" s="246">
        <v>1</v>
      </c>
      <c r="S73" s="246">
        <v>30</v>
      </c>
      <c r="W73" s="246">
        <f>+O73*S73</f>
        <v>30</v>
      </c>
      <c r="X73" s="248" t="s">
        <v>925</v>
      </c>
      <c r="Y73" s="48"/>
      <c r="Z73" s="48"/>
    </row>
    <row r="74" spans="2:26">
      <c r="B74" s="861">
        <v>13</v>
      </c>
      <c r="C74" s="862" t="s">
        <v>926</v>
      </c>
      <c r="D74" s="863"/>
      <c r="E74" s="864"/>
      <c r="F74" s="847"/>
      <c r="G74" s="866" t="e">
        <f>+SUBTOTAL(9,G75:G77)</f>
        <v>#REF!</v>
      </c>
      <c r="H74" s="279"/>
      <c r="I74" s="867"/>
      <c r="J74" s="432">
        <f>+SUBTOTAL(9,J75:J77)</f>
        <v>46590792</v>
      </c>
      <c r="L74" s="850">
        <f t="shared" si="38"/>
        <v>0</v>
      </c>
      <c r="M74" s="851">
        <f t="shared" si="39"/>
        <v>0</v>
      </c>
      <c r="Y74" s="48"/>
      <c r="Z74" s="48"/>
    </row>
    <row r="75" spans="2:26" ht="82.5" customHeight="1">
      <c r="B75" s="844" t="s">
        <v>927</v>
      </c>
      <c r="C75" s="816" t="s">
        <v>928</v>
      </c>
      <c r="D75" s="812" t="s">
        <v>95</v>
      </c>
      <c r="E75" s="846">
        <f>+W75</f>
        <v>1</v>
      </c>
      <c r="F75" s="847" t="e">
        <f>+'EST.MERCADO.'!Z75</f>
        <v>#REF!</v>
      </c>
      <c r="G75" s="848" t="e">
        <f t="shared" ref="G75:G77" si="50">+F75*E75</f>
        <v>#REF!</v>
      </c>
      <c r="H75" s="280"/>
      <c r="I75" s="849">
        <v>16613792</v>
      </c>
      <c r="J75" s="430">
        <f t="shared" ref="J75:J77" si="51">+E75*I75</f>
        <v>16613792</v>
      </c>
      <c r="L75" s="850" t="e">
        <f t="shared" si="38"/>
        <v>#REF!</v>
      </c>
      <c r="M75" s="851" t="e">
        <f t="shared" si="39"/>
        <v>#REF!</v>
      </c>
      <c r="N75" s="46" t="e">
        <f t="shared" si="42"/>
        <v>#REF!</v>
      </c>
      <c r="O75" s="246">
        <v>1</v>
      </c>
      <c r="S75" s="246">
        <v>1</v>
      </c>
      <c r="W75" s="246">
        <f>+O75*S75</f>
        <v>1</v>
      </c>
      <c r="X75" s="248" t="s">
        <v>929</v>
      </c>
      <c r="Y75" s="48"/>
      <c r="Z75" s="48"/>
    </row>
    <row r="76" spans="2:26" ht="113.25" customHeight="1">
      <c r="B76" s="844" t="s">
        <v>930</v>
      </c>
      <c r="C76" s="816" t="s">
        <v>931</v>
      </c>
      <c r="D76" s="812" t="s">
        <v>95</v>
      </c>
      <c r="E76" s="846">
        <f>+W76</f>
        <v>1</v>
      </c>
      <c r="F76" s="847" t="e">
        <f>+'EST.MERCADO.'!Z76</f>
        <v>#REF!</v>
      </c>
      <c r="G76" s="848" t="e">
        <f t="shared" si="50"/>
        <v>#REF!</v>
      </c>
      <c r="H76" s="280"/>
      <c r="I76" s="849">
        <v>23431100</v>
      </c>
      <c r="J76" s="430">
        <f t="shared" si="51"/>
        <v>23431100</v>
      </c>
      <c r="L76" s="850" t="e">
        <f t="shared" si="38"/>
        <v>#REF!</v>
      </c>
      <c r="M76" s="851" t="e">
        <f t="shared" si="39"/>
        <v>#REF!</v>
      </c>
      <c r="N76" s="46" t="e">
        <f t="shared" si="42"/>
        <v>#REF!</v>
      </c>
      <c r="O76" s="246">
        <v>1</v>
      </c>
      <c r="S76" s="246">
        <v>1</v>
      </c>
      <c r="W76" s="246">
        <f>+O76*S76</f>
        <v>1</v>
      </c>
      <c r="X76" s="248" t="s">
        <v>932</v>
      </c>
      <c r="Y76" s="48"/>
      <c r="Z76" s="48"/>
    </row>
    <row r="77" spans="2:26" ht="76.5">
      <c r="B77" s="844" t="s">
        <v>933</v>
      </c>
      <c r="C77" s="872" t="s">
        <v>934</v>
      </c>
      <c r="D77" s="886" t="s">
        <v>145</v>
      </c>
      <c r="E77" s="846">
        <f>+W77</f>
        <v>5</v>
      </c>
      <c r="F77" s="847" t="e">
        <f>+'EST.MERCADO.'!Z77</f>
        <v>#REF!</v>
      </c>
      <c r="G77" s="848" t="e">
        <f t="shared" si="50"/>
        <v>#REF!</v>
      </c>
      <c r="H77" s="280"/>
      <c r="I77" s="849">
        <v>1309180</v>
      </c>
      <c r="J77" s="430">
        <f t="shared" si="51"/>
        <v>6545900</v>
      </c>
      <c r="L77" s="850" t="e">
        <f t="shared" si="38"/>
        <v>#REF!</v>
      </c>
      <c r="M77" s="851" t="e">
        <f t="shared" si="39"/>
        <v>#REF!</v>
      </c>
      <c r="N77" s="46" t="e">
        <f t="shared" si="42"/>
        <v>#REF!</v>
      </c>
      <c r="O77" s="246">
        <v>1</v>
      </c>
      <c r="Q77" s="246">
        <v>2.4</v>
      </c>
      <c r="S77" s="246">
        <v>1</v>
      </c>
      <c r="V77" s="246">
        <v>2.1</v>
      </c>
      <c r="W77" s="246">
        <f>+ROUND(O77*Q77*S77*V77,1)</f>
        <v>5</v>
      </c>
      <c r="X77" s="248" t="s">
        <v>935</v>
      </c>
      <c r="Y77" s="48"/>
      <c r="Z77" s="48"/>
    </row>
    <row r="78" spans="2:26">
      <c r="B78" s="861">
        <v>14</v>
      </c>
      <c r="C78" s="862" t="s">
        <v>936</v>
      </c>
      <c r="D78" s="863"/>
      <c r="E78" s="864"/>
      <c r="F78" s="865"/>
      <c r="G78" s="866" t="e">
        <f>+SUBTOTAL(9,G79:G91)</f>
        <v>#REF!</v>
      </c>
      <c r="H78" s="279"/>
      <c r="I78" s="867"/>
      <c r="J78" s="432">
        <f>+SUBTOTAL(9,J79:J91)</f>
        <v>43430723</v>
      </c>
      <c r="L78" s="850">
        <f t="shared" si="38"/>
        <v>0</v>
      </c>
      <c r="M78" s="851">
        <f t="shared" si="39"/>
        <v>0</v>
      </c>
      <c r="O78" s="58"/>
      <c r="Y78" s="48"/>
      <c r="Z78" s="48"/>
    </row>
    <row r="79" spans="2:26" ht="45" customHeight="1">
      <c r="B79" s="844" t="s">
        <v>937</v>
      </c>
      <c r="C79" s="1055" t="s">
        <v>938</v>
      </c>
      <c r="D79" s="1056" t="s">
        <v>154</v>
      </c>
      <c r="E79" s="1057">
        <f>+W79</f>
        <v>4</v>
      </c>
      <c r="F79" s="1054" t="e">
        <f>+'EST.MERCADO.'!Z79</f>
        <v>#REF!</v>
      </c>
      <c r="G79" s="848" t="e">
        <f t="shared" ref="G79:G91" si="52">+F79*E79</f>
        <v>#REF!</v>
      </c>
      <c r="H79" s="280"/>
      <c r="I79" s="849">
        <v>56884</v>
      </c>
      <c r="J79" s="430">
        <f t="shared" ref="J79:J91" si="53">+E79*I79</f>
        <v>227536</v>
      </c>
      <c r="L79" s="850" t="e">
        <f t="shared" si="38"/>
        <v>#REF!</v>
      </c>
      <c r="M79" s="851" t="e">
        <f t="shared" si="39"/>
        <v>#REF!</v>
      </c>
      <c r="N79" s="46" t="e">
        <f t="shared" si="42"/>
        <v>#REF!</v>
      </c>
      <c r="O79" s="246">
        <v>1</v>
      </c>
      <c r="R79" s="246">
        <v>1.2</v>
      </c>
      <c r="S79" s="246">
        <v>3</v>
      </c>
      <c r="W79" s="246">
        <f>+ROUND(O79*R79*S79,0)</f>
        <v>4</v>
      </c>
      <c r="X79" s="248" t="s">
        <v>939</v>
      </c>
      <c r="Y79" s="48"/>
      <c r="Z79" s="48"/>
    </row>
    <row r="80" spans="2:26" ht="71.25" customHeight="1">
      <c r="B80" s="844" t="s">
        <v>940</v>
      </c>
      <c r="C80" s="853" t="s">
        <v>941</v>
      </c>
      <c r="D80" s="812" t="s">
        <v>154</v>
      </c>
      <c r="E80" s="887">
        <f>+FLANCHES!R7</f>
        <v>51</v>
      </c>
      <c r="F80" s="1054" t="e">
        <f>+'EST.MERCADO.'!Z80</f>
        <v>#REF!</v>
      </c>
      <c r="G80" s="848" t="e">
        <f t="shared" si="52"/>
        <v>#REF!</v>
      </c>
      <c r="H80" s="280"/>
      <c r="I80" s="849">
        <v>32198</v>
      </c>
      <c r="J80" s="430">
        <f t="shared" si="53"/>
        <v>1642098</v>
      </c>
      <c r="L80" s="850" t="e">
        <f t="shared" si="38"/>
        <v>#REF!</v>
      </c>
      <c r="M80" s="851" t="e">
        <f t="shared" si="39"/>
        <v>#REF!</v>
      </c>
      <c r="N80" s="46" t="e">
        <f t="shared" si="42"/>
        <v>#REF!</v>
      </c>
      <c r="S80" s="51"/>
      <c r="W80" s="247"/>
      <c r="X80" s="248"/>
      <c r="Y80" s="48"/>
      <c r="Z80" s="48"/>
    </row>
    <row r="81" spans="2:33" ht="60" customHeight="1">
      <c r="B81" s="844" t="s">
        <v>942</v>
      </c>
      <c r="C81" s="853" t="s">
        <v>943</v>
      </c>
      <c r="D81" s="812" t="s">
        <v>154</v>
      </c>
      <c r="E81" s="887">
        <f>+FLANCHES!R8</f>
        <v>18</v>
      </c>
      <c r="F81" s="1054" t="e">
        <f>+'EST.MERCADO.'!Z81</f>
        <v>#REF!</v>
      </c>
      <c r="G81" s="848" t="e">
        <f t="shared" si="52"/>
        <v>#REF!</v>
      </c>
      <c r="H81" s="280"/>
      <c r="I81" s="849">
        <v>59259</v>
      </c>
      <c r="J81" s="430">
        <f t="shared" si="53"/>
        <v>1066662</v>
      </c>
      <c r="L81" s="850" t="e">
        <f t="shared" si="38"/>
        <v>#REF!</v>
      </c>
      <c r="M81" s="851" t="e">
        <f t="shared" si="39"/>
        <v>#REF!</v>
      </c>
      <c r="N81" s="46" t="e">
        <f t="shared" si="42"/>
        <v>#REF!</v>
      </c>
      <c r="S81" s="51"/>
      <c r="W81" s="247"/>
      <c r="X81" s="248"/>
      <c r="Y81" s="48"/>
      <c r="Z81" s="48"/>
    </row>
    <row r="82" spans="2:33" ht="60" customHeight="1">
      <c r="B82" s="844" t="s">
        <v>944</v>
      </c>
      <c r="C82" s="853" t="s">
        <v>945</v>
      </c>
      <c r="D82" s="254" t="s">
        <v>154</v>
      </c>
      <c r="E82" s="887">
        <f>+FLANCHES!R9</f>
        <v>33</v>
      </c>
      <c r="F82" s="1054" t="e">
        <f>+'EST.MERCADO.'!Z82</f>
        <v>#REF!</v>
      </c>
      <c r="G82" s="848" t="e">
        <f t="shared" si="52"/>
        <v>#REF!</v>
      </c>
      <c r="H82" s="280"/>
      <c r="I82" s="849">
        <v>138226</v>
      </c>
      <c r="J82" s="430">
        <f t="shared" si="53"/>
        <v>4561458</v>
      </c>
      <c r="L82" s="850" t="e">
        <f t="shared" si="38"/>
        <v>#REF!</v>
      </c>
      <c r="M82" s="851" t="e">
        <f t="shared" si="39"/>
        <v>#REF!</v>
      </c>
      <c r="N82" s="160" t="e">
        <f t="shared" si="42"/>
        <v>#REF!</v>
      </c>
      <c r="S82" s="51"/>
      <c r="W82" s="247"/>
      <c r="X82" s="248"/>
      <c r="Y82" s="48"/>
      <c r="Z82" s="48"/>
    </row>
    <row r="83" spans="2:33" ht="45.75" customHeight="1">
      <c r="B83" s="855" t="s">
        <v>946</v>
      </c>
      <c r="C83" s="888" t="s">
        <v>947</v>
      </c>
      <c r="D83" s="857" t="s">
        <v>95</v>
      </c>
      <c r="E83" s="846">
        <f>+W83</f>
        <v>1</v>
      </c>
      <c r="F83" s="1054" t="e">
        <f>+'EST.MERCADO.'!Z83</f>
        <v>#REF!</v>
      </c>
      <c r="G83" s="859" t="e">
        <f t="shared" si="52"/>
        <v>#REF!</v>
      </c>
      <c r="H83" s="281"/>
      <c r="I83" s="860">
        <v>219880</v>
      </c>
      <c r="J83" s="431">
        <f t="shared" si="53"/>
        <v>219880</v>
      </c>
      <c r="L83" s="850" t="e">
        <f t="shared" si="38"/>
        <v>#REF!</v>
      </c>
      <c r="M83" s="851" t="e">
        <f t="shared" si="39"/>
        <v>#REF!</v>
      </c>
      <c r="N83" s="46" t="e">
        <f t="shared" si="42"/>
        <v>#REF!</v>
      </c>
      <c r="O83" s="246">
        <v>1</v>
      </c>
      <c r="S83" s="246">
        <v>1</v>
      </c>
      <c r="W83" s="247">
        <f>+O83*S83</f>
        <v>1</v>
      </c>
      <c r="X83" s="248" t="s">
        <v>948</v>
      </c>
      <c r="Y83" s="48"/>
      <c r="Z83" s="48"/>
    </row>
    <row r="84" spans="2:33" ht="89.25">
      <c r="B84" s="844" t="s">
        <v>949</v>
      </c>
      <c r="C84" s="888" t="s">
        <v>950</v>
      </c>
      <c r="D84" s="254" t="s">
        <v>154</v>
      </c>
      <c r="E84" s="260">
        <v>1</v>
      </c>
      <c r="F84" s="1054" t="e">
        <f>+'EST.MERCADO.'!Z84</f>
        <v>#REF!</v>
      </c>
      <c r="G84" s="848" t="e">
        <f t="shared" si="52"/>
        <v>#REF!</v>
      </c>
      <c r="H84" s="280"/>
      <c r="I84" s="849">
        <v>1173564</v>
      </c>
      <c r="J84" s="430">
        <f t="shared" si="53"/>
        <v>1173564</v>
      </c>
      <c r="L84" s="850" t="e">
        <f t="shared" si="38"/>
        <v>#REF!</v>
      </c>
      <c r="M84" s="851" t="e">
        <f t="shared" si="39"/>
        <v>#REF!</v>
      </c>
      <c r="N84" s="160" t="e">
        <f t="shared" si="42"/>
        <v>#REF!</v>
      </c>
      <c r="O84" s="246">
        <v>1.1000000000000001</v>
      </c>
      <c r="Q84" s="246"/>
      <c r="S84" s="51"/>
      <c r="U84" s="51">
        <f>+'AREAS Y PERIMETROS'!C30</f>
        <v>0</v>
      </c>
      <c r="W84" s="247">
        <f>+ROUND(O84*Q84,1)</f>
        <v>0</v>
      </c>
      <c r="X84" s="248"/>
      <c r="Y84" s="48"/>
      <c r="Z84" s="48"/>
    </row>
    <row r="85" spans="2:33" ht="72" customHeight="1">
      <c r="B85" s="855" t="s">
        <v>951</v>
      </c>
      <c r="C85" s="868" t="s">
        <v>952</v>
      </c>
      <c r="D85" s="254" t="s">
        <v>145</v>
      </c>
      <c r="E85" s="260">
        <f>+W85</f>
        <v>52</v>
      </c>
      <c r="F85" s="1054" t="e">
        <f>+'EST.MERCADO.'!Z85</f>
        <v>#REF!</v>
      </c>
      <c r="G85" s="848" t="e">
        <f t="shared" si="52"/>
        <v>#REF!</v>
      </c>
      <c r="H85" s="280"/>
      <c r="I85" s="849">
        <v>192500</v>
      </c>
      <c r="J85" s="430">
        <f t="shared" si="53"/>
        <v>10010000</v>
      </c>
      <c r="L85" s="850" t="e">
        <f t="shared" si="38"/>
        <v>#REF!</v>
      </c>
      <c r="M85" s="851" t="e">
        <f t="shared" si="39"/>
        <v>#REF!</v>
      </c>
      <c r="N85" s="160" t="e">
        <f t="shared" si="42"/>
        <v>#REF!</v>
      </c>
      <c r="O85" s="246">
        <v>1</v>
      </c>
      <c r="Q85" s="246">
        <f>17.7+7.1</f>
        <v>24.799999999999997</v>
      </c>
      <c r="S85" s="51"/>
      <c r="U85" s="51">
        <f>+'AREAS Y PERIMETROS'!C31</f>
        <v>0</v>
      </c>
      <c r="V85" s="51">
        <v>2.1</v>
      </c>
      <c r="W85" s="247">
        <f>+ROUND(O85*Q85*V85,0)</f>
        <v>52</v>
      </c>
      <c r="X85" s="248"/>
      <c r="Y85" s="48"/>
      <c r="Z85" s="48"/>
    </row>
    <row r="86" spans="2:33" ht="46.5" customHeight="1">
      <c r="B86" s="844" t="s">
        <v>953</v>
      </c>
      <c r="C86" s="816" t="s">
        <v>954</v>
      </c>
      <c r="D86" s="254" t="s">
        <v>95</v>
      </c>
      <c r="E86" s="260">
        <f t="shared" ref="E86:E90" si="54">+W86</f>
        <v>1</v>
      </c>
      <c r="F86" s="1054" t="e">
        <f>+'EST.MERCADO.'!Z86</f>
        <v>#REF!</v>
      </c>
      <c r="G86" s="848" t="e">
        <f t="shared" si="52"/>
        <v>#REF!</v>
      </c>
      <c r="H86" s="280"/>
      <c r="I86" s="849">
        <v>1856400</v>
      </c>
      <c r="J86" s="430">
        <f t="shared" si="53"/>
        <v>1856400</v>
      </c>
      <c r="L86" s="850" t="e">
        <f t="shared" si="38"/>
        <v>#REF!</v>
      </c>
      <c r="M86" s="851" t="e">
        <f t="shared" si="39"/>
        <v>#REF!</v>
      </c>
      <c r="N86" s="160" t="e">
        <f t="shared" si="42"/>
        <v>#REF!</v>
      </c>
      <c r="O86" s="246">
        <v>1</v>
      </c>
      <c r="S86" s="246">
        <v>1</v>
      </c>
      <c r="W86" s="247">
        <f>+ROUND(O86*S86,0)</f>
        <v>1</v>
      </c>
      <c r="X86" s="59" t="s">
        <v>955</v>
      </c>
      <c r="Y86" s="48"/>
      <c r="Z86" s="48"/>
    </row>
    <row r="87" spans="2:33" ht="46.5" customHeight="1">
      <c r="B87" s="889" t="s">
        <v>956</v>
      </c>
      <c r="C87" s="816" t="s">
        <v>957</v>
      </c>
      <c r="D87" s="254" t="s">
        <v>154</v>
      </c>
      <c r="E87" s="260">
        <f t="shared" si="54"/>
        <v>89</v>
      </c>
      <c r="F87" s="1054" t="e">
        <f>+'EST.MERCADO.'!Z87</f>
        <v>#REF!</v>
      </c>
      <c r="G87" s="848" t="e">
        <f t="shared" si="52"/>
        <v>#REF!</v>
      </c>
      <c r="H87" s="280"/>
      <c r="I87" s="849">
        <v>80325</v>
      </c>
      <c r="J87" s="430">
        <f t="shared" si="53"/>
        <v>7148925</v>
      </c>
      <c r="L87" s="850" t="e">
        <f t="shared" si="38"/>
        <v>#REF!</v>
      </c>
      <c r="M87" s="851" t="e">
        <f t="shared" si="39"/>
        <v>#REF!</v>
      </c>
      <c r="N87" s="160" t="e">
        <f t="shared" si="42"/>
        <v>#REF!</v>
      </c>
      <c r="O87" s="246">
        <v>1.05</v>
      </c>
      <c r="S87" s="246">
        <v>1</v>
      </c>
      <c r="T87" s="246">
        <f>+'AREAS Y PERIMETROS'!D32</f>
        <v>84.83</v>
      </c>
      <c r="W87" s="247">
        <f>+ROUND(O87*S87*T87,0)</f>
        <v>89</v>
      </c>
      <c r="Y87" s="48"/>
      <c r="Z87" s="48"/>
    </row>
    <row r="88" spans="2:33" ht="70.5" customHeight="1">
      <c r="B88" s="889" t="s">
        <v>958</v>
      </c>
      <c r="C88" s="816" t="s">
        <v>959</v>
      </c>
      <c r="D88" s="254" t="s">
        <v>95</v>
      </c>
      <c r="E88" s="260">
        <f t="shared" si="54"/>
        <v>8</v>
      </c>
      <c r="F88" s="1054" t="e">
        <f>+'EST.MERCADO.'!Z88</f>
        <v>#REF!</v>
      </c>
      <c r="G88" s="848" t="e">
        <f t="shared" si="52"/>
        <v>#REF!</v>
      </c>
      <c r="H88" s="280"/>
      <c r="I88" s="849">
        <v>1737400</v>
      </c>
      <c r="J88" s="430">
        <f t="shared" si="53"/>
        <v>13899200</v>
      </c>
      <c r="L88" s="850" t="e">
        <f t="shared" si="38"/>
        <v>#REF!</v>
      </c>
      <c r="M88" s="851" t="e">
        <f t="shared" si="39"/>
        <v>#REF!</v>
      </c>
      <c r="N88" s="160" t="e">
        <f t="shared" si="42"/>
        <v>#REF!</v>
      </c>
      <c r="O88" s="246">
        <v>1</v>
      </c>
      <c r="S88" s="246">
        <v>8</v>
      </c>
      <c r="W88" s="247">
        <f>+ROUND(O88*S88,0)</f>
        <v>8</v>
      </c>
      <c r="Y88" s="48"/>
      <c r="Z88" s="48"/>
    </row>
    <row r="89" spans="2:33" ht="63" customHeight="1">
      <c r="B89" s="889" t="s">
        <v>960</v>
      </c>
      <c r="C89" s="853" t="s">
        <v>961</v>
      </c>
      <c r="D89" s="254" t="s">
        <v>95</v>
      </c>
      <c r="E89" s="260">
        <f t="shared" si="54"/>
        <v>1</v>
      </c>
      <c r="F89" s="1054" t="e">
        <f>+'EST.MERCADO.'!Z89</f>
        <v>#REF!</v>
      </c>
      <c r="G89" s="848" t="e">
        <f t="shared" si="52"/>
        <v>#REF!</v>
      </c>
      <c r="H89" s="280"/>
      <c r="I89" s="849">
        <v>180000</v>
      </c>
      <c r="J89" s="430">
        <f t="shared" si="53"/>
        <v>180000</v>
      </c>
      <c r="L89" s="850" t="e">
        <f t="shared" si="38"/>
        <v>#REF!</v>
      </c>
      <c r="M89" s="851" t="e">
        <f t="shared" si="39"/>
        <v>#REF!</v>
      </c>
      <c r="N89" s="160" t="e">
        <f t="shared" si="42"/>
        <v>#REF!</v>
      </c>
      <c r="O89" s="246">
        <v>1</v>
      </c>
      <c r="S89" s="246">
        <v>1</v>
      </c>
      <c r="W89" s="247">
        <f>+ROUND(O89*S89,0)</f>
        <v>1</v>
      </c>
      <c r="X89" s="248" t="s">
        <v>738</v>
      </c>
      <c r="Y89" s="48"/>
      <c r="Z89" s="48"/>
    </row>
    <row r="90" spans="2:33" ht="51.75" customHeight="1">
      <c r="B90" s="889" t="s">
        <v>962</v>
      </c>
      <c r="C90" s="853" t="s">
        <v>963</v>
      </c>
      <c r="D90" s="254" t="s">
        <v>95</v>
      </c>
      <c r="E90" s="260">
        <f t="shared" si="54"/>
        <v>3</v>
      </c>
      <c r="F90" s="1054" t="e">
        <f>+'EST.MERCADO.'!Z90</f>
        <v>#REF!</v>
      </c>
      <c r="G90" s="848" t="e">
        <f t="shared" si="52"/>
        <v>#REF!</v>
      </c>
      <c r="H90" s="280"/>
      <c r="I90" s="849">
        <v>225000</v>
      </c>
      <c r="J90" s="430">
        <f t="shared" si="53"/>
        <v>675000</v>
      </c>
      <c r="L90" s="850" t="e">
        <f t="shared" si="38"/>
        <v>#REF!</v>
      </c>
      <c r="M90" s="851" t="e">
        <f t="shared" si="39"/>
        <v>#REF!</v>
      </c>
      <c r="N90" s="160" t="e">
        <f t="shared" si="42"/>
        <v>#REF!</v>
      </c>
      <c r="O90" s="246">
        <v>1</v>
      </c>
      <c r="S90" s="246">
        <v>3</v>
      </c>
      <c r="W90" s="247">
        <f>+ROUND(O90*S90,0)</f>
        <v>3</v>
      </c>
      <c r="X90" s="248" t="s">
        <v>964</v>
      </c>
      <c r="Y90" s="48"/>
      <c r="Z90" s="48"/>
    </row>
    <row r="91" spans="2:33" ht="60.75" customHeight="1">
      <c r="B91" s="844" t="s">
        <v>965</v>
      </c>
      <c r="C91" s="816" t="s">
        <v>966</v>
      </c>
      <c r="D91" s="1053" t="s">
        <v>95</v>
      </c>
      <c r="E91" s="846">
        <v>2</v>
      </c>
      <c r="F91" s="1054" t="e">
        <f>+'EST.MERCADO.'!Z91</f>
        <v>#REF!</v>
      </c>
      <c r="G91" s="848" t="e">
        <f t="shared" si="52"/>
        <v>#REF!</v>
      </c>
      <c r="H91" s="280"/>
      <c r="I91" s="849">
        <v>385000</v>
      </c>
      <c r="J91" s="430">
        <f t="shared" si="53"/>
        <v>770000</v>
      </c>
      <c r="L91" s="850" t="e">
        <f t="shared" si="38"/>
        <v>#REF!</v>
      </c>
      <c r="M91" s="851" t="e">
        <f t="shared" si="39"/>
        <v>#REF!</v>
      </c>
      <c r="N91" s="46" t="e">
        <f t="shared" si="42"/>
        <v>#REF!</v>
      </c>
      <c r="O91" s="246">
        <v>1</v>
      </c>
      <c r="S91" s="246">
        <v>2</v>
      </c>
      <c r="W91" s="247">
        <f>+ROUND(O91*S91,0)</f>
        <v>2</v>
      </c>
      <c r="X91" s="248" t="s">
        <v>967</v>
      </c>
      <c r="Y91" s="48"/>
      <c r="Z91" s="870"/>
      <c r="AA91" s="433"/>
      <c r="AB91" s="433"/>
      <c r="AC91" s="434"/>
      <c r="AD91" s="435"/>
      <c r="AE91" s="871"/>
      <c r="AF91" s="871"/>
      <c r="AG91" s="871"/>
    </row>
    <row r="92" spans="2:33">
      <c r="B92" s="861">
        <v>15</v>
      </c>
      <c r="C92" s="862" t="s">
        <v>512</v>
      </c>
      <c r="D92" s="863"/>
      <c r="E92" s="864"/>
      <c r="F92" s="865"/>
      <c r="G92" s="866" t="e">
        <f>+SUBTOTAL(9,G93:G100)</f>
        <v>#REF!</v>
      </c>
      <c r="H92" s="279"/>
      <c r="I92" s="867"/>
      <c r="J92" s="432">
        <f>+SUBTOTAL(9,J93:J100)</f>
        <v>38015581</v>
      </c>
      <c r="L92" s="850">
        <f t="shared" si="38"/>
        <v>0</v>
      </c>
      <c r="M92" s="851">
        <f t="shared" si="39"/>
        <v>0</v>
      </c>
      <c r="Y92" s="48"/>
      <c r="Z92" s="48"/>
    </row>
    <row r="93" spans="2:33" ht="25.5">
      <c r="B93" s="821" t="s">
        <v>968</v>
      </c>
      <c r="C93" s="816" t="s">
        <v>969</v>
      </c>
      <c r="D93" s="812" t="s">
        <v>145</v>
      </c>
      <c r="E93" s="890">
        <f>+PINTURA!CD11</f>
        <v>34</v>
      </c>
      <c r="F93" s="891" t="e">
        <f>+'EST.MERCADO.'!Z93</f>
        <v>#REF!</v>
      </c>
      <c r="G93" s="848" t="e">
        <f t="shared" ref="G93:G100" si="55">+F93*E93</f>
        <v>#REF!</v>
      </c>
      <c r="H93" s="280"/>
      <c r="I93" s="849">
        <v>19883</v>
      </c>
      <c r="J93" s="430">
        <f t="shared" ref="J93:J100" si="56">+E93*I93</f>
        <v>676022</v>
      </c>
      <c r="L93" s="850" t="e">
        <f t="shared" si="38"/>
        <v>#REF!</v>
      </c>
      <c r="M93" s="851" t="e">
        <f t="shared" si="39"/>
        <v>#REF!</v>
      </c>
      <c r="N93" s="46" t="e">
        <f t="shared" si="42"/>
        <v>#REF!</v>
      </c>
      <c r="Y93" s="48"/>
      <c r="Z93" s="48"/>
    </row>
    <row r="94" spans="2:33" ht="76.5">
      <c r="B94" s="821" t="s">
        <v>970</v>
      </c>
      <c r="C94" s="816" t="s">
        <v>971</v>
      </c>
      <c r="D94" s="812" t="s">
        <v>145</v>
      </c>
      <c r="E94" s="890">
        <f>+PINTURA!CD12</f>
        <v>479</v>
      </c>
      <c r="F94" s="891" t="e">
        <f>+'EST.MERCADO.'!Z94</f>
        <v>#REF!</v>
      </c>
      <c r="G94" s="848" t="e">
        <f t="shared" si="55"/>
        <v>#REF!</v>
      </c>
      <c r="H94" s="280"/>
      <c r="I94" s="849">
        <v>36509</v>
      </c>
      <c r="J94" s="430">
        <f t="shared" si="56"/>
        <v>17487811</v>
      </c>
      <c r="L94" s="850" t="e">
        <f t="shared" si="38"/>
        <v>#REF!</v>
      </c>
      <c r="M94" s="851" t="e">
        <f t="shared" si="39"/>
        <v>#REF!</v>
      </c>
      <c r="N94" s="46" t="e">
        <f t="shared" si="42"/>
        <v>#REF!</v>
      </c>
      <c r="Y94" s="48"/>
      <c r="Z94" s="48"/>
    </row>
    <row r="95" spans="2:33" ht="55.5" customHeight="1">
      <c r="B95" s="821" t="s">
        <v>972</v>
      </c>
      <c r="C95" s="816" t="s">
        <v>973</v>
      </c>
      <c r="D95" s="812" t="s">
        <v>145</v>
      </c>
      <c r="E95" s="890">
        <f>+PINTURA!CD13</f>
        <v>58</v>
      </c>
      <c r="F95" s="891" t="e">
        <f>+'EST.MERCADO.'!Z95</f>
        <v>#REF!</v>
      </c>
      <c r="G95" s="848" t="e">
        <f t="shared" si="55"/>
        <v>#REF!</v>
      </c>
      <c r="H95" s="280"/>
      <c r="I95" s="849">
        <v>25454</v>
      </c>
      <c r="J95" s="430">
        <f t="shared" si="56"/>
        <v>1476332</v>
      </c>
      <c r="L95" s="850" t="e">
        <f t="shared" si="38"/>
        <v>#REF!</v>
      </c>
      <c r="M95" s="851" t="e">
        <f t="shared" si="39"/>
        <v>#REF!</v>
      </c>
      <c r="N95" s="46" t="e">
        <f t="shared" si="42"/>
        <v>#REF!</v>
      </c>
      <c r="Y95" s="48"/>
      <c r="Z95" s="48"/>
    </row>
    <row r="96" spans="2:33" ht="51">
      <c r="B96" s="784" t="s">
        <v>974</v>
      </c>
      <c r="C96" s="816" t="s">
        <v>975</v>
      </c>
      <c r="D96" s="812" t="s">
        <v>145</v>
      </c>
      <c r="E96" s="890">
        <f>+PINTURA!CD14</f>
        <v>32</v>
      </c>
      <c r="F96" s="891" t="e">
        <f>+'EST.MERCADO.'!Z96</f>
        <v>#REF!</v>
      </c>
      <c r="G96" s="848" t="e">
        <f t="shared" si="55"/>
        <v>#REF!</v>
      </c>
      <c r="H96" s="280"/>
      <c r="I96" s="849">
        <v>26177</v>
      </c>
      <c r="J96" s="430">
        <f t="shared" si="56"/>
        <v>837664</v>
      </c>
      <c r="L96" s="850" t="e">
        <f t="shared" si="38"/>
        <v>#REF!</v>
      </c>
      <c r="M96" s="851" t="e">
        <f t="shared" si="39"/>
        <v>#REF!</v>
      </c>
      <c r="N96" s="46" t="e">
        <f t="shared" si="42"/>
        <v>#REF!</v>
      </c>
      <c r="Y96" s="48"/>
      <c r="Z96" s="48"/>
    </row>
    <row r="97" spans="2:26" ht="51">
      <c r="B97" s="784" t="s">
        <v>976</v>
      </c>
      <c r="C97" s="816" t="s">
        <v>977</v>
      </c>
      <c r="D97" s="812" t="s">
        <v>145</v>
      </c>
      <c r="E97" s="890">
        <f>+PINTURA!CD15</f>
        <v>206</v>
      </c>
      <c r="F97" s="891" t="e">
        <f>+'EST.MERCADO.'!Z97</f>
        <v>#REF!</v>
      </c>
      <c r="G97" s="848" t="e">
        <f t="shared" si="55"/>
        <v>#REF!</v>
      </c>
      <c r="H97" s="280"/>
      <c r="I97" s="849">
        <v>33271</v>
      </c>
      <c r="J97" s="430">
        <f t="shared" si="56"/>
        <v>6853826</v>
      </c>
      <c r="L97" s="850" t="e">
        <f t="shared" si="38"/>
        <v>#REF!</v>
      </c>
      <c r="M97" s="851" t="e">
        <f t="shared" si="39"/>
        <v>#REF!</v>
      </c>
      <c r="N97" s="46" t="e">
        <f t="shared" si="42"/>
        <v>#REF!</v>
      </c>
      <c r="Y97" s="48"/>
      <c r="Z97" s="48"/>
    </row>
    <row r="98" spans="2:26" ht="72" customHeight="1">
      <c r="B98" s="892" t="s">
        <v>978</v>
      </c>
      <c r="C98" s="872" t="s">
        <v>979</v>
      </c>
      <c r="D98" s="886" t="s">
        <v>145</v>
      </c>
      <c r="E98" s="890">
        <f>+PINTURA!CD16</f>
        <v>186</v>
      </c>
      <c r="F98" s="891" t="e">
        <f>+'EST.MERCADO.'!Z98</f>
        <v>#REF!</v>
      </c>
      <c r="G98" s="859" t="e">
        <f t="shared" si="55"/>
        <v>#REF!</v>
      </c>
      <c r="H98" s="281"/>
      <c r="I98" s="860">
        <v>42155</v>
      </c>
      <c r="J98" s="431">
        <f t="shared" si="56"/>
        <v>7840830</v>
      </c>
      <c r="L98" s="850" t="e">
        <f t="shared" si="38"/>
        <v>#REF!</v>
      </c>
      <c r="M98" s="851" t="e">
        <f t="shared" si="39"/>
        <v>#REF!</v>
      </c>
      <c r="N98" s="46" t="e">
        <f t="shared" si="42"/>
        <v>#REF!</v>
      </c>
      <c r="Y98" s="48"/>
      <c r="Z98" s="48"/>
    </row>
    <row r="99" spans="2:26" ht="54" customHeight="1">
      <c r="B99" s="892" t="s">
        <v>980</v>
      </c>
      <c r="C99" s="872" t="s">
        <v>981</v>
      </c>
      <c r="D99" s="886" t="s">
        <v>145</v>
      </c>
      <c r="E99" s="890">
        <f>+PINTURA!CD17</f>
        <v>32</v>
      </c>
      <c r="F99" s="891" t="e">
        <f>+'EST.MERCADO.'!Z99</f>
        <v>#REF!</v>
      </c>
      <c r="G99" s="859" t="e">
        <f t="shared" si="55"/>
        <v>#REF!</v>
      </c>
      <c r="H99" s="281"/>
      <c r="I99" s="860">
        <v>39943</v>
      </c>
      <c r="J99" s="431">
        <f t="shared" si="56"/>
        <v>1278176</v>
      </c>
      <c r="L99" s="850" t="e">
        <f t="shared" si="38"/>
        <v>#REF!</v>
      </c>
      <c r="M99" s="851" t="e">
        <f t="shared" si="39"/>
        <v>#REF!</v>
      </c>
      <c r="N99" s="46" t="e">
        <f t="shared" si="42"/>
        <v>#REF!</v>
      </c>
      <c r="S99" s="51"/>
      <c r="W99" s="54"/>
      <c r="Y99" s="48"/>
      <c r="Z99" s="48"/>
    </row>
    <row r="100" spans="2:26" ht="40.5" customHeight="1">
      <c r="B100" s="892" t="s">
        <v>982</v>
      </c>
      <c r="C100" s="816" t="s">
        <v>983</v>
      </c>
      <c r="D100" s="886" t="s">
        <v>154</v>
      </c>
      <c r="E100" s="890">
        <f>+PINTURA!CD18</f>
        <v>126</v>
      </c>
      <c r="F100" s="891" t="e">
        <f>+'EST.MERCADO.'!Z100</f>
        <v>#REF!</v>
      </c>
      <c r="G100" s="859" t="e">
        <f t="shared" si="55"/>
        <v>#REF!</v>
      </c>
      <c r="H100" s="281"/>
      <c r="I100" s="860">
        <v>12420</v>
      </c>
      <c r="J100" s="431">
        <f t="shared" si="56"/>
        <v>1564920</v>
      </c>
      <c r="L100" s="850" t="e">
        <f t="shared" ref="L100" si="57">+F100</f>
        <v>#REF!</v>
      </c>
      <c r="M100" s="851" t="e">
        <f t="shared" ref="M100" si="58">+L100*E100</f>
        <v>#REF!</v>
      </c>
      <c r="S100" s="51"/>
      <c r="W100" s="54"/>
      <c r="Y100" s="48"/>
      <c r="Z100" s="48"/>
    </row>
    <row r="101" spans="2:26">
      <c r="B101" s="861">
        <v>16</v>
      </c>
      <c r="C101" s="862" t="s">
        <v>984</v>
      </c>
      <c r="D101" s="863"/>
      <c r="E101" s="864"/>
      <c r="F101" s="865"/>
      <c r="G101" s="866" t="e">
        <f>+SUBTOTAL(9,G102:G110)</f>
        <v>#REF!</v>
      </c>
      <c r="H101" s="279"/>
      <c r="I101" s="867"/>
      <c r="J101" s="432">
        <f>+SUBTOTAL(9,J102:J110)</f>
        <v>7671944.6400000006</v>
      </c>
      <c r="L101" s="850">
        <f t="shared" si="38"/>
        <v>0</v>
      </c>
      <c r="M101" s="851">
        <f t="shared" si="39"/>
        <v>0</v>
      </c>
      <c r="Q101" s="12"/>
      <c r="R101" s="12"/>
      <c r="S101" s="12"/>
      <c r="T101" s="12"/>
      <c r="U101" s="12"/>
      <c r="V101" s="12"/>
      <c r="W101" s="253"/>
      <c r="X101" s="12"/>
      <c r="Y101" s="48"/>
      <c r="Z101" s="48"/>
    </row>
    <row r="102" spans="2:26" ht="64.5" customHeight="1">
      <c r="B102" s="844" t="s">
        <v>985</v>
      </c>
      <c r="C102" s="816" t="s">
        <v>986</v>
      </c>
      <c r="D102" s="812" t="s">
        <v>154</v>
      </c>
      <c r="E102" s="846">
        <f>+W102</f>
        <v>14.64</v>
      </c>
      <c r="F102" s="847" t="e">
        <f>+'EST.MERCADO.'!Z102</f>
        <v>#REF!</v>
      </c>
      <c r="G102" s="848" t="e">
        <f t="shared" ref="G102:G110" si="59">+F102*E102</f>
        <v>#REF!</v>
      </c>
      <c r="H102" s="280"/>
      <c r="I102" s="849">
        <v>317376</v>
      </c>
      <c r="J102" s="430">
        <f t="shared" ref="J102:J110" si="60">+E102*I102</f>
        <v>4646384.6400000006</v>
      </c>
      <c r="L102" s="850" t="e">
        <f t="shared" si="38"/>
        <v>#REF!</v>
      </c>
      <c r="M102" s="851" t="e">
        <f t="shared" si="39"/>
        <v>#REF!</v>
      </c>
      <c r="N102" s="46" t="e">
        <f t="shared" si="42"/>
        <v>#REF!</v>
      </c>
      <c r="O102" s="246">
        <v>1</v>
      </c>
      <c r="Q102" s="249">
        <f>3.66*4</f>
        <v>14.64</v>
      </c>
      <c r="R102" s="12"/>
      <c r="S102" s="12"/>
      <c r="T102" s="12"/>
      <c r="U102" s="12"/>
      <c r="V102" s="12"/>
      <c r="W102" s="251">
        <f>+ROUND(O102*Q102,2)</f>
        <v>14.64</v>
      </c>
      <c r="X102" s="250" t="s">
        <v>987</v>
      </c>
      <c r="Y102" s="48"/>
      <c r="Z102" s="48"/>
    </row>
    <row r="103" spans="2:26" ht="51">
      <c r="B103" s="844" t="s">
        <v>988</v>
      </c>
      <c r="C103" s="816" t="s">
        <v>989</v>
      </c>
      <c r="D103" s="812" t="s">
        <v>95</v>
      </c>
      <c r="E103" s="846">
        <f>+W103</f>
        <v>16</v>
      </c>
      <c r="F103" s="847" t="e">
        <f>+'EST.MERCADO.'!Z103</f>
        <v>#REF!</v>
      </c>
      <c r="G103" s="848" t="e">
        <f t="shared" si="59"/>
        <v>#REF!</v>
      </c>
      <c r="H103" s="280"/>
      <c r="I103" s="849">
        <v>60350</v>
      </c>
      <c r="J103" s="430">
        <f t="shared" si="60"/>
        <v>965600</v>
      </c>
      <c r="L103" s="850" t="e">
        <f t="shared" si="38"/>
        <v>#REF!</v>
      </c>
      <c r="M103" s="851" t="e">
        <f t="shared" si="39"/>
        <v>#REF!</v>
      </c>
      <c r="N103" s="46" t="e">
        <f t="shared" si="42"/>
        <v>#REF!</v>
      </c>
      <c r="O103" s="246">
        <v>1</v>
      </c>
      <c r="Q103" s="12"/>
      <c r="R103" s="12"/>
      <c r="S103" s="246">
        <f>4*4</f>
        <v>16</v>
      </c>
      <c r="T103" s="12"/>
      <c r="U103" s="12"/>
      <c r="V103" s="12"/>
      <c r="W103" s="252">
        <f>+O103*S103</f>
        <v>16</v>
      </c>
      <c r="X103" s="250" t="s">
        <v>990</v>
      </c>
      <c r="Y103" s="48"/>
      <c r="Z103" s="48"/>
    </row>
    <row r="104" spans="2:26" ht="24.75" customHeight="1">
      <c r="B104" s="844" t="s">
        <v>991</v>
      </c>
      <c r="C104" s="816" t="s">
        <v>992</v>
      </c>
      <c r="D104" s="812" t="s">
        <v>95</v>
      </c>
      <c r="E104" s="846">
        <f t="shared" ref="E104:E106" si="61">+W104</f>
        <v>6</v>
      </c>
      <c r="F104" s="847" t="e">
        <f>+'EST.MERCADO.'!Z104</f>
        <v>#REF!</v>
      </c>
      <c r="G104" s="848" t="e">
        <f t="shared" si="59"/>
        <v>#REF!</v>
      </c>
      <c r="H104" s="280"/>
      <c r="I104" s="849">
        <v>130398</v>
      </c>
      <c r="J104" s="430">
        <f t="shared" si="60"/>
        <v>782388</v>
      </c>
      <c r="L104" s="850" t="e">
        <f t="shared" si="38"/>
        <v>#REF!</v>
      </c>
      <c r="M104" s="851" t="e">
        <f t="shared" si="39"/>
        <v>#REF!</v>
      </c>
      <c r="N104" s="46" t="e">
        <f t="shared" si="42"/>
        <v>#REF!</v>
      </c>
      <c r="O104" s="246">
        <v>1</v>
      </c>
      <c r="Q104" s="12"/>
      <c r="R104" s="12"/>
      <c r="S104" s="246">
        <v>6</v>
      </c>
      <c r="T104" s="12"/>
      <c r="U104" s="12"/>
      <c r="V104" s="12"/>
      <c r="W104" s="252">
        <f>+O104*S104</f>
        <v>6</v>
      </c>
      <c r="X104" s="250" t="s">
        <v>993</v>
      </c>
      <c r="Y104" s="48"/>
      <c r="Z104" s="48"/>
    </row>
    <row r="105" spans="2:26" ht="38.25">
      <c r="B105" s="844" t="s">
        <v>994</v>
      </c>
      <c r="C105" s="816" t="s">
        <v>995</v>
      </c>
      <c r="D105" s="812" t="s">
        <v>95</v>
      </c>
      <c r="E105" s="846">
        <f t="shared" si="61"/>
        <v>4</v>
      </c>
      <c r="F105" s="847" t="e">
        <f>+'EST.MERCADO.'!Z105</f>
        <v>#REF!</v>
      </c>
      <c r="G105" s="848" t="e">
        <f t="shared" si="59"/>
        <v>#REF!</v>
      </c>
      <c r="H105" s="280"/>
      <c r="I105" s="849">
        <v>56374</v>
      </c>
      <c r="J105" s="430">
        <f t="shared" si="60"/>
        <v>225496</v>
      </c>
      <c r="L105" s="850" t="e">
        <f t="shared" si="38"/>
        <v>#REF!</v>
      </c>
      <c r="M105" s="851" t="e">
        <f t="shared" si="39"/>
        <v>#REF!</v>
      </c>
      <c r="N105" s="46" t="e">
        <f t="shared" si="42"/>
        <v>#REF!</v>
      </c>
      <c r="O105" s="246">
        <v>1</v>
      </c>
      <c r="Q105" s="12"/>
      <c r="R105" s="12"/>
      <c r="S105" s="246">
        <v>4</v>
      </c>
      <c r="T105" s="12"/>
      <c r="U105" s="12"/>
      <c r="V105" s="12"/>
      <c r="W105" s="252">
        <f>+O105*S105</f>
        <v>4</v>
      </c>
      <c r="X105" s="250" t="s">
        <v>996</v>
      </c>
      <c r="Y105" s="48"/>
      <c r="Z105" s="48"/>
    </row>
    <row r="106" spans="2:26" ht="30.75" customHeight="1">
      <c r="B106" s="844" t="s">
        <v>997</v>
      </c>
      <c r="C106" s="816" t="s">
        <v>998</v>
      </c>
      <c r="D106" s="812" t="s">
        <v>95</v>
      </c>
      <c r="E106" s="846">
        <f t="shared" si="61"/>
        <v>8</v>
      </c>
      <c r="F106" s="847" t="e">
        <f>+'EST.MERCADO.'!Z106</f>
        <v>#REF!</v>
      </c>
      <c r="G106" s="848" t="e">
        <f t="shared" si="59"/>
        <v>#REF!</v>
      </c>
      <c r="H106" s="280"/>
      <c r="I106" s="849">
        <v>56374</v>
      </c>
      <c r="J106" s="430">
        <f t="shared" si="60"/>
        <v>450992</v>
      </c>
      <c r="L106" s="850" t="e">
        <f t="shared" ref="L106" si="62">+F106</f>
        <v>#REF!</v>
      </c>
      <c r="M106" s="851" t="e">
        <f t="shared" ref="M106" si="63">+L106*E106</f>
        <v>#REF!</v>
      </c>
      <c r="N106" s="46" t="e">
        <f t="shared" si="42"/>
        <v>#REF!</v>
      </c>
      <c r="O106" s="246">
        <v>1</v>
      </c>
      <c r="Q106" s="12"/>
      <c r="R106" s="12"/>
      <c r="S106" s="246">
        <v>8</v>
      </c>
      <c r="T106" s="12"/>
      <c r="U106" s="12"/>
      <c r="V106" s="12"/>
      <c r="W106" s="252">
        <f>+O106*S106</f>
        <v>8</v>
      </c>
      <c r="X106" s="250" t="s">
        <v>999</v>
      </c>
      <c r="Y106" s="48"/>
      <c r="Z106" s="48"/>
    </row>
    <row r="107" spans="2:26" ht="30.75" customHeight="1">
      <c r="B107" s="844" t="s">
        <v>1000</v>
      </c>
      <c r="C107" s="816" t="s">
        <v>1001</v>
      </c>
      <c r="D107" s="812" t="s">
        <v>95</v>
      </c>
      <c r="E107" s="846">
        <f t="shared" ref="E107" si="64">+W107</f>
        <v>2</v>
      </c>
      <c r="F107" s="847" t="e">
        <f>+'EST.MERCADO.'!Z107</f>
        <v>#REF!</v>
      </c>
      <c r="G107" s="848" t="e">
        <f t="shared" si="59"/>
        <v>#REF!</v>
      </c>
      <c r="H107" s="280"/>
      <c r="I107" s="849">
        <v>61374</v>
      </c>
      <c r="J107" s="430">
        <f t="shared" si="60"/>
        <v>122748</v>
      </c>
      <c r="L107" s="850" t="e">
        <f t="shared" ref="L107" si="65">+F107</f>
        <v>#REF!</v>
      </c>
      <c r="M107" s="851" t="e">
        <f t="shared" ref="M107" si="66">+L107*E107</f>
        <v>#REF!</v>
      </c>
      <c r="N107" s="46" t="e">
        <f t="shared" si="42"/>
        <v>#REF!</v>
      </c>
      <c r="O107" s="246">
        <v>1</v>
      </c>
      <c r="Q107" s="12"/>
      <c r="R107" s="12"/>
      <c r="S107" s="246">
        <v>2</v>
      </c>
      <c r="T107" s="12"/>
      <c r="U107" s="12"/>
      <c r="V107" s="12"/>
      <c r="W107" s="252">
        <f>+O107*S107</f>
        <v>2</v>
      </c>
      <c r="X107" s="250" t="s">
        <v>695</v>
      </c>
      <c r="Y107" s="48"/>
      <c r="Z107" s="48"/>
    </row>
    <row r="108" spans="2:26" ht="30.75" customHeight="1">
      <c r="B108" s="844" t="s">
        <v>1002</v>
      </c>
      <c r="C108" s="816" t="s">
        <v>1003</v>
      </c>
      <c r="D108" s="812" t="s">
        <v>95</v>
      </c>
      <c r="E108" s="846">
        <f t="shared" ref="E108:E110" si="67">+W108</f>
        <v>4</v>
      </c>
      <c r="F108" s="847" t="e">
        <f>+'EST.MERCADO.'!Z108</f>
        <v>#REF!</v>
      </c>
      <c r="G108" s="848" t="e">
        <f t="shared" si="59"/>
        <v>#REF!</v>
      </c>
      <c r="H108" s="280"/>
      <c r="I108" s="849">
        <v>46618</v>
      </c>
      <c r="J108" s="430">
        <f t="shared" si="60"/>
        <v>186472</v>
      </c>
      <c r="L108" s="850" t="e">
        <f t="shared" ref="L108:L110" si="68">+F108</f>
        <v>#REF!</v>
      </c>
      <c r="M108" s="851" t="e">
        <f t="shared" ref="M108:M110" si="69">+L108*E108</f>
        <v>#REF!</v>
      </c>
      <c r="N108" s="46" t="e">
        <f t="shared" ref="N108:N110" si="70">+IF(M108=G108,"ok","error")</f>
        <v>#REF!</v>
      </c>
      <c r="O108" s="246">
        <v>1</v>
      </c>
      <c r="Q108" s="12"/>
      <c r="R108" s="12"/>
      <c r="S108" s="246">
        <v>4</v>
      </c>
      <c r="T108" s="12"/>
      <c r="U108" s="12"/>
      <c r="V108" s="12"/>
      <c r="W108" s="252">
        <f t="shared" ref="W108:W110" si="71">+O108*S108</f>
        <v>4</v>
      </c>
      <c r="X108" s="250" t="s">
        <v>1004</v>
      </c>
      <c r="Y108" s="48"/>
      <c r="Z108" s="48"/>
    </row>
    <row r="109" spans="2:26" ht="30.75" customHeight="1">
      <c r="B109" s="844" t="s">
        <v>1005</v>
      </c>
      <c r="C109" s="816" t="s">
        <v>1006</v>
      </c>
      <c r="D109" s="812" t="s">
        <v>95</v>
      </c>
      <c r="E109" s="846">
        <f t="shared" si="67"/>
        <v>2</v>
      </c>
      <c r="F109" s="847" t="e">
        <f>+'EST.MERCADO.'!Z109</f>
        <v>#REF!</v>
      </c>
      <c r="G109" s="848" t="e">
        <f t="shared" si="59"/>
        <v>#REF!</v>
      </c>
      <c r="H109" s="280"/>
      <c r="I109" s="849">
        <v>82166</v>
      </c>
      <c r="J109" s="430">
        <f t="shared" si="60"/>
        <v>164332</v>
      </c>
      <c r="L109" s="850" t="e">
        <f t="shared" si="68"/>
        <v>#REF!</v>
      </c>
      <c r="M109" s="851" t="e">
        <f t="shared" si="69"/>
        <v>#REF!</v>
      </c>
      <c r="N109" s="46" t="e">
        <f t="shared" si="70"/>
        <v>#REF!</v>
      </c>
      <c r="O109" s="246">
        <v>1</v>
      </c>
      <c r="Q109" s="12"/>
      <c r="R109" s="12"/>
      <c r="S109" s="246">
        <v>2</v>
      </c>
      <c r="T109" s="12"/>
      <c r="U109" s="12"/>
      <c r="V109" s="12"/>
      <c r="W109" s="252">
        <f t="shared" si="71"/>
        <v>2</v>
      </c>
      <c r="X109" s="250" t="s">
        <v>706</v>
      </c>
      <c r="Y109" s="48"/>
      <c r="Z109" s="48"/>
    </row>
    <row r="110" spans="2:26" ht="30.75" customHeight="1">
      <c r="B110" s="844" t="s">
        <v>1007</v>
      </c>
      <c r="C110" s="816" t="s">
        <v>1008</v>
      </c>
      <c r="D110" s="812" t="s">
        <v>95</v>
      </c>
      <c r="E110" s="846">
        <f t="shared" si="67"/>
        <v>2</v>
      </c>
      <c r="F110" s="847" t="e">
        <f>+'EST.MERCADO.'!Z110</f>
        <v>#REF!</v>
      </c>
      <c r="G110" s="848" t="e">
        <f t="shared" si="59"/>
        <v>#REF!</v>
      </c>
      <c r="H110" s="280"/>
      <c r="I110" s="849">
        <v>63766</v>
      </c>
      <c r="J110" s="430">
        <f t="shared" si="60"/>
        <v>127532</v>
      </c>
      <c r="L110" s="850" t="e">
        <f t="shared" si="68"/>
        <v>#REF!</v>
      </c>
      <c r="M110" s="851" t="e">
        <f t="shared" si="69"/>
        <v>#REF!</v>
      </c>
      <c r="N110" s="46" t="e">
        <f t="shared" si="70"/>
        <v>#REF!</v>
      </c>
      <c r="O110" s="246">
        <v>1</v>
      </c>
      <c r="Q110" s="12"/>
      <c r="R110" s="12"/>
      <c r="S110" s="246">
        <v>2</v>
      </c>
      <c r="T110" s="12"/>
      <c r="U110" s="12"/>
      <c r="V110" s="12"/>
      <c r="W110" s="252">
        <f t="shared" si="71"/>
        <v>2</v>
      </c>
      <c r="X110" s="250" t="s">
        <v>695</v>
      </c>
      <c r="Y110" s="48"/>
      <c r="Z110" s="48"/>
    </row>
    <row r="111" spans="2:26">
      <c r="B111" s="861">
        <v>17</v>
      </c>
      <c r="C111" s="862" t="s">
        <v>1009</v>
      </c>
      <c r="D111" s="863"/>
      <c r="E111" s="864"/>
      <c r="F111" s="865"/>
      <c r="G111" s="866" t="e">
        <f>+SUBTOTAL(9,G112:G115)</f>
        <v>#REF!</v>
      </c>
      <c r="H111" s="279"/>
      <c r="I111" s="867"/>
      <c r="J111" s="432">
        <f>+SUBTOTAL(9,J112:J115)</f>
        <v>9473073</v>
      </c>
      <c r="L111" s="850">
        <f t="shared" si="38"/>
        <v>0</v>
      </c>
      <c r="M111" s="851">
        <f t="shared" si="39"/>
        <v>0</v>
      </c>
      <c r="Q111" s="12"/>
      <c r="R111" s="12"/>
      <c r="S111" s="12"/>
      <c r="T111" s="12"/>
      <c r="U111" s="12"/>
      <c r="V111" s="12"/>
      <c r="W111" s="253"/>
      <c r="X111" s="12"/>
      <c r="Y111" s="48"/>
      <c r="Z111" s="48"/>
    </row>
    <row r="112" spans="2:26" ht="76.5">
      <c r="B112" s="844" t="s">
        <v>1010</v>
      </c>
      <c r="C112" s="816" t="s">
        <v>1011</v>
      </c>
      <c r="D112" s="812" t="s">
        <v>154</v>
      </c>
      <c r="E112" s="846">
        <f>+W112</f>
        <v>8</v>
      </c>
      <c r="F112" s="847" t="e">
        <f>+'EST.MERCADO.'!Z112</f>
        <v>#REF!</v>
      </c>
      <c r="G112" s="848" t="e">
        <f t="shared" ref="G112:G115" si="72">+F112*E112</f>
        <v>#REF!</v>
      </c>
      <c r="H112" s="280"/>
      <c r="I112" s="849">
        <v>563536.5</v>
      </c>
      <c r="J112" s="430">
        <f t="shared" ref="J112:J115" si="73">+E112*I112</f>
        <v>4508292</v>
      </c>
      <c r="L112" s="850" t="e">
        <f t="shared" si="38"/>
        <v>#REF!</v>
      </c>
      <c r="M112" s="851" t="e">
        <f t="shared" si="39"/>
        <v>#REF!</v>
      </c>
      <c r="N112" s="46" t="e">
        <f t="shared" si="42"/>
        <v>#REF!</v>
      </c>
      <c r="O112" s="246">
        <v>1</v>
      </c>
      <c r="Q112" s="12"/>
      <c r="R112" s="12"/>
      <c r="S112" s="246">
        <v>8</v>
      </c>
      <c r="T112" s="12"/>
      <c r="U112" s="12"/>
      <c r="V112" s="12"/>
      <c r="W112" s="252">
        <f>+ROUNDUP(O112*S112,0)</f>
        <v>8</v>
      </c>
      <c r="X112" s="250"/>
      <c r="Y112" s="48"/>
      <c r="Z112" s="48"/>
    </row>
    <row r="113" spans="2:26" ht="38.25">
      <c r="B113" s="844" t="s">
        <v>1012</v>
      </c>
      <c r="C113" s="816" t="s">
        <v>1013</v>
      </c>
      <c r="D113" s="812" t="s">
        <v>95</v>
      </c>
      <c r="E113" s="846">
        <f>+W113</f>
        <v>16</v>
      </c>
      <c r="F113" s="847" t="e">
        <f>+'EST.MERCADO.'!Z113</f>
        <v>#REF!</v>
      </c>
      <c r="G113" s="848" t="e">
        <f t="shared" si="72"/>
        <v>#REF!</v>
      </c>
      <c r="H113" s="280"/>
      <c r="I113" s="849">
        <v>141708.5</v>
      </c>
      <c r="J113" s="430">
        <f t="shared" si="73"/>
        <v>2267336</v>
      </c>
      <c r="L113" s="850" t="e">
        <f t="shared" si="38"/>
        <v>#REF!</v>
      </c>
      <c r="M113" s="851" t="e">
        <f t="shared" si="39"/>
        <v>#REF!</v>
      </c>
      <c r="N113" s="46" t="e">
        <f t="shared" si="42"/>
        <v>#REF!</v>
      </c>
      <c r="O113" s="246">
        <v>1</v>
      </c>
      <c r="Q113" s="12"/>
      <c r="R113" s="12"/>
      <c r="S113" s="246">
        <v>16</v>
      </c>
      <c r="T113" s="12"/>
      <c r="U113" s="12"/>
      <c r="V113" s="12"/>
      <c r="W113" s="252">
        <f>+ROUNDUP(O113*S113,0)</f>
        <v>16</v>
      </c>
      <c r="X113" s="250"/>
      <c r="Y113" s="48"/>
      <c r="Z113" s="48"/>
    </row>
    <row r="114" spans="2:26" ht="51">
      <c r="B114" s="844" t="s">
        <v>1014</v>
      </c>
      <c r="C114" s="816" t="s">
        <v>1015</v>
      </c>
      <c r="D114" s="812" t="s">
        <v>95</v>
      </c>
      <c r="E114" s="846">
        <f>+S114</f>
        <v>2</v>
      </c>
      <c r="F114" s="847" t="e">
        <f>+'EST.MERCADO.'!Z114</f>
        <v>#REF!</v>
      </c>
      <c r="G114" s="848" t="e">
        <f t="shared" si="72"/>
        <v>#REF!</v>
      </c>
      <c r="H114" s="280"/>
      <c r="I114" s="849">
        <v>925555.5</v>
      </c>
      <c r="J114" s="430">
        <f t="shared" si="73"/>
        <v>1851111</v>
      </c>
      <c r="L114" s="850" t="e">
        <f t="shared" si="38"/>
        <v>#REF!</v>
      </c>
      <c r="M114" s="851" t="e">
        <f t="shared" si="39"/>
        <v>#REF!</v>
      </c>
      <c r="N114" s="46" t="e">
        <f t="shared" si="42"/>
        <v>#REF!</v>
      </c>
      <c r="O114" s="246">
        <v>1</v>
      </c>
      <c r="Q114" s="12"/>
      <c r="R114" s="12"/>
      <c r="S114" s="246">
        <v>2</v>
      </c>
      <c r="T114" s="12"/>
      <c r="U114" s="12"/>
      <c r="V114" s="12"/>
      <c r="W114" s="252">
        <f>+O114*S114</f>
        <v>2</v>
      </c>
      <c r="X114" s="12"/>
      <c r="Y114" s="48"/>
      <c r="Z114" s="48"/>
    </row>
    <row r="115" spans="2:26" ht="25.5">
      <c r="B115" s="844" t="s">
        <v>1016</v>
      </c>
      <c r="C115" s="816" t="s">
        <v>1017</v>
      </c>
      <c r="D115" s="812" t="s">
        <v>95</v>
      </c>
      <c r="E115" s="846">
        <f>+S115</f>
        <v>2</v>
      </c>
      <c r="F115" s="847" t="e">
        <f>+'EST.MERCADO.'!Z115</f>
        <v>#REF!</v>
      </c>
      <c r="G115" s="848" t="e">
        <f t="shared" si="72"/>
        <v>#REF!</v>
      </c>
      <c r="H115" s="280"/>
      <c r="I115" s="849">
        <v>423167</v>
      </c>
      <c r="J115" s="430">
        <f t="shared" si="73"/>
        <v>846334</v>
      </c>
      <c r="L115" s="850" t="e">
        <f t="shared" si="38"/>
        <v>#REF!</v>
      </c>
      <c r="M115" s="851" t="e">
        <f t="shared" si="39"/>
        <v>#REF!</v>
      </c>
      <c r="N115" s="46" t="e">
        <f t="shared" si="42"/>
        <v>#REF!</v>
      </c>
      <c r="O115" s="246">
        <v>1</v>
      </c>
      <c r="Q115" s="12"/>
      <c r="R115" s="12"/>
      <c r="S115" s="246">
        <v>2</v>
      </c>
      <c r="T115" s="12"/>
      <c r="U115" s="12"/>
      <c r="V115" s="12"/>
      <c r="W115" s="252">
        <f>+O115*S115</f>
        <v>2</v>
      </c>
      <c r="X115" s="12"/>
      <c r="Y115" s="48"/>
      <c r="Z115" s="48"/>
    </row>
    <row r="116" spans="2:26">
      <c r="B116" s="861">
        <v>18</v>
      </c>
      <c r="C116" s="862" t="s">
        <v>689</v>
      </c>
      <c r="D116" s="863"/>
      <c r="E116" s="864"/>
      <c r="F116" s="865"/>
      <c r="G116" s="866" t="e">
        <f>+SUBTOTAL(9,G117:G118)</f>
        <v>#REF!</v>
      </c>
      <c r="H116" s="279"/>
      <c r="I116" s="867"/>
      <c r="J116" s="432">
        <f>+SUBTOTAL(9,J117:J118)</f>
        <v>17000000</v>
      </c>
      <c r="L116" s="36"/>
      <c r="M116" s="33"/>
      <c r="O116" s="246"/>
      <c r="Q116" s="12"/>
      <c r="R116" s="12"/>
      <c r="S116" s="246"/>
      <c r="T116" s="12"/>
      <c r="U116" s="12"/>
      <c r="V116" s="12"/>
      <c r="W116" s="252"/>
      <c r="X116" s="12"/>
      <c r="Y116" s="48"/>
      <c r="Z116" s="48"/>
    </row>
    <row r="117" spans="2:26" ht="55.5" customHeight="1">
      <c r="B117" s="844" t="s">
        <v>1018</v>
      </c>
      <c r="C117" s="868" t="s">
        <v>1019</v>
      </c>
      <c r="D117" s="812" t="s">
        <v>95</v>
      </c>
      <c r="E117" s="846">
        <f t="shared" ref="E117:E118" si="74">+W117</f>
        <v>1</v>
      </c>
      <c r="F117" s="847" t="e">
        <f>+'EST.MERCADO.'!Z117</f>
        <v>#REF!</v>
      </c>
      <c r="G117" s="848" t="e">
        <f t="shared" ref="G117:G118" si="75">+F117*E117</f>
        <v>#REF!</v>
      </c>
      <c r="H117" s="280"/>
      <c r="I117" s="849">
        <v>13000000</v>
      </c>
      <c r="J117" s="430">
        <f t="shared" ref="J117:J118" si="76">+E117*I117</f>
        <v>13000000</v>
      </c>
      <c r="L117" s="850" t="e">
        <f t="shared" ref="L117:L118" si="77">+F117</f>
        <v>#REF!</v>
      </c>
      <c r="M117" s="851" t="e">
        <f t="shared" ref="M117:M118" si="78">+L117*E117</f>
        <v>#REF!</v>
      </c>
      <c r="N117" s="46" t="e">
        <f t="shared" si="42"/>
        <v>#REF!</v>
      </c>
      <c r="O117" s="246">
        <v>1</v>
      </c>
      <c r="Q117" s="12"/>
      <c r="R117" s="12"/>
      <c r="S117" s="246">
        <v>1</v>
      </c>
      <c r="T117" s="12"/>
      <c r="U117" s="12"/>
      <c r="V117" s="12"/>
      <c r="W117" s="252">
        <f>+O117*S117</f>
        <v>1</v>
      </c>
      <c r="X117" s="12"/>
      <c r="Y117" s="48"/>
      <c r="Z117" s="48"/>
    </row>
    <row r="118" spans="2:26" ht="48" customHeight="1">
      <c r="B118" s="844" t="s">
        <v>1020</v>
      </c>
      <c r="C118" s="816" t="s">
        <v>1021</v>
      </c>
      <c r="D118" s="812" t="s">
        <v>95</v>
      </c>
      <c r="E118" s="846">
        <f t="shared" si="74"/>
        <v>1</v>
      </c>
      <c r="F118" s="847" t="e">
        <f>+'EST.MERCADO.'!Z118</f>
        <v>#REF!</v>
      </c>
      <c r="G118" s="848" t="e">
        <f t="shared" si="75"/>
        <v>#REF!</v>
      </c>
      <c r="H118" s="280"/>
      <c r="I118" s="849">
        <v>4000000</v>
      </c>
      <c r="J118" s="430">
        <f t="shared" si="76"/>
        <v>4000000</v>
      </c>
      <c r="L118" s="850" t="e">
        <f t="shared" si="77"/>
        <v>#REF!</v>
      </c>
      <c r="M118" s="851" t="e">
        <f t="shared" si="78"/>
        <v>#REF!</v>
      </c>
      <c r="N118" s="46" t="e">
        <f t="shared" si="42"/>
        <v>#REF!</v>
      </c>
      <c r="O118" s="246">
        <v>1</v>
      </c>
      <c r="Q118" s="12"/>
      <c r="R118" s="12"/>
      <c r="S118" s="246">
        <v>1</v>
      </c>
      <c r="T118" s="12"/>
      <c r="U118" s="12"/>
      <c r="V118" s="12"/>
      <c r="W118" s="252">
        <f>+O118*S118</f>
        <v>1</v>
      </c>
      <c r="X118" s="12"/>
      <c r="Y118" s="48"/>
      <c r="Z118" s="48"/>
    </row>
    <row r="119" spans="2:26">
      <c r="B119" s="893"/>
      <c r="C119" s="894" t="s">
        <v>1022</v>
      </c>
      <c r="D119" s="34"/>
      <c r="E119" s="35"/>
      <c r="F119" s="71"/>
      <c r="G119" s="866" t="e">
        <f>+SUBTOTAL(9,G8:G118)</f>
        <v>#REF!</v>
      </c>
      <c r="H119" s="279"/>
      <c r="I119" s="867"/>
      <c r="J119" s="432">
        <f>+SUBTOTAL(9,J8:J118)</f>
        <v>256920707.44</v>
      </c>
      <c r="L119" s="36"/>
      <c r="M119" s="37" t="e">
        <f>+SUM(M9:M118)</f>
        <v>#REF!</v>
      </c>
      <c r="N119" s="159"/>
      <c r="O119" s="52"/>
      <c r="P119" s="52"/>
      <c r="Q119" s="12"/>
      <c r="R119" s="12"/>
      <c r="S119" s="12"/>
      <c r="T119" s="12"/>
      <c r="U119" s="12"/>
      <c r="V119" s="12"/>
      <c r="W119" s="12"/>
      <c r="X119" s="12"/>
      <c r="Y119" s="48"/>
      <c r="Z119" s="48"/>
    </row>
    <row r="120" spans="2:26">
      <c r="B120" s="821"/>
      <c r="C120" s="895" t="s">
        <v>494</v>
      </c>
      <c r="D120" s="896"/>
      <c r="E120" s="897" t="e">
        <f>+#REF!</f>
        <v>#REF!</v>
      </c>
      <c r="F120" s="898"/>
      <c r="G120" s="899" t="e">
        <f>+$G$119*E120</f>
        <v>#REF!</v>
      </c>
      <c r="H120" s="282"/>
      <c r="I120" s="900"/>
      <c r="J120" s="440" t="e">
        <f>+$J$119*E120</f>
        <v>#REF!</v>
      </c>
      <c r="L120" s="850"/>
      <c r="M120" s="851" t="e">
        <f>M119*E120</f>
        <v>#REF!</v>
      </c>
      <c r="N120" s="159"/>
      <c r="O120" s="52"/>
      <c r="P120" s="52"/>
      <c r="Q120" s="12"/>
      <c r="R120" s="12"/>
      <c r="S120" s="12"/>
      <c r="T120" s="12"/>
      <c r="U120" s="12"/>
      <c r="V120" s="12"/>
      <c r="W120" s="12"/>
      <c r="X120" s="12"/>
      <c r="Y120" s="48"/>
      <c r="Z120" s="48"/>
    </row>
    <row r="121" spans="2:26">
      <c r="B121" s="821"/>
      <c r="C121" s="895" t="s">
        <v>624</v>
      </c>
      <c r="D121" s="901"/>
      <c r="E121" s="902" t="e">
        <f>+#REF!</f>
        <v>#REF!</v>
      </c>
      <c r="F121" s="898"/>
      <c r="G121" s="899" t="e">
        <f t="shared" ref="G121:G122" si="79">+$G$119*E121</f>
        <v>#REF!</v>
      </c>
      <c r="H121" s="282"/>
      <c r="I121" s="900"/>
      <c r="J121" s="440" t="e">
        <f t="shared" ref="J121:J122" si="80">+$J$119*E121</f>
        <v>#REF!</v>
      </c>
      <c r="L121" s="850"/>
      <c r="M121" s="851" t="e">
        <f>M119*E121</f>
        <v>#REF!</v>
      </c>
      <c r="N121" s="159"/>
      <c r="O121" s="52"/>
      <c r="P121" s="52"/>
      <c r="Q121" s="12"/>
      <c r="R121" s="12"/>
      <c r="S121" s="12"/>
      <c r="T121" s="12"/>
      <c r="U121" s="12"/>
      <c r="V121" s="12"/>
      <c r="W121" s="12"/>
      <c r="X121" s="12"/>
      <c r="Y121" s="48"/>
      <c r="Z121" s="48"/>
    </row>
    <row r="122" spans="2:26">
      <c r="B122" s="821"/>
      <c r="C122" s="895" t="s">
        <v>625</v>
      </c>
      <c r="D122" s="901"/>
      <c r="E122" s="902" t="e">
        <f>+#REF!</f>
        <v>#REF!</v>
      </c>
      <c r="F122" s="898"/>
      <c r="G122" s="899" t="e">
        <f t="shared" si="79"/>
        <v>#REF!</v>
      </c>
      <c r="H122" s="282"/>
      <c r="I122" s="900"/>
      <c r="J122" s="440" t="e">
        <f t="shared" si="80"/>
        <v>#REF!</v>
      </c>
      <c r="L122" s="850"/>
      <c r="M122" s="851" t="e">
        <f>M119*E122</f>
        <v>#REF!</v>
      </c>
      <c r="N122" s="159"/>
      <c r="O122" s="52"/>
      <c r="P122" s="52"/>
      <c r="Q122" s="12"/>
      <c r="R122" s="12"/>
      <c r="S122" s="12"/>
      <c r="T122" s="12"/>
      <c r="U122" s="12"/>
      <c r="V122" s="12"/>
      <c r="W122" s="12"/>
      <c r="X122" s="12"/>
      <c r="Y122" s="48"/>
      <c r="Z122" s="48"/>
    </row>
    <row r="123" spans="2:26">
      <c r="B123" s="821"/>
      <c r="C123" s="895" t="s">
        <v>626</v>
      </c>
      <c r="D123" s="903"/>
      <c r="E123" s="902">
        <v>0.19</v>
      </c>
      <c r="F123" s="898"/>
      <c r="G123" s="899" t="e">
        <f>+G122*E123</f>
        <v>#REF!</v>
      </c>
      <c r="H123" s="282"/>
      <c r="I123" s="900"/>
      <c r="J123" s="440" t="e">
        <f>+J122*E123</f>
        <v>#REF!</v>
      </c>
      <c r="L123" s="850"/>
      <c r="M123" s="851" t="e">
        <f>M122*E123</f>
        <v>#REF!</v>
      </c>
      <c r="N123" s="159"/>
      <c r="O123" s="52"/>
      <c r="P123" s="52"/>
      <c r="Q123" s="12"/>
      <c r="R123" s="12"/>
      <c r="S123" s="12"/>
      <c r="T123" s="12"/>
      <c r="U123" s="12"/>
      <c r="V123" s="12"/>
      <c r="W123" s="12"/>
      <c r="X123" s="12"/>
      <c r="Y123" s="48"/>
      <c r="Z123" s="48"/>
    </row>
    <row r="124" spans="2:26" ht="13.5" thickBot="1">
      <c r="B124" s="399"/>
      <c r="C124" s="1058" t="s">
        <v>1023</v>
      </c>
      <c r="D124" s="1058"/>
      <c r="E124" s="1059"/>
      <c r="F124" s="1060"/>
      <c r="G124" s="400" t="e">
        <f>+SUBTOTAL(9,G120:G123)</f>
        <v>#REF!</v>
      </c>
      <c r="H124" s="279"/>
      <c r="I124" s="441"/>
      <c r="J124" s="1061" t="e">
        <f>+SUBTOTAL(9,J120:J123)</f>
        <v>#REF!</v>
      </c>
      <c r="L124" s="850"/>
      <c r="M124" s="904" t="e">
        <f>SUM(M120:M123)</f>
        <v>#REF!</v>
      </c>
      <c r="N124" s="159"/>
      <c r="O124" s="52"/>
      <c r="P124" s="52"/>
      <c r="Q124" s="12"/>
      <c r="R124" s="12"/>
      <c r="S124" s="12"/>
      <c r="T124" s="12"/>
      <c r="U124" s="12"/>
      <c r="V124" s="12"/>
      <c r="W124" s="12"/>
      <c r="X124" s="12"/>
      <c r="Y124" s="48"/>
      <c r="Z124" s="48"/>
    </row>
    <row r="125" spans="2:26" ht="30.75" customHeight="1" thickBot="1">
      <c r="B125" s="17"/>
      <c r="C125" s="38" t="s">
        <v>7</v>
      </c>
      <c r="D125" s="39"/>
      <c r="E125" s="40"/>
      <c r="F125" s="72"/>
      <c r="G125" s="73" t="e">
        <f>+G119+G124</f>
        <v>#REF!</v>
      </c>
      <c r="H125" s="279"/>
      <c r="I125" s="289"/>
      <c r="J125" s="284" t="e">
        <f>+J119+J124</f>
        <v>#REF!</v>
      </c>
      <c r="L125" s="41"/>
      <c r="M125" s="905" t="e">
        <f>M119+M124</f>
        <v>#REF!</v>
      </c>
      <c r="N125" s="23"/>
      <c r="O125" s="53"/>
      <c r="P125" s="53"/>
      <c r="Q125" s="12"/>
      <c r="R125" s="12"/>
      <c r="S125" s="12"/>
      <c r="T125" s="12"/>
      <c r="U125" s="12"/>
      <c r="V125" s="12"/>
      <c r="W125" s="12"/>
      <c r="X125" s="12"/>
      <c r="Y125" s="48"/>
      <c r="Z125" s="48"/>
    </row>
    <row r="126" spans="2:26">
      <c r="B126" s="11"/>
      <c r="C126" s="42"/>
      <c r="D126" s="43"/>
      <c r="E126" s="44"/>
      <c r="F126" s="74"/>
      <c r="G126" s="45"/>
      <c r="H126" s="45"/>
      <c r="I126" s="45"/>
      <c r="J126" s="45"/>
      <c r="Q126" s="12"/>
      <c r="R126" s="12"/>
      <c r="S126" s="12"/>
      <c r="T126" s="12"/>
      <c r="U126" s="12"/>
      <c r="V126" s="12"/>
      <c r="W126" s="12"/>
      <c r="X126" s="12"/>
      <c r="Y126" s="48"/>
      <c r="Z126" s="48"/>
    </row>
    <row r="127" spans="2:26" ht="16.5" customHeight="1">
      <c r="C127" s="906" t="s">
        <v>1024</v>
      </c>
      <c r="D127" s="442"/>
      <c r="E127" s="902">
        <v>0.1</v>
      </c>
      <c r="F127" s="443"/>
      <c r="G127" s="444" t="e">
        <f>+G125*(1+E127)</f>
        <v>#REF!</v>
      </c>
      <c r="H127" s="283"/>
      <c r="I127" s="283"/>
      <c r="J127" s="444" t="e">
        <f>+J125*(1+H127)</f>
        <v>#REF!</v>
      </c>
    </row>
    <row r="132" spans="2:26">
      <c r="B132" s="12"/>
      <c r="C132" s="12"/>
      <c r="D132" s="12"/>
      <c r="E132" s="48"/>
      <c r="F132" s="47"/>
      <c r="G132" s="47"/>
      <c r="H132" s="47"/>
      <c r="I132" s="47"/>
      <c r="J132" s="47"/>
      <c r="K132" s="12"/>
      <c r="L132" s="12"/>
      <c r="M132" s="12"/>
      <c r="O132" s="55"/>
      <c r="P132" s="12"/>
      <c r="Q132" s="12"/>
      <c r="R132" s="12"/>
      <c r="S132" s="12"/>
      <c r="T132" s="12"/>
      <c r="U132" s="12"/>
      <c r="V132" s="12"/>
      <c r="W132" s="12"/>
      <c r="X132" s="12"/>
      <c r="Y132" s="48"/>
      <c r="Z132" s="48"/>
    </row>
    <row r="133" spans="2:26">
      <c r="B133" s="12"/>
      <c r="C133" s="12"/>
      <c r="D133" s="12"/>
      <c r="E133" s="48"/>
      <c r="F133" s="47"/>
      <c r="G133" s="47"/>
      <c r="H133" s="47"/>
      <c r="I133" s="47"/>
      <c r="J133" s="47"/>
      <c r="K133" s="12"/>
      <c r="L133" s="12"/>
      <c r="M133" s="12"/>
      <c r="P133" s="12"/>
      <c r="Q133" s="12"/>
      <c r="R133" s="12"/>
      <c r="S133" s="12"/>
      <c r="T133" s="12"/>
      <c r="U133" s="12"/>
      <c r="V133" s="12"/>
      <c r="W133" s="12"/>
      <c r="X133" s="12"/>
      <c r="Y133" s="48"/>
      <c r="Z133" s="48"/>
    </row>
    <row r="134" spans="2:26">
      <c r="B134" s="12"/>
      <c r="C134" s="12"/>
      <c r="D134" s="12"/>
      <c r="E134" s="48"/>
      <c r="F134" s="47"/>
      <c r="G134" s="47"/>
      <c r="H134" s="47"/>
      <c r="I134" s="47"/>
      <c r="J134" s="47"/>
      <c r="K134" s="12"/>
      <c r="L134" s="12"/>
      <c r="M134" s="12"/>
      <c r="P134" s="12"/>
      <c r="Q134" s="12"/>
      <c r="R134" s="12"/>
      <c r="S134" s="12"/>
      <c r="T134" s="12"/>
      <c r="U134" s="12"/>
      <c r="V134" s="12"/>
      <c r="W134" s="12"/>
      <c r="X134" s="12"/>
      <c r="Y134" s="48"/>
      <c r="Z134" s="48"/>
    </row>
    <row r="138" spans="2:26">
      <c r="B138" s="12"/>
      <c r="C138" s="12"/>
      <c r="D138" s="12"/>
      <c r="E138" s="48"/>
      <c r="F138" s="47"/>
      <c r="G138" s="47"/>
      <c r="H138" s="47"/>
      <c r="I138" s="47"/>
      <c r="J138" s="47"/>
      <c r="K138" s="12"/>
      <c r="L138" s="12"/>
      <c r="M138" s="12"/>
      <c r="O138" s="55"/>
      <c r="P138" s="12"/>
      <c r="Q138" s="12"/>
      <c r="R138" s="12"/>
      <c r="S138" s="12"/>
      <c r="T138" s="12"/>
      <c r="U138" s="12"/>
      <c r="V138" s="12"/>
      <c r="W138" s="12"/>
      <c r="X138" s="12"/>
      <c r="Y138" s="48"/>
      <c r="Z138" s="48"/>
    </row>
    <row r="139" spans="2:26">
      <c r="B139" s="12"/>
      <c r="C139" s="12"/>
      <c r="D139" s="12"/>
      <c r="E139" s="48"/>
      <c r="F139" s="47"/>
      <c r="G139" s="47"/>
      <c r="H139" s="47"/>
      <c r="I139" s="47"/>
      <c r="J139" s="47"/>
      <c r="K139" s="12"/>
      <c r="L139" s="12"/>
      <c r="M139" s="12"/>
      <c r="P139" s="12"/>
      <c r="Q139" s="12"/>
      <c r="R139" s="12"/>
      <c r="S139" s="12"/>
      <c r="T139" s="12"/>
      <c r="U139" s="12"/>
      <c r="V139" s="12"/>
      <c r="W139" s="12"/>
      <c r="X139" s="12"/>
      <c r="Y139" s="48"/>
      <c r="Z139" s="48"/>
    </row>
    <row r="140" spans="2:26">
      <c r="B140" s="12"/>
      <c r="C140" s="12"/>
      <c r="D140" s="12"/>
      <c r="E140" s="48"/>
      <c r="F140" s="47"/>
      <c r="G140" s="47"/>
      <c r="H140" s="47"/>
      <c r="I140" s="47"/>
      <c r="J140" s="47"/>
      <c r="K140" s="12"/>
      <c r="L140" s="12"/>
      <c r="M140" s="12"/>
      <c r="P140" s="12"/>
      <c r="Q140" s="12"/>
      <c r="R140" s="12"/>
      <c r="S140" s="12"/>
      <c r="T140" s="12"/>
      <c r="U140" s="12"/>
      <c r="V140" s="12"/>
      <c r="W140" s="12"/>
      <c r="X140" s="12"/>
      <c r="Y140" s="48"/>
      <c r="Z140" s="48"/>
    </row>
    <row r="160" spans="5:9">
      <c r="E160" s="255">
        <v>45275</v>
      </c>
      <c r="F160" s="255">
        <v>45376</v>
      </c>
      <c r="I160" s="2">
        <v>45376</v>
      </c>
    </row>
    <row r="161" spans="5:9">
      <c r="E161" s="255">
        <v>45372</v>
      </c>
      <c r="F161" s="255">
        <v>45387</v>
      </c>
      <c r="I161" s="2">
        <v>45387</v>
      </c>
    </row>
    <row r="162" spans="5:9">
      <c r="E162" s="13">
        <f>+E161-E160</f>
        <v>97</v>
      </c>
      <c r="F162" s="13">
        <f>+F161-F160</f>
        <v>11</v>
      </c>
      <c r="I162" s="2">
        <v>11</v>
      </c>
    </row>
  </sheetData>
  <mergeCells count="6">
    <mergeCell ref="L7:M7"/>
    <mergeCell ref="B2:F2"/>
    <mergeCell ref="B3:F3"/>
    <mergeCell ref="N3:R3"/>
    <mergeCell ref="B5:F5"/>
    <mergeCell ref="I5:J6"/>
  </mergeCells>
  <conditionalFormatting sqref="G126:J126">
    <cfRule type="cellIs" dxfId="0" priority="1" stopIfTrue="1" operator="greaterThan">
      <formula>0</formula>
    </cfRule>
  </conditionalFormatting>
  <printOptions horizontalCentered="1"/>
  <pageMargins left="0.39370078740157483" right="0.35433070866141736" top="0.19685039370078741" bottom="0.19685039370078741" header="0" footer="0"/>
  <pageSetup scale="60" fitToHeight="5"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0"/>
    <pageSetUpPr fitToPage="1"/>
  </sheetPr>
  <dimension ref="B1:Z122"/>
  <sheetViews>
    <sheetView showZeros="0" topLeftCell="A5" zoomScale="70" zoomScaleNormal="70" zoomScaleSheetLayoutView="90" workbookViewId="0">
      <pane xSplit="4" ySplit="2" topLeftCell="R7" activePane="bottomRight" state="frozen"/>
      <selection pane="topRight" activeCell="E5" sqref="E5"/>
      <selection pane="bottomLeft" activeCell="A7" sqref="A7"/>
      <selection pane="bottomRight" activeCell="AB6" sqref="AB6"/>
    </sheetView>
  </sheetViews>
  <sheetFormatPr baseColWidth="10" defaultColWidth="11.42578125" defaultRowHeight="12.75"/>
  <cols>
    <col min="1" max="1" width="2.85546875" style="233" customWidth="1"/>
    <col min="2" max="2" width="6.7109375" style="233" bestFit="1" customWidth="1"/>
    <col min="3" max="3" width="85.42578125" style="233" customWidth="1"/>
    <col min="4" max="4" width="7" style="233" customWidth="1"/>
    <col min="5" max="5" width="17.42578125" style="233" customWidth="1"/>
    <col min="6" max="6" width="15.7109375" style="233" customWidth="1"/>
    <col min="7" max="7" width="13.7109375" style="233" customWidth="1"/>
    <col min="8" max="8" width="15.7109375" style="233" customWidth="1"/>
    <col min="9" max="9" width="13.7109375" style="233" customWidth="1"/>
    <col min="10" max="10" width="15.7109375" style="233" customWidth="1"/>
    <col min="11" max="11" width="13.7109375" style="233" customWidth="1"/>
    <col min="12" max="12" width="15.7109375" style="233" customWidth="1"/>
    <col min="13" max="13" width="13.7109375" style="233" customWidth="1"/>
    <col min="14" max="14" width="15.7109375" style="233" customWidth="1"/>
    <col min="15" max="15" width="13.7109375" style="233" customWidth="1"/>
    <col min="16" max="16" width="15.7109375" style="233" customWidth="1"/>
    <col min="17" max="17" width="13.7109375" style="233" customWidth="1"/>
    <col min="18" max="18" width="15.7109375" style="233" customWidth="1"/>
    <col min="19" max="19" width="13.7109375" style="233" customWidth="1"/>
    <col min="20" max="26" width="15.7109375" style="233" customWidth="1"/>
    <col min="27" max="27" width="5.42578125" style="233" customWidth="1"/>
    <col min="28" max="16384" width="11.42578125" style="233"/>
  </cols>
  <sheetData>
    <row r="1" spans="2:26" ht="13.5" thickBot="1"/>
    <row r="2" spans="2:26" ht="24.75" customHeight="1">
      <c r="B2" s="1176" t="s">
        <v>757</v>
      </c>
      <c r="C2" s="1177"/>
      <c r="D2" s="1177"/>
      <c r="E2" s="1177"/>
      <c r="F2" s="1177"/>
      <c r="G2" s="1177"/>
      <c r="H2" s="1177"/>
      <c r="I2" s="1177"/>
      <c r="J2" s="1177"/>
      <c r="K2" s="1177"/>
      <c r="L2" s="1177"/>
      <c r="M2" s="1177"/>
      <c r="N2" s="1177"/>
      <c r="O2" s="1177"/>
      <c r="P2" s="1177"/>
      <c r="Q2" s="1177"/>
      <c r="R2" s="1177"/>
      <c r="S2" s="1177"/>
      <c r="T2" s="1177"/>
      <c r="U2" s="1177"/>
      <c r="V2" s="1177"/>
      <c r="W2" s="1177"/>
      <c r="X2" s="1177"/>
      <c r="Y2" s="234"/>
      <c r="Z2" s="235"/>
    </row>
    <row r="3" spans="2:26" ht="27.75" customHeight="1">
      <c r="B3" s="1178" t="e">
        <f>+#REF!</f>
        <v>#REF!</v>
      </c>
      <c r="C3" s="1179"/>
      <c r="D3" s="1179"/>
      <c r="E3" s="1179"/>
      <c r="F3" s="1179"/>
      <c r="G3" s="1179"/>
      <c r="H3" s="1179"/>
      <c r="I3" s="1179"/>
      <c r="J3" s="1179"/>
      <c r="K3" s="1179"/>
      <c r="L3" s="1179"/>
      <c r="M3" s="1179"/>
      <c r="N3" s="1179"/>
      <c r="O3" s="1179"/>
      <c r="P3" s="1179"/>
      <c r="Q3" s="1179"/>
      <c r="R3" s="1179"/>
      <c r="S3" s="1179"/>
      <c r="T3" s="1179"/>
      <c r="U3" s="1179"/>
      <c r="V3" s="1179"/>
      <c r="W3" s="1179"/>
      <c r="X3" s="1179"/>
      <c r="Y3" s="236"/>
      <c r="Z3" s="237"/>
    </row>
    <row r="4" spans="2:26" ht="20.25" customHeight="1">
      <c r="B4" s="1180" t="s">
        <v>1025</v>
      </c>
      <c r="C4" s="1181"/>
      <c r="D4" s="1181"/>
      <c r="E4" s="1181"/>
      <c r="F4" s="1181"/>
      <c r="G4" s="1181"/>
      <c r="H4" s="1181"/>
      <c r="I4" s="1181"/>
      <c r="J4" s="1181"/>
      <c r="K4" s="1181"/>
      <c r="L4" s="1181"/>
      <c r="M4" s="1181"/>
      <c r="N4" s="1181"/>
      <c r="O4" s="1181"/>
      <c r="P4" s="1181"/>
      <c r="Q4" s="1181"/>
      <c r="R4" s="1181"/>
      <c r="S4" s="1181"/>
      <c r="T4" s="1181"/>
      <c r="U4" s="1181"/>
      <c r="V4" s="1181"/>
      <c r="W4" s="1181"/>
      <c r="X4" s="1181"/>
      <c r="Y4" s="238"/>
      <c r="Z4" s="237"/>
    </row>
    <row r="5" spans="2:26" ht="13.5" thickBot="1">
      <c r="B5" s="239"/>
      <c r="Z5" s="237"/>
    </row>
    <row r="6" spans="2:26" ht="132.75" customHeight="1" thickBot="1">
      <c r="B6" s="242" t="s">
        <v>690</v>
      </c>
      <c r="C6" s="243" t="s">
        <v>86</v>
      </c>
      <c r="D6" s="243" t="s">
        <v>95</v>
      </c>
      <c r="E6" s="241" t="s">
        <v>1026</v>
      </c>
      <c r="F6" s="1182" t="s">
        <v>1027</v>
      </c>
      <c r="G6" s="1183"/>
      <c r="H6" s="1182" t="s">
        <v>1028</v>
      </c>
      <c r="I6" s="1183"/>
      <c r="J6" s="1182" t="s">
        <v>1029</v>
      </c>
      <c r="K6" s="1183"/>
      <c r="L6" s="1182" t="s">
        <v>1030</v>
      </c>
      <c r="M6" s="1183"/>
      <c r="N6" s="1182" t="s">
        <v>1031</v>
      </c>
      <c r="O6" s="1183"/>
      <c r="P6" s="1182" t="s">
        <v>1032</v>
      </c>
      <c r="Q6" s="1183"/>
      <c r="R6" s="1182" t="s">
        <v>687</v>
      </c>
      <c r="S6" s="1184"/>
      <c r="T6" s="290" t="s">
        <v>680</v>
      </c>
      <c r="U6" s="290" t="s">
        <v>92</v>
      </c>
      <c r="V6" s="290" t="s">
        <v>681</v>
      </c>
      <c r="W6" s="290" t="s">
        <v>682</v>
      </c>
      <c r="X6" s="290" t="s">
        <v>683</v>
      </c>
      <c r="Y6" s="291" t="s">
        <v>684</v>
      </c>
      <c r="Z6" s="292" t="s">
        <v>1033</v>
      </c>
    </row>
    <row r="7" spans="2:26" s="3" customFormat="1" ht="26.25" customHeight="1">
      <c r="B7" s="270"/>
      <c r="C7" s="271" t="s">
        <v>1034</v>
      </c>
      <c r="D7" s="271"/>
      <c r="E7" s="272"/>
      <c r="F7" s="272" t="s">
        <v>1035</v>
      </c>
      <c r="G7" s="273">
        <v>0.1203</v>
      </c>
      <c r="H7" s="272" t="s">
        <v>1035</v>
      </c>
      <c r="I7" s="273">
        <v>4.1799999999999997E-2</v>
      </c>
      <c r="J7" s="273" t="s">
        <v>1036</v>
      </c>
      <c r="K7" s="273">
        <v>4.0800000000000003E-2</v>
      </c>
      <c r="L7" s="273" t="s">
        <v>1036</v>
      </c>
      <c r="M7" s="273">
        <v>3.95E-2</v>
      </c>
      <c r="N7" s="273" t="s">
        <v>1036</v>
      </c>
      <c r="O7" s="273">
        <v>3.95E-2</v>
      </c>
      <c r="P7" s="273" t="s">
        <v>1036</v>
      </c>
      <c r="Q7" s="273">
        <v>3.95E-2</v>
      </c>
      <c r="R7" s="273" t="s">
        <v>1036</v>
      </c>
      <c r="S7" s="273">
        <v>0.1145</v>
      </c>
      <c r="T7" s="274"/>
      <c r="U7" s="274"/>
      <c r="V7" s="274"/>
      <c r="W7" s="274"/>
      <c r="X7" s="274"/>
      <c r="Y7" s="274"/>
      <c r="Z7" s="275"/>
    </row>
    <row r="8" spans="2:26">
      <c r="B8" s="240" t="str">
        <f>+PRESUPUESTO!B8</f>
        <v>1.</v>
      </c>
      <c r="C8" s="907" t="str">
        <f>+PRESUPUESTO!C8</f>
        <v>PRELIMINARES</v>
      </c>
      <c r="D8" s="908">
        <f>+PRESUPUESTO!D8</f>
        <v>0</v>
      </c>
      <c r="E8" s="909"/>
      <c r="F8" s="909"/>
      <c r="G8" s="909"/>
      <c r="H8" s="909"/>
      <c r="I8" s="909"/>
      <c r="J8" s="909"/>
      <c r="K8" s="909"/>
      <c r="L8" s="909"/>
      <c r="M8" s="909"/>
      <c r="N8" s="909"/>
      <c r="O8" s="909"/>
      <c r="P8" s="909"/>
      <c r="Q8" s="909"/>
      <c r="R8" s="909"/>
      <c r="S8" s="909"/>
      <c r="T8" s="910"/>
      <c r="U8" s="910"/>
      <c r="V8" s="910"/>
      <c r="W8" s="910"/>
      <c r="X8" s="910"/>
      <c r="Y8" s="910"/>
      <c r="Z8" s="911"/>
    </row>
    <row r="9" spans="2:26" ht="18.75" customHeight="1">
      <c r="B9" s="264" t="str">
        <f>+PRESUPUESTO!B9</f>
        <v>1.1.</v>
      </c>
      <c r="C9" s="912" t="str">
        <f>+PRESUPUESTO!C9</f>
        <v>Desmonte de teja trapezoidal fachada vertical traslucida</v>
      </c>
      <c r="D9" s="913" t="str">
        <f>+PRESUPUESTO!D9</f>
        <v>M2</v>
      </c>
      <c r="E9" s="914" t="e">
        <f>+#REF!</f>
        <v>#REF!</v>
      </c>
      <c r="F9" s="915"/>
      <c r="G9" s="914" t="str">
        <f>+IF(F9="","",ROUND(F9*(1+G$7),0))</f>
        <v/>
      </c>
      <c r="H9" s="915"/>
      <c r="I9" s="914" t="str">
        <f>+IF(H9="","",ROUND(H9*(1+I$7),0))</f>
        <v/>
      </c>
      <c r="J9" s="915"/>
      <c r="K9" s="914" t="str">
        <f>+IF(J9="","",ROUND(J9*(1+K$7),0))</f>
        <v/>
      </c>
      <c r="L9" s="915"/>
      <c r="M9" s="914" t="str">
        <f>+IF(L9="","",ROUND(L9*(1+M$7),0))</f>
        <v/>
      </c>
      <c r="N9" s="915"/>
      <c r="O9" s="914" t="str">
        <f>+IF(N9="","",ROUND(N9*(1+O$7),0))</f>
        <v/>
      </c>
      <c r="P9" s="915"/>
      <c r="Q9" s="914" t="str">
        <f>+IF(P9="","",ROUND(P9*(1+Q$7),0))</f>
        <v/>
      </c>
      <c r="R9" s="915"/>
      <c r="S9" s="914" t="str">
        <f>+IF(R9="","",ROUND(R9*(1+S$7),0))</f>
        <v/>
      </c>
      <c r="T9" s="916"/>
      <c r="U9" s="916" t="e">
        <f t="shared" ref="U9:U11" si="0">AVERAGE(E9,G9,I9,K9,M9,O9,Q9,S9)</f>
        <v>#REF!</v>
      </c>
      <c r="V9" s="917" t="e">
        <f t="shared" ref="V9:V11" si="1">(T9/U9)</f>
        <v>#REF!</v>
      </c>
      <c r="W9" s="918" t="e">
        <f t="shared" ref="W9:W11" si="2">+ROUND(GEOMEAN(E9,G9,I9,K9,M9,O9,Q9,S9),0)</f>
        <v>#REF!</v>
      </c>
      <c r="X9" s="918" t="e">
        <f t="shared" ref="X9:X11" si="3">ROUND(HARMEAN(E9,G9,I9,K9,M9,O9,Q9,S9),0)</f>
        <v>#REF!</v>
      </c>
      <c r="Y9" s="919" t="e">
        <f t="shared" ref="Y9:Y11" si="4">IF(V9&gt;=30%,"ARMONICA","GEOMETRICA")</f>
        <v>#REF!</v>
      </c>
      <c r="Z9" s="920" t="e">
        <f t="shared" ref="Z9:Z11" si="5">IF(V9&gt;30%,X9,W9)</f>
        <v>#REF!</v>
      </c>
    </row>
    <row r="10" spans="2:26" ht="25.5">
      <c r="B10" s="264" t="str">
        <f>+PRESUPUESTO!B10</f>
        <v>1.2.</v>
      </c>
      <c r="C10" s="912" t="str">
        <f>+PRESUPUESTO!C10</f>
        <v xml:space="preserve">Desmonte de puertas dobles en lámina. Incluye retiro de marco, resane de vano y filos  y ubicación temporal en sitio establecido por la entidad. </v>
      </c>
      <c r="D10" s="913" t="str">
        <f>+PRESUPUESTO!D10</f>
        <v>UN</v>
      </c>
      <c r="E10" s="914" t="e">
        <f>+#REF!</f>
        <v>#REF!</v>
      </c>
      <c r="F10" s="915"/>
      <c r="G10" s="914" t="str">
        <f t="shared" ref="G10:G64" si="6">+IF(F10="","",ROUND(F10*(1+G$7),0))</f>
        <v/>
      </c>
      <c r="H10" s="915"/>
      <c r="I10" s="914" t="str">
        <f t="shared" ref="I10:I64" si="7">+IF(H10="","",ROUND(H10*(1+I$7),0))</f>
        <v/>
      </c>
      <c r="J10" s="915"/>
      <c r="K10" s="914" t="str">
        <f t="shared" ref="K10:K64" si="8">+IF(J10="","",ROUND(J10*(1+K$7),0))</f>
        <v/>
      </c>
      <c r="L10" s="915"/>
      <c r="M10" s="914" t="str">
        <f t="shared" ref="M10:M64" si="9">+IF(L10="","",ROUND(L10*(1+M$7),0))</f>
        <v/>
      </c>
      <c r="N10" s="915"/>
      <c r="O10" s="914" t="str">
        <f t="shared" ref="O10:O64" si="10">+IF(N10="","",ROUND(N10*(1+O$7),0))</f>
        <v/>
      </c>
      <c r="P10" s="915"/>
      <c r="Q10" s="914" t="str">
        <f t="shared" ref="Q10:S64" si="11">+IF(P10="","",ROUND(P10*(1+Q$7),0))</f>
        <v/>
      </c>
      <c r="R10" s="915"/>
      <c r="S10" s="914" t="str">
        <f t="shared" si="11"/>
        <v/>
      </c>
      <c r="T10" s="916"/>
      <c r="U10" s="916" t="e">
        <f t="shared" si="0"/>
        <v>#REF!</v>
      </c>
      <c r="V10" s="917" t="e">
        <f t="shared" si="1"/>
        <v>#REF!</v>
      </c>
      <c r="W10" s="918" t="e">
        <f t="shared" si="2"/>
        <v>#REF!</v>
      </c>
      <c r="X10" s="918" t="e">
        <f t="shared" si="3"/>
        <v>#REF!</v>
      </c>
      <c r="Y10" s="919" t="e">
        <f t="shared" si="4"/>
        <v>#REF!</v>
      </c>
      <c r="Z10" s="920" t="e">
        <f t="shared" si="5"/>
        <v>#REF!</v>
      </c>
    </row>
    <row r="11" spans="2:26" ht="25.5">
      <c r="B11" s="921" t="str">
        <f>+PRESUPUESTO!B11</f>
        <v>1.3.</v>
      </c>
      <c r="C11" s="922" t="str">
        <f>+PRESUPUESTO!C11</f>
        <v>Desmonte y reinstalacion de puertas o ventanas. Incluye cargue y ubicación temporal en sitio establecido por la entidad. Incluye resane de vano y filos</v>
      </c>
      <c r="D11" s="923" t="str">
        <f>+PRESUPUESTO!D11</f>
        <v>UN</v>
      </c>
      <c r="E11" s="914" t="e">
        <f>+#REF!</f>
        <v>#REF!</v>
      </c>
      <c r="F11" s="915"/>
      <c r="G11" s="914" t="str">
        <f t="shared" si="6"/>
        <v/>
      </c>
      <c r="H11" s="915"/>
      <c r="I11" s="914" t="str">
        <f t="shared" si="7"/>
        <v/>
      </c>
      <c r="J11" s="915"/>
      <c r="K11" s="914" t="str">
        <f t="shared" si="8"/>
        <v/>
      </c>
      <c r="L11" s="915"/>
      <c r="M11" s="914" t="str">
        <f t="shared" si="9"/>
        <v/>
      </c>
      <c r="N11" s="915"/>
      <c r="O11" s="914" t="str">
        <f t="shared" si="10"/>
        <v/>
      </c>
      <c r="P11" s="915"/>
      <c r="Q11" s="914" t="str">
        <f t="shared" si="11"/>
        <v/>
      </c>
      <c r="R11" s="915"/>
      <c r="S11" s="914" t="str">
        <f t="shared" si="11"/>
        <v/>
      </c>
      <c r="T11" s="916"/>
      <c r="U11" s="916" t="e">
        <f t="shared" si="0"/>
        <v>#REF!</v>
      </c>
      <c r="V11" s="917" t="e">
        <f t="shared" si="1"/>
        <v>#REF!</v>
      </c>
      <c r="W11" s="918" t="e">
        <f t="shared" si="2"/>
        <v>#REF!</v>
      </c>
      <c r="X11" s="918" t="e">
        <f t="shared" si="3"/>
        <v>#REF!</v>
      </c>
      <c r="Y11" s="919" t="e">
        <f t="shared" si="4"/>
        <v>#REF!</v>
      </c>
      <c r="Z11" s="920" t="e">
        <f t="shared" si="5"/>
        <v>#REF!</v>
      </c>
    </row>
    <row r="12" spans="2:26" ht="25.5">
      <c r="B12" s="921" t="str">
        <f>+PRESUPUESTO!B12</f>
        <v>1.4.</v>
      </c>
      <c r="C12" s="924" t="str">
        <f>+PRESUPUESTO!C12</f>
        <v>Raspado de estuco y pintura, hasta encontrar pañete. Incluye limpieza de pañete. Incluye cargue y el retiro de escombros a botadero autorizado.</v>
      </c>
      <c r="D12" s="923" t="str">
        <f>+PRESUPUESTO!D12</f>
        <v>M2</v>
      </c>
      <c r="E12" s="914" t="e">
        <f>+#REF!</f>
        <v>#REF!</v>
      </c>
      <c r="F12" s="915">
        <v>9060</v>
      </c>
      <c r="G12" s="914">
        <f t="shared" si="6"/>
        <v>10150</v>
      </c>
      <c r="H12" s="915">
        <v>9547</v>
      </c>
      <c r="I12" s="914">
        <f t="shared" si="7"/>
        <v>9946</v>
      </c>
      <c r="J12" s="915"/>
      <c r="K12" s="914" t="str">
        <f t="shared" si="8"/>
        <v/>
      </c>
      <c r="L12" s="915"/>
      <c r="M12" s="914" t="str">
        <f t="shared" si="9"/>
        <v/>
      </c>
      <c r="N12" s="915"/>
      <c r="O12" s="914" t="str">
        <f t="shared" si="10"/>
        <v/>
      </c>
      <c r="P12" s="915"/>
      <c r="Q12" s="914" t="str">
        <f t="shared" si="11"/>
        <v/>
      </c>
      <c r="R12" s="915"/>
      <c r="S12" s="914" t="str">
        <f t="shared" si="11"/>
        <v/>
      </c>
      <c r="T12" s="916" t="e">
        <f>_xlfn.STDEV.S(E12,G12,I12,K12,M12,O12,Q12,S12)</f>
        <v>#REF!</v>
      </c>
      <c r="U12" s="916" t="e">
        <f>AVERAGE(E12,G12,I12,K12,M12,O12,Q12,S12)</f>
        <v>#REF!</v>
      </c>
      <c r="V12" s="917" t="e">
        <f t="shared" ref="V12" si="12">(T12/U12)</f>
        <v>#REF!</v>
      </c>
      <c r="W12" s="918" t="e">
        <f>+ROUND(GEOMEAN(E12,G12,I12,K12,M12,O12,Q12,S12),0)</f>
        <v>#REF!</v>
      </c>
      <c r="X12" s="918" t="e">
        <f>ROUND(HARMEAN(E12,G12,I12,K12,M12,O12,Q12,S12),0)</f>
        <v>#REF!</v>
      </c>
      <c r="Y12" s="919" t="e">
        <f t="shared" ref="Y12" si="13">IF(V12&gt;=30%,"ARMONICA","GEOMETRICA")</f>
        <v>#REF!</v>
      </c>
      <c r="Z12" s="920" t="e">
        <f t="shared" ref="Z12" si="14">IF(V12&gt;30%,X12,W12)</f>
        <v>#REF!</v>
      </c>
    </row>
    <row r="13" spans="2:26" ht="38.25">
      <c r="B13" s="921" t="str">
        <f>+PRESUPUESTO!B13</f>
        <v>1.5.</v>
      </c>
      <c r="C13" s="924" t="str">
        <f>+PRESUPUESTO!C13</f>
        <v>Desmonte de cubierta en policarbonato alveolar, incluidos, amarres, flanches, fijaciones y demás elementos existentes, incluye maquinaria, mano de obra, cargue, retiro y disposición final de escombros en botadero autorizado (de ser requerido)</v>
      </c>
      <c r="D13" s="923" t="str">
        <f>+PRESUPUESTO!D13</f>
        <v>M2</v>
      </c>
      <c r="E13" s="914" t="e">
        <f>+#REF!</f>
        <v>#REF!</v>
      </c>
      <c r="F13" s="915">
        <v>10686</v>
      </c>
      <c r="G13" s="914">
        <f t="shared" si="6"/>
        <v>11972</v>
      </c>
      <c r="H13" s="915"/>
      <c r="I13" s="914" t="str">
        <f t="shared" si="7"/>
        <v/>
      </c>
      <c r="J13" s="915"/>
      <c r="K13" s="914" t="str">
        <f t="shared" si="8"/>
        <v/>
      </c>
      <c r="L13" s="915"/>
      <c r="M13" s="914" t="str">
        <f t="shared" si="9"/>
        <v/>
      </c>
      <c r="N13" s="915"/>
      <c r="O13" s="914" t="str">
        <f t="shared" si="10"/>
        <v/>
      </c>
      <c r="P13" s="915"/>
      <c r="Q13" s="914" t="str">
        <f t="shared" si="11"/>
        <v/>
      </c>
      <c r="R13" s="915"/>
      <c r="S13" s="914" t="str">
        <f t="shared" si="11"/>
        <v/>
      </c>
      <c r="T13" s="916" t="e">
        <f t="shared" ref="T13:T67" si="15">_xlfn.STDEV.S(E13,G13,I13,K13,M13,O13,Q13,S13)</f>
        <v>#REF!</v>
      </c>
      <c r="U13" s="916" t="e">
        <f t="shared" ref="U13:U67" si="16">AVERAGE(E13,G13,I13,K13,M13,O13,Q13,S13)</f>
        <v>#REF!</v>
      </c>
      <c r="V13" s="917" t="e">
        <f t="shared" ref="V13:V67" si="17">(T13/U13)</f>
        <v>#REF!</v>
      </c>
      <c r="W13" s="918" t="e">
        <f t="shared" ref="W13:W67" si="18">+ROUND(GEOMEAN(E13,G13,I13,K13,M13,O13,Q13,S13),0)</f>
        <v>#REF!</v>
      </c>
      <c r="X13" s="918" t="e">
        <f t="shared" ref="X13:X67" si="19">ROUND(HARMEAN(E13,G13,I13,K13,M13,O13,Q13,S13),0)</f>
        <v>#REF!</v>
      </c>
      <c r="Y13" s="919" t="e">
        <f t="shared" ref="Y13:Y67" si="20">IF(V13&gt;=30%,"ARMONICA","GEOMETRICA")</f>
        <v>#REF!</v>
      </c>
      <c r="Z13" s="920" t="e">
        <f t="shared" ref="Z13:Z67" si="21">IF(V13&gt;30%,X13,W13)</f>
        <v>#REF!</v>
      </c>
    </row>
    <row r="14" spans="2:26" ht="25.5">
      <c r="B14" s="921" t="str">
        <f>+PRESUPUESTO!B14</f>
        <v>1.6.</v>
      </c>
      <c r="C14" s="922" t="str">
        <f>+PRESUPUESTO!C14</f>
        <v>Desmonte y reinstalacion  de protectores guardacamillas. Incluye disposición y almacenamiento temporal (morgue pptal, septicos, pre y pos)</v>
      </c>
      <c r="D14" s="923" t="str">
        <f>+PRESUPUESTO!D14</f>
        <v>ML</v>
      </c>
      <c r="E14" s="914" t="e">
        <f>+#REF!</f>
        <v>#REF!</v>
      </c>
      <c r="F14" s="915"/>
      <c r="G14" s="914" t="str">
        <f t="shared" si="6"/>
        <v/>
      </c>
      <c r="H14" s="915"/>
      <c r="I14" s="914" t="str">
        <f t="shared" si="7"/>
        <v/>
      </c>
      <c r="J14" s="915"/>
      <c r="K14" s="914" t="str">
        <f t="shared" si="8"/>
        <v/>
      </c>
      <c r="L14" s="915"/>
      <c r="M14" s="914" t="str">
        <f t="shared" si="9"/>
        <v/>
      </c>
      <c r="N14" s="915"/>
      <c r="O14" s="914" t="str">
        <f t="shared" si="10"/>
        <v/>
      </c>
      <c r="P14" s="915"/>
      <c r="Q14" s="914" t="str">
        <f t="shared" si="11"/>
        <v/>
      </c>
      <c r="R14" s="915"/>
      <c r="S14" s="914" t="str">
        <f t="shared" si="11"/>
        <v/>
      </c>
      <c r="T14" s="916"/>
      <c r="U14" s="916" t="e">
        <f t="shared" si="16"/>
        <v>#REF!</v>
      </c>
      <c r="V14" s="917" t="e">
        <f t="shared" si="17"/>
        <v>#REF!</v>
      </c>
      <c r="W14" s="918" t="e">
        <f t="shared" si="18"/>
        <v>#REF!</v>
      </c>
      <c r="X14" s="918" t="e">
        <f t="shared" si="19"/>
        <v>#REF!</v>
      </c>
      <c r="Y14" s="919" t="e">
        <f t="shared" si="20"/>
        <v>#REF!</v>
      </c>
      <c r="Z14" s="920" t="e">
        <f t="shared" si="21"/>
        <v>#REF!</v>
      </c>
    </row>
    <row r="15" spans="2:26" ht="38.25">
      <c r="B15" s="921" t="str">
        <f>+PRESUPUESTO!B15</f>
        <v>1.7.</v>
      </c>
      <c r="C15" s="924" t="str">
        <f>+PRESUPUESTO!C15</f>
        <v>Demolición de acabado de piso en enchape cerámico, epóxico u otro,  afinado y placa de concreto hasta de 15 cms. Incluye  cargue y el retiro de escombros a botadero autorizado (Cuarto frio y morgue ppal)</v>
      </c>
      <c r="D15" s="923" t="str">
        <f>+PRESUPUESTO!D15</f>
        <v>M2</v>
      </c>
      <c r="E15" s="914" t="e">
        <f>+#REF!</f>
        <v>#REF!</v>
      </c>
      <c r="F15" s="915">
        <v>33996</v>
      </c>
      <c r="G15" s="914">
        <f t="shared" si="6"/>
        <v>38086</v>
      </c>
      <c r="H15" s="915"/>
      <c r="I15" s="914" t="str">
        <f t="shared" si="7"/>
        <v/>
      </c>
      <c r="J15" s="915"/>
      <c r="K15" s="914" t="str">
        <f t="shared" si="8"/>
        <v/>
      </c>
      <c r="L15" s="915"/>
      <c r="M15" s="914" t="str">
        <f t="shared" si="9"/>
        <v/>
      </c>
      <c r="N15" s="915"/>
      <c r="O15" s="914" t="str">
        <f t="shared" si="10"/>
        <v/>
      </c>
      <c r="P15" s="915"/>
      <c r="Q15" s="914" t="str">
        <f t="shared" si="11"/>
        <v/>
      </c>
      <c r="R15" s="915">
        <v>59558</v>
      </c>
      <c r="S15" s="914">
        <f t="shared" si="11"/>
        <v>66377</v>
      </c>
      <c r="T15" s="916" t="e">
        <f t="shared" si="15"/>
        <v>#REF!</v>
      </c>
      <c r="U15" s="916" t="e">
        <f t="shared" si="16"/>
        <v>#REF!</v>
      </c>
      <c r="V15" s="917" t="e">
        <f t="shared" si="17"/>
        <v>#REF!</v>
      </c>
      <c r="W15" s="918" t="e">
        <f t="shared" si="18"/>
        <v>#REF!</v>
      </c>
      <c r="X15" s="918" t="e">
        <f t="shared" si="19"/>
        <v>#REF!</v>
      </c>
      <c r="Y15" s="919" t="e">
        <f t="shared" si="20"/>
        <v>#REF!</v>
      </c>
      <c r="Z15" s="920" t="e">
        <f t="shared" si="21"/>
        <v>#REF!</v>
      </c>
    </row>
    <row r="16" spans="2:26" ht="54" customHeight="1">
      <c r="B16" s="921" t="str">
        <f>+PRESUPUESTO!B16</f>
        <v>1.8.</v>
      </c>
      <c r="C16" s="922" t="str">
        <f>+PRESUPUESTO!C16</f>
        <v>Demolición de acabado de piso en enchape cerámico, epóxico y afinado  hasta de 10 cms. Incluye  retiro de rejillas de carcamos, contramarcos, cualquier elemento sobre el piso cargue y el retiro de escombros a botadero autorizado. (Pre y pos, recepcion, morgue ppal, cto cabinas , cto aseo, cto basuras y baño-vestieres)</v>
      </c>
      <c r="D16" s="923" t="str">
        <f>+PRESUPUESTO!D16</f>
        <v>M2</v>
      </c>
      <c r="E16" s="914" t="e">
        <f>+#REF!</f>
        <v>#REF!</v>
      </c>
      <c r="F16" s="915"/>
      <c r="G16" s="914" t="str">
        <f t="shared" si="6"/>
        <v/>
      </c>
      <c r="H16" s="915"/>
      <c r="I16" s="914" t="str">
        <f t="shared" si="7"/>
        <v/>
      </c>
      <c r="J16" s="915"/>
      <c r="K16" s="914" t="str">
        <f t="shared" si="8"/>
        <v/>
      </c>
      <c r="L16" s="915">
        <v>7509</v>
      </c>
      <c r="M16" s="914">
        <f t="shared" si="9"/>
        <v>7806</v>
      </c>
      <c r="N16" s="915"/>
      <c r="O16" s="914" t="str">
        <f t="shared" si="10"/>
        <v/>
      </c>
      <c r="P16" s="915"/>
      <c r="Q16" s="914" t="str">
        <f t="shared" si="11"/>
        <v/>
      </c>
      <c r="R16" s="915"/>
      <c r="S16" s="914" t="str">
        <f t="shared" si="11"/>
        <v/>
      </c>
      <c r="T16" s="916" t="e">
        <f t="shared" si="15"/>
        <v>#REF!</v>
      </c>
      <c r="U16" s="916" t="e">
        <f t="shared" si="16"/>
        <v>#REF!</v>
      </c>
      <c r="V16" s="917" t="e">
        <f t="shared" si="17"/>
        <v>#REF!</v>
      </c>
      <c r="W16" s="918" t="e">
        <f t="shared" si="18"/>
        <v>#REF!</v>
      </c>
      <c r="X16" s="918" t="e">
        <f t="shared" si="19"/>
        <v>#REF!</v>
      </c>
      <c r="Y16" s="919" t="e">
        <f t="shared" si="20"/>
        <v>#REF!</v>
      </c>
      <c r="Z16" s="920" t="e">
        <f t="shared" si="21"/>
        <v>#REF!</v>
      </c>
    </row>
    <row r="17" spans="2:26">
      <c r="B17" s="921" t="str">
        <f>+PRESUPUESTO!B17</f>
        <v>1.9.</v>
      </c>
      <c r="C17" s="924" t="str">
        <f>+PRESUPUESTO!C17</f>
        <v xml:space="preserve">Desmonte de aparatos sanitarios. </v>
      </c>
      <c r="D17" s="923" t="str">
        <f>+PRESUPUESTO!D17</f>
        <v>UN</v>
      </c>
      <c r="E17" s="914" t="e">
        <f>+#REF!</f>
        <v>#REF!</v>
      </c>
      <c r="F17" s="915"/>
      <c r="G17" s="914" t="str">
        <f t="shared" si="6"/>
        <v/>
      </c>
      <c r="H17" s="915"/>
      <c r="I17" s="914" t="str">
        <f t="shared" si="7"/>
        <v/>
      </c>
      <c r="J17" s="915"/>
      <c r="K17" s="914" t="str">
        <f t="shared" si="8"/>
        <v/>
      </c>
      <c r="L17" s="915"/>
      <c r="M17" s="914" t="str">
        <f t="shared" si="9"/>
        <v/>
      </c>
      <c r="N17" s="915">
        <v>30795</v>
      </c>
      <c r="O17" s="914">
        <f t="shared" si="10"/>
        <v>32011</v>
      </c>
      <c r="P17" s="915"/>
      <c r="Q17" s="914" t="str">
        <f t="shared" si="11"/>
        <v/>
      </c>
      <c r="R17" s="915">
        <v>29368</v>
      </c>
      <c r="S17" s="914">
        <f t="shared" si="11"/>
        <v>32731</v>
      </c>
      <c r="T17" s="916" t="e">
        <f t="shared" si="15"/>
        <v>#REF!</v>
      </c>
      <c r="U17" s="916" t="e">
        <f t="shared" si="16"/>
        <v>#REF!</v>
      </c>
      <c r="V17" s="917" t="e">
        <f t="shared" si="17"/>
        <v>#REF!</v>
      </c>
      <c r="W17" s="918" t="e">
        <f t="shared" si="18"/>
        <v>#REF!</v>
      </c>
      <c r="X17" s="918" t="e">
        <f t="shared" si="19"/>
        <v>#REF!</v>
      </c>
      <c r="Y17" s="919" t="e">
        <f t="shared" si="20"/>
        <v>#REF!</v>
      </c>
      <c r="Z17" s="920" t="e">
        <f t="shared" si="21"/>
        <v>#REF!</v>
      </c>
    </row>
    <row r="18" spans="2:26">
      <c r="B18" s="921" t="str">
        <f>+PRESUPUESTO!B18</f>
        <v>1.10.</v>
      </c>
      <c r="C18" s="924" t="str">
        <f>+PRESUPUESTO!C18</f>
        <v>Desmonte de lavamanos quirúrgicos</v>
      </c>
      <c r="D18" s="923" t="str">
        <f>+PRESUPUESTO!D18</f>
        <v>UN</v>
      </c>
      <c r="E18" s="914" t="e">
        <f>+#REF!</f>
        <v>#REF!</v>
      </c>
      <c r="F18" s="915"/>
      <c r="G18" s="914" t="str">
        <f t="shared" si="6"/>
        <v/>
      </c>
      <c r="H18" s="915"/>
      <c r="I18" s="914" t="str">
        <f t="shared" si="7"/>
        <v/>
      </c>
      <c r="J18" s="915">
        <v>15664.78</v>
      </c>
      <c r="K18" s="914">
        <f t="shared" si="8"/>
        <v>16304</v>
      </c>
      <c r="L18" s="915"/>
      <c r="M18" s="914" t="str">
        <f t="shared" si="9"/>
        <v/>
      </c>
      <c r="N18" s="915"/>
      <c r="O18" s="914" t="str">
        <f t="shared" si="10"/>
        <v/>
      </c>
      <c r="P18" s="915"/>
      <c r="Q18" s="914" t="str">
        <f t="shared" si="11"/>
        <v/>
      </c>
      <c r="R18" s="915"/>
      <c r="S18" s="914" t="str">
        <f t="shared" si="11"/>
        <v/>
      </c>
      <c r="T18" s="916" t="e">
        <f t="shared" si="15"/>
        <v>#REF!</v>
      </c>
      <c r="U18" s="916" t="e">
        <f t="shared" si="16"/>
        <v>#REF!</v>
      </c>
      <c r="V18" s="917" t="e">
        <f t="shared" si="17"/>
        <v>#REF!</v>
      </c>
      <c r="W18" s="918" t="e">
        <f t="shared" si="18"/>
        <v>#REF!</v>
      </c>
      <c r="X18" s="918" t="e">
        <f t="shared" si="19"/>
        <v>#REF!</v>
      </c>
      <c r="Y18" s="919" t="e">
        <f t="shared" si="20"/>
        <v>#REF!</v>
      </c>
      <c r="Z18" s="920" t="e">
        <f t="shared" si="21"/>
        <v>#REF!</v>
      </c>
    </row>
    <row r="19" spans="2:26" ht="25.5">
      <c r="B19" s="921" t="str">
        <f>+PRESUPUESTO!B19</f>
        <v>1.11.</v>
      </c>
      <c r="C19" s="924" t="str">
        <f>+PRESUPUESTO!C19</f>
        <v>Retiro de impermeabilización de placa equipos. Incluye cargue, retiro y disposición final de escombros en botadero autorizado</v>
      </c>
      <c r="D19" s="923" t="str">
        <f>+PRESUPUESTO!D19</f>
        <v>M2</v>
      </c>
      <c r="E19" s="914" t="e">
        <f>+#REF!</f>
        <v>#REF!</v>
      </c>
      <c r="F19" s="915">
        <v>6678</v>
      </c>
      <c r="G19" s="914">
        <f t="shared" si="6"/>
        <v>7481</v>
      </c>
      <c r="H19" s="915"/>
      <c r="I19" s="914" t="str">
        <f t="shared" si="7"/>
        <v/>
      </c>
      <c r="J19" s="915"/>
      <c r="K19" s="914" t="str">
        <f t="shared" si="8"/>
        <v/>
      </c>
      <c r="L19" s="915"/>
      <c r="M19" s="914" t="str">
        <f t="shared" si="9"/>
        <v/>
      </c>
      <c r="N19" s="915"/>
      <c r="O19" s="914" t="str">
        <f t="shared" si="10"/>
        <v/>
      </c>
      <c r="P19" s="915"/>
      <c r="Q19" s="914" t="str">
        <f t="shared" si="11"/>
        <v/>
      </c>
      <c r="R19" s="915"/>
      <c r="S19" s="914" t="str">
        <f t="shared" si="11"/>
        <v/>
      </c>
      <c r="T19" s="916" t="e">
        <f t="shared" si="15"/>
        <v>#REF!</v>
      </c>
      <c r="U19" s="916" t="e">
        <f t="shared" si="16"/>
        <v>#REF!</v>
      </c>
      <c r="V19" s="917" t="e">
        <f t="shared" si="17"/>
        <v>#REF!</v>
      </c>
      <c r="W19" s="918" t="e">
        <f t="shared" si="18"/>
        <v>#REF!</v>
      </c>
      <c r="X19" s="918" t="e">
        <f t="shared" si="19"/>
        <v>#REF!</v>
      </c>
      <c r="Y19" s="919" t="e">
        <f t="shared" si="20"/>
        <v>#REF!</v>
      </c>
      <c r="Z19" s="920" t="e">
        <f t="shared" si="21"/>
        <v>#REF!</v>
      </c>
    </row>
    <row r="20" spans="2:26" ht="25.5">
      <c r="B20" s="921" t="str">
        <f>+PRESUPUESTO!B20</f>
        <v>1.12.</v>
      </c>
      <c r="C20" s="924" t="str">
        <f>+PRESUPUESTO!C20</f>
        <v>Limpieza  de muros y pisos con hidrolavadora.  Incluye todos los trabajos necesarios para su correcta ejecución.</v>
      </c>
      <c r="D20" s="923" t="str">
        <f>+PRESUPUESTO!D20</f>
        <v>M2</v>
      </c>
      <c r="E20" s="914" t="e">
        <f>+#REF!</f>
        <v>#REF!</v>
      </c>
      <c r="F20" s="915"/>
      <c r="G20" s="914" t="str">
        <f t="shared" si="6"/>
        <v/>
      </c>
      <c r="H20" s="915">
        <v>4448</v>
      </c>
      <c r="I20" s="914">
        <f t="shared" si="7"/>
        <v>4634</v>
      </c>
      <c r="J20" s="915">
        <v>3206.46</v>
      </c>
      <c r="K20" s="914">
        <f t="shared" si="8"/>
        <v>3337</v>
      </c>
      <c r="L20" s="915"/>
      <c r="M20" s="914" t="str">
        <f t="shared" si="9"/>
        <v/>
      </c>
      <c r="N20" s="915"/>
      <c r="O20" s="914" t="str">
        <f t="shared" si="10"/>
        <v/>
      </c>
      <c r="P20" s="915">
        <v>3303</v>
      </c>
      <c r="Q20" s="914">
        <f t="shared" si="11"/>
        <v>3433</v>
      </c>
      <c r="R20" s="915"/>
      <c r="S20" s="914" t="str">
        <f t="shared" si="11"/>
        <v/>
      </c>
      <c r="T20" s="916" t="e">
        <f t="shared" si="15"/>
        <v>#REF!</v>
      </c>
      <c r="U20" s="916" t="e">
        <f t="shared" si="16"/>
        <v>#REF!</v>
      </c>
      <c r="V20" s="917" t="e">
        <f t="shared" si="17"/>
        <v>#REF!</v>
      </c>
      <c r="W20" s="918" t="e">
        <f t="shared" si="18"/>
        <v>#REF!</v>
      </c>
      <c r="X20" s="918" t="e">
        <f t="shared" si="19"/>
        <v>#REF!</v>
      </c>
      <c r="Y20" s="919" t="e">
        <f t="shared" si="20"/>
        <v>#REF!</v>
      </c>
      <c r="Z20" s="920" t="e">
        <f t="shared" si="21"/>
        <v>#REF!</v>
      </c>
    </row>
    <row r="21" spans="2:26" ht="25.5">
      <c r="B21" s="921" t="str">
        <f>+PRESUPUESTO!B21</f>
        <v>1.13.</v>
      </c>
      <c r="C21" s="922" t="str">
        <f>+PRESUPUESTO!C21</f>
        <v>Raspado de pintura, retiro de cintas en muros o cielorrasos en superboard. Incluye cargue y el retiro de escombros a botadero autorizado.</v>
      </c>
      <c r="D21" s="923" t="str">
        <f>+PRESUPUESTO!D21</f>
        <v>M2</v>
      </c>
      <c r="E21" s="914" t="e">
        <f>+#REF!</f>
        <v>#REF!</v>
      </c>
      <c r="F21" s="915"/>
      <c r="G21" s="914" t="str">
        <f t="shared" si="6"/>
        <v/>
      </c>
      <c r="H21" s="915"/>
      <c r="I21" s="914" t="str">
        <f t="shared" si="7"/>
        <v/>
      </c>
      <c r="J21" s="915"/>
      <c r="K21" s="914" t="str">
        <f t="shared" si="8"/>
        <v/>
      </c>
      <c r="L21" s="915"/>
      <c r="M21" s="914" t="str">
        <f t="shared" si="9"/>
        <v/>
      </c>
      <c r="N21" s="915"/>
      <c r="O21" s="914" t="str">
        <f t="shared" si="10"/>
        <v/>
      </c>
      <c r="P21" s="915"/>
      <c r="Q21" s="914" t="str">
        <f t="shared" si="11"/>
        <v/>
      </c>
      <c r="R21" s="915"/>
      <c r="S21" s="914" t="str">
        <f t="shared" si="11"/>
        <v/>
      </c>
      <c r="T21" s="916"/>
      <c r="U21" s="916" t="e">
        <f t="shared" si="16"/>
        <v>#REF!</v>
      </c>
      <c r="V21" s="917" t="e">
        <f t="shared" si="17"/>
        <v>#REF!</v>
      </c>
      <c r="W21" s="918" t="e">
        <f t="shared" si="18"/>
        <v>#REF!</v>
      </c>
      <c r="X21" s="918" t="e">
        <f t="shared" si="19"/>
        <v>#REF!</v>
      </c>
      <c r="Y21" s="919" t="e">
        <f t="shared" si="20"/>
        <v>#REF!</v>
      </c>
      <c r="Z21" s="920" t="e">
        <f t="shared" si="21"/>
        <v>#REF!</v>
      </c>
    </row>
    <row r="22" spans="2:26">
      <c r="B22" s="921" t="str">
        <f>+PRESUPUESTO!B22</f>
        <v>1.14.</v>
      </c>
      <c r="C22" s="924" t="str">
        <f>+PRESUPUESTO!C22</f>
        <v>Demolición de enchape existente. Incluye cargue y retiro de excombros a botadero autorizado</v>
      </c>
      <c r="D22" s="923" t="str">
        <f>+PRESUPUESTO!D22</f>
        <v>M2</v>
      </c>
      <c r="E22" s="914" t="e">
        <f>+#REF!</f>
        <v>#REF!</v>
      </c>
      <c r="F22" s="915"/>
      <c r="G22" s="914" t="str">
        <f t="shared" si="6"/>
        <v/>
      </c>
      <c r="H22" s="915"/>
      <c r="I22" s="914" t="str">
        <f t="shared" si="7"/>
        <v/>
      </c>
      <c r="J22" s="915">
        <v>10256</v>
      </c>
      <c r="K22" s="914">
        <f t="shared" si="8"/>
        <v>10674</v>
      </c>
      <c r="L22" s="915"/>
      <c r="M22" s="914" t="str">
        <f t="shared" si="9"/>
        <v/>
      </c>
      <c r="N22" s="915">
        <v>7774</v>
      </c>
      <c r="O22" s="914">
        <f t="shared" si="10"/>
        <v>8081</v>
      </c>
      <c r="P22" s="915"/>
      <c r="Q22" s="914" t="str">
        <f t="shared" si="11"/>
        <v/>
      </c>
      <c r="R22" s="915">
        <v>9941</v>
      </c>
      <c r="S22" s="914">
        <f t="shared" si="11"/>
        <v>11079</v>
      </c>
      <c r="T22" s="916" t="e">
        <f t="shared" si="15"/>
        <v>#REF!</v>
      </c>
      <c r="U22" s="916" t="e">
        <f t="shared" si="16"/>
        <v>#REF!</v>
      </c>
      <c r="V22" s="917" t="e">
        <f t="shared" si="17"/>
        <v>#REF!</v>
      </c>
      <c r="W22" s="918" t="e">
        <f t="shared" si="18"/>
        <v>#REF!</v>
      </c>
      <c r="X22" s="918" t="e">
        <f t="shared" si="19"/>
        <v>#REF!</v>
      </c>
      <c r="Y22" s="919" t="e">
        <f t="shared" si="20"/>
        <v>#REF!</v>
      </c>
      <c r="Z22" s="920" t="e">
        <f t="shared" si="21"/>
        <v>#REF!</v>
      </c>
    </row>
    <row r="23" spans="2:26" ht="38.25">
      <c r="B23" s="921" t="str">
        <f>+PRESUPUESTO!B23</f>
        <v>1.15.</v>
      </c>
      <c r="C23" s="924" t="str">
        <f>+PRESUPUESTO!C23</f>
        <v>Desmonte de cielorraso en superboard. Incluye retiro de mediacañas entre muro y cielorraso, rejillas plásticas  y cualquier elemento adherido, cargue y retiro de escombros a botadero autorizado</v>
      </c>
      <c r="D23" s="923" t="str">
        <f>+PRESUPUESTO!D23</f>
        <v>M2</v>
      </c>
      <c r="E23" s="914" t="e">
        <f>+#REF!</f>
        <v>#REF!</v>
      </c>
      <c r="F23" s="915"/>
      <c r="G23" s="914" t="str">
        <f t="shared" si="6"/>
        <v/>
      </c>
      <c r="H23" s="915"/>
      <c r="I23" s="914" t="str">
        <f t="shared" si="7"/>
        <v/>
      </c>
      <c r="J23" s="915"/>
      <c r="K23" s="914" t="str">
        <f t="shared" si="8"/>
        <v/>
      </c>
      <c r="L23" s="915"/>
      <c r="M23" s="914" t="str">
        <f t="shared" si="9"/>
        <v/>
      </c>
      <c r="N23" s="915"/>
      <c r="O23" s="914" t="str">
        <f t="shared" si="10"/>
        <v/>
      </c>
      <c r="P23" s="915"/>
      <c r="Q23" s="914" t="str">
        <f t="shared" si="11"/>
        <v/>
      </c>
      <c r="R23" s="915"/>
      <c r="S23" s="914" t="str">
        <f t="shared" si="11"/>
        <v/>
      </c>
      <c r="T23" s="916"/>
      <c r="U23" s="916" t="e">
        <f t="shared" si="16"/>
        <v>#REF!</v>
      </c>
      <c r="V23" s="917" t="e">
        <f t="shared" si="17"/>
        <v>#REF!</v>
      </c>
      <c r="W23" s="918" t="e">
        <f t="shared" si="18"/>
        <v>#REF!</v>
      </c>
      <c r="X23" s="918" t="e">
        <f t="shared" si="19"/>
        <v>#REF!</v>
      </c>
      <c r="Y23" s="919" t="e">
        <f t="shared" si="20"/>
        <v>#REF!</v>
      </c>
      <c r="Z23" s="920" t="e">
        <f t="shared" si="21"/>
        <v>#REF!</v>
      </c>
    </row>
    <row r="24" spans="2:26" ht="25.5">
      <c r="B24" s="921" t="str">
        <f>+PRESUPUESTO!B24</f>
        <v>1.16.</v>
      </c>
      <c r="C24" s="922" t="str">
        <f>+PRESUPUESTO!C24</f>
        <v>Desmonte y reinstalacion de baranda tope de camillas en tubería de 2" acero inoxidable longitud 3.0 m</v>
      </c>
      <c r="D24" s="923" t="str">
        <f>+PRESUPUESTO!D24</f>
        <v>UN</v>
      </c>
      <c r="E24" s="914" t="e">
        <f>+#REF!</f>
        <v>#REF!</v>
      </c>
      <c r="F24" s="915"/>
      <c r="G24" s="914" t="str">
        <f t="shared" si="6"/>
        <v/>
      </c>
      <c r="H24" s="915"/>
      <c r="I24" s="914" t="str">
        <f t="shared" si="7"/>
        <v/>
      </c>
      <c r="J24" s="915"/>
      <c r="K24" s="914" t="str">
        <f t="shared" si="8"/>
        <v/>
      </c>
      <c r="L24" s="915"/>
      <c r="M24" s="914" t="str">
        <f t="shared" si="9"/>
        <v/>
      </c>
      <c r="N24" s="915"/>
      <c r="O24" s="914" t="str">
        <f t="shared" si="10"/>
        <v/>
      </c>
      <c r="P24" s="915"/>
      <c r="Q24" s="914" t="str">
        <f t="shared" si="11"/>
        <v/>
      </c>
      <c r="R24" s="915"/>
      <c r="S24" s="914" t="str">
        <f t="shared" si="11"/>
        <v/>
      </c>
      <c r="T24" s="916"/>
      <c r="U24" s="916" t="e">
        <f t="shared" si="16"/>
        <v>#REF!</v>
      </c>
      <c r="V24" s="917" t="e">
        <f t="shared" si="17"/>
        <v>#REF!</v>
      </c>
      <c r="W24" s="918" t="e">
        <f t="shared" si="18"/>
        <v>#REF!</v>
      </c>
      <c r="X24" s="918" t="e">
        <f t="shared" si="19"/>
        <v>#REF!</v>
      </c>
      <c r="Y24" s="919" t="e">
        <f t="shared" si="20"/>
        <v>#REF!</v>
      </c>
      <c r="Z24" s="920" t="e">
        <f t="shared" si="21"/>
        <v>#REF!</v>
      </c>
    </row>
    <row r="25" spans="2:26" s="269" customFormat="1">
      <c r="B25" s="925" t="str">
        <f>+PRESUPUESTO!B25</f>
        <v>2.</v>
      </c>
      <c r="C25" s="926" t="str">
        <f>+PRESUPUESTO!C25</f>
        <v>CIMENTACION</v>
      </c>
      <c r="D25" s="927">
        <f>+PRESUPUESTO!D25</f>
        <v>0</v>
      </c>
      <c r="E25" s="928"/>
      <c r="F25" s="928"/>
      <c r="G25" s="928" t="str">
        <f t="shared" si="6"/>
        <v/>
      </c>
      <c r="H25" s="928"/>
      <c r="I25" s="928" t="str">
        <f t="shared" si="7"/>
        <v/>
      </c>
      <c r="J25" s="928"/>
      <c r="K25" s="928" t="str">
        <f t="shared" si="8"/>
        <v/>
      </c>
      <c r="L25" s="928"/>
      <c r="M25" s="928" t="str">
        <f t="shared" si="9"/>
        <v/>
      </c>
      <c r="N25" s="928"/>
      <c r="O25" s="928" t="str">
        <f t="shared" si="10"/>
        <v/>
      </c>
      <c r="P25" s="928"/>
      <c r="Q25" s="928" t="str">
        <f t="shared" si="11"/>
        <v/>
      </c>
      <c r="R25" s="928"/>
      <c r="S25" s="928" t="str">
        <f t="shared" si="11"/>
        <v/>
      </c>
      <c r="T25" s="929"/>
      <c r="U25" s="929"/>
      <c r="V25" s="930"/>
      <c r="W25" s="931"/>
      <c r="X25" s="931"/>
      <c r="Y25" s="932"/>
      <c r="Z25" s="933"/>
    </row>
    <row r="26" spans="2:26" ht="25.5">
      <c r="B26" s="921" t="str">
        <f>+PRESUPUESTO!B26</f>
        <v>2.1.</v>
      </c>
      <c r="C26" s="924" t="str">
        <f>+PRESUPUESTO!C26</f>
        <v>Excavación manual menor a 1 m profundidad y disposicion de sobrantes en botadero autorizado . Incluye retiro de material vegetal</v>
      </c>
      <c r="D26" s="923" t="str">
        <f>+PRESUPUESTO!D26</f>
        <v>M3</v>
      </c>
      <c r="E26" s="914" t="e">
        <f>+#REF!</f>
        <v>#REF!</v>
      </c>
      <c r="F26" s="915"/>
      <c r="G26" s="914" t="str">
        <f t="shared" si="6"/>
        <v/>
      </c>
      <c r="H26" s="915"/>
      <c r="I26" s="914" t="str">
        <f t="shared" si="7"/>
        <v/>
      </c>
      <c r="J26" s="915"/>
      <c r="K26" s="914" t="str">
        <f t="shared" si="8"/>
        <v/>
      </c>
      <c r="L26" s="915"/>
      <c r="M26" s="914" t="str">
        <f t="shared" si="9"/>
        <v/>
      </c>
      <c r="N26" s="915"/>
      <c r="O26" s="914" t="str">
        <f t="shared" si="10"/>
        <v/>
      </c>
      <c r="P26" s="915"/>
      <c r="Q26" s="914" t="str">
        <f t="shared" si="11"/>
        <v/>
      </c>
      <c r="R26" s="915">
        <v>61761</v>
      </c>
      <c r="S26" s="914">
        <f t="shared" si="11"/>
        <v>68833</v>
      </c>
      <c r="T26" s="916" t="e">
        <f t="shared" si="15"/>
        <v>#REF!</v>
      </c>
      <c r="U26" s="916" t="e">
        <f t="shared" si="16"/>
        <v>#REF!</v>
      </c>
      <c r="V26" s="917" t="e">
        <f t="shared" si="17"/>
        <v>#REF!</v>
      </c>
      <c r="W26" s="918" t="e">
        <f t="shared" si="18"/>
        <v>#REF!</v>
      </c>
      <c r="X26" s="918" t="e">
        <f t="shared" si="19"/>
        <v>#REF!</v>
      </c>
      <c r="Y26" s="919" t="e">
        <f t="shared" si="20"/>
        <v>#REF!</v>
      </c>
      <c r="Z26" s="920" t="e">
        <f t="shared" si="21"/>
        <v>#REF!</v>
      </c>
    </row>
    <row r="27" spans="2:26">
      <c r="B27" s="921" t="str">
        <f>+PRESUPUESTO!B27</f>
        <v>2.2.</v>
      </c>
      <c r="C27" s="924" t="str">
        <f>+PRESUPUESTO!C27</f>
        <v>Relleno en material B200, incluye suministro, disposición y compactación</v>
      </c>
      <c r="D27" s="923" t="str">
        <f>+PRESUPUESTO!D27</f>
        <v>M3</v>
      </c>
      <c r="E27" s="914" t="e">
        <f>+#REF!</f>
        <v>#REF!</v>
      </c>
      <c r="F27" s="915">
        <v>155394</v>
      </c>
      <c r="G27" s="914">
        <f t="shared" si="6"/>
        <v>174088</v>
      </c>
      <c r="H27" s="915">
        <v>102476</v>
      </c>
      <c r="I27" s="914">
        <f t="shared" si="7"/>
        <v>106759</v>
      </c>
      <c r="J27" s="915"/>
      <c r="K27" s="914" t="str">
        <f t="shared" si="8"/>
        <v/>
      </c>
      <c r="L27" s="915"/>
      <c r="M27" s="914" t="str">
        <f t="shared" si="9"/>
        <v/>
      </c>
      <c r="N27" s="915"/>
      <c r="O27" s="914" t="str">
        <f t="shared" si="10"/>
        <v/>
      </c>
      <c r="P27" s="915">
        <v>92156</v>
      </c>
      <c r="Q27" s="914">
        <f t="shared" si="11"/>
        <v>95796</v>
      </c>
      <c r="R27" s="915">
        <v>103951</v>
      </c>
      <c r="S27" s="914">
        <f t="shared" si="11"/>
        <v>115853</v>
      </c>
      <c r="T27" s="916" t="e">
        <f t="shared" si="15"/>
        <v>#REF!</v>
      </c>
      <c r="U27" s="916" t="e">
        <f t="shared" si="16"/>
        <v>#REF!</v>
      </c>
      <c r="V27" s="917" t="e">
        <f t="shared" si="17"/>
        <v>#REF!</v>
      </c>
      <c r="W27" s="918" t="e">
        <f t="shared" si="18"/>
        <v>#REF!</v>
      </c>
      <c r="X27" s="918" t="e">
        <f t="shared" si="19"/>
        <v>#REF!</v>
      </c>
      <c r="Y27" s="919" t="e">
        <f t="shared" si="20"/>
        <v>#REF!</v>
      </c>
      <c r="Z27" s="920" t="e">
        <f t="shared" si="21"/>
        <v>#REF!</v>
      </c>
    </row>
    <row r="28" spans="2:26" s="269" customFormat="1">
      <c r="B28" s="925">
        <f>+PRESUPUESTO!B28</f>
        <v>3</v>
      </c>
      <c r="C28" s="926" t="str">
        <f>+PRESUPUESTO!C28</f>
        <v>INSTALACIONES HIDROSANITARIAS.</v>
      </c>
      <c r="D28" s="927">
        <f>+PRESUPUESTO!D28</f>
        <v>0</v>
      </c>
      <c r="E28" s="928"/>
      <c r="F28" s="928"/>
      <c r="G28" s="928" t="str">
        <f t="shared" si="6"/>
        <v/>
      </c>
      <c r="H28" s="928"/>
      <c r="I28" s="928" t="str">
        <f t="shared" si="7"/>
        <v/>
      </c>
      <c r="J28" s="928"/>
      <c r="K28" s="928" t="str">
        <f t="shared" si="8"/>
        <v/>
      </c>
      <c r="L28" s="928"/>
      <c r="M28" s="928" t="str">
        <f t="shared" si="9"/>
        <v/>
      </c>
      <c r="N28" s="928"/>
      <c r="O28" s="928" t="str">
        <f t="shared" si="10"/>
        <v/>
      </c>
      <c r="P28" s="928"/>
      <c r="Q28" s="928" t="str">
        <f t="shared" si="11"/>
        <v/>
      </c>
      <c r="R28" s="928"/>
      <c r="S28" s="928" t="str">
        <f t="shared" si="11"/>
        <v/>
      </c>
      <c r="T28" s="929"/>
      <c r="U28" s="929"/>
      <c r="V28" s="930"/>
      <c r="W28" s="931"/>
      <c r="X28" s="931"/>
      <c r="Y28" s="932"/>
      <c r="Z28" s="933"/>
    </row>
    <row r="29" spans="2:26" ht="25.5">
      <c r="B29" s="921" t="str">
        <f>+PRESUPUESTO!B29</f>
        <v>3.1.</v>
      </c>
      <c r="C29" s="924" t="str">
        <f>+PRESUPUESTO!C29</f>
        <v>Mantenimiento de bajantes de aguas lluvias mediante sondeo, lavado , incluye retiro y reinstalacion de rejillas, todos los elementos y materiales necesarios para su correcta ejecución</v>
      </c>
      <c r="D29" s="923" t="str">
        <f>+PRESUPUESTO!D29</f>
        <v>UN</v>
      </c>
      <c r="E29" s="914" t="e">
        <f>+#REF!</f>
        <v>#REF!</v>
      </c>
      <c r="F29" s="915">
        <v>71050</v>
      </c>
      <c r="G29" s="914">
        <f t="shared" si="6"/>
        <v>79597</v>
      </c>
      <c r="H29" s="915"/>
      <c r="I29" s="914" t="str">
        <f t="shared" si="7"/>
        <v/>
      </c>
      <c r="J29" s="915"/>
      <c r="K29" s="914" t="str">
        <f t="shared" si="8"/>
        <v/>
      </c>
      <c r="L29" s="915"/>
      <c r="M29" s="914" t="str">
        <f t="shared" si="9"/>
        <v/>
      </c>
      <c r="N29" s="915"/>
      <c r="O29" s="914" t="str">
        <f t="shared" si="10"/>
        <v/>
      </c>
      <c r="P29" s="915"/>
      <c r="Q29" s="914" t="str">
        <f t="shared" si="11"/>
        <v/>
      </c>
      <c r="R29" s="915"/>
      <c r="S29" s="914" t="str">
        <f t="shared" si="11"/>
        <v/>
      </c>
      <c r="T29" s="916" t="e">
        <f t="shared" si="15"/>
        <v>#REF!</v>
      </c>
      <c r="U29" s="916" t="e">
        <f t="shared" si="16"/>
        <v>#REF!</v>
      </c>
      <c r="V29" s="917" t="e">
        <f t="shared" si="17"/>
        <v>#REF!</v>
      </c>
      <c r="W29" s="918" t="e">
        <f t="shared" si="18"/>
        <v>#REF!</v>
      </c>
      <c r="X29" s="918" t="e">
        <f t="shared" si="19"/>
        <v>#REF!</v>
      </c>
      <c r="Y29" s="919" t="e">
        <f t="shared" si="20"/>
        <v>#REF!</v>
      </c>
      <c r="Z29" s="920" t="e">
        <f t="shared" si="21"/>
        <v>#REF!</v>
      </c>
    </row>
    <row r="30" spans="2:26">
      <c r="B30" s="921" t="str">
        <f>+PRESUPUESTO!B30</f>
        <v>3.2.</v>
      </c>
      <c r="C30" s="924" t="str">
        <f>+PRESUPUESTO!C30</f>
        <v>Punto Sanitario de 2"</v>
      </c>
      <c r="D30" s="923" t="str">
        <f>+PRESUPUESTO!D30</f>
        <v>UN</v>
      </c>
      <c r="E30" s="914" t="e">
        <f>+#REF!</f>
        <v>#REF!</v>
      </c>
      <c r="F30" s="915"/>
      <c r="G30" s="914" t="str">
        <f t="shared" si="6"/>
        <v/>
      </c>
      <c r="H30" s="915"/>
      <c r="I30" s="914" t="str">
        <f t="shared" si="7"/>
        <v/>
      </c>
      <c r="J30" s="915"/>
      <c r="K30" s="914" t="str">
        <f t="shared" si="8"/>
        <v/>
      </c>
      <c r="L30" s="915"/>
      <c r="M30" s="914" t="str">
        <f t="shared" si="9"/>
        <v/>
      </c>
      <c r="N30" s="915">
        <v>32701</v>
      </c>
      <c r="O30" s="914">
        <f t="shared" si="10"/>
        <v>33993</v>
      </c>
      <c r="P30" s="915">
        <v>31421</v>
      </c>
      <c r="Q30" s="914">
        <f t="shared" si="11"/>
        <v>32662</v>
      </c>
      <c r="R30" s="915">
        <v>33182</v>
      </c>
      <c r="S30" s="914">
        <f t="shared" si="11"/>
        <v>36981</v>
      </c>
      <c r="T30" s="916" t="e">
        <f t="shared" si="15"/>
        <v>#REF!</v>
      </c>
      <c r="U30" s="916" t="e">
        <f t="shared" si="16"/>
        <v>#REF!</v>
      </c>
      <c r="V30" s="917" t="e">
        <f t="shared" si="17"/>
        <v>#REF!</v>
      </c>
      <c r="W30" s="918" t="e">
        <f t="shared" si="18"/>
        <v>#REF!</v>
      </c>
      <c r="X30" s="918" t="e">
        <f t="shared" si="19"/>
        <v>#REF!</v>
      </c>
      <c r="Y30" s="919" t="e">
        <f t="shared" si="20"/>
        <v>#REF!</v>
      </c>
      <c r="Z30" s="920" t="e">
        <f t="shared" si="21"/>
        <v>#REF!</v>
      </c>
    </row>
    <row r="31" spans="2:26">
      <c r="B31" s="921" t="str">
        <f>+PRESUPUESTO!B31</f>
        <v>3.3.</v>
      </c>
      <c r="C31" s="924" t="str">
        <f>+PRESUPUESTO!C31</f>
        <v>Punto Sanitario de 3"</v>
      </c>
      <c r="D31" s="923" t="str">
        <f>+PRESUPUESTO!D31</f>
        <v>UN</v>
      </c>
      <c r="E31" s="914" t="e">
        <f>+#REF!</f>
        <v>#REF!</v>
      </c>
      <c r="F31" s="915"/>
      <c r="G31" s="914" t="str">
        <f t="shared" si="6"/>
        <v/>
      </c>
      <c r="H31" s="915"/>
      <c r="I31" s="914" t="str">
        <f t="shared" si="7"/>
        <v/>
      </c>
      <c r="J31" s="915">
        <v>78818.8</v>
      </c>
      <c r="K31" s="914">
        <f t="shared" si="8"/>
        <v>82035</v>
      </c>
      <c r="L31" s="915"/>
      <c r="M31" s="914" t="str">
        <f t="shared" si="9"/>
        <v/>
      </c>
      <c r="N31" s="915"/>
      <c r="O31" s="914" t="str">
        <f t="shared" si="10"/>
        <v/>
      </c>
      <c r="P31" s="915"/>
      <c r="Q31" s="914" t="str">
        <f t="shared" si="11"/>
        <v/>
      </c>
      <c r="R31" s="915">
        <v>46105</v>
      </c>
      <c r="S31" s="914">
        <f t="shared" si="11"/>
        <v>51384</v>
      </c>
      <c r="T31" s="916" t="e">
        <f t="shared" si="15"/>
        <v>#REF!</v>
      </c>
      <c r="U31" s="916" t="e">
        <f t="shared" si="16"/>
        <v>#REF!</v>
      </c>
      <c r="V31" s="917" t="e">
        <f t="shared" si="17"/>
        <v>#REF!</v>
      </c>
      <c r="W31" s="918" t="e">
        <f t="shared" si="18"/>
        <v>#REF!</v>
      </c>
      <c r="X31" s="918" t="e">
        <f t="shared" si="19"/>
        <v>#REF!</v>
      </c>
      <c r="Y31" s="919" t="e">
        <f t="shared" si="20"/>
        <v>#REF!</v>
      </c>
      <c r="Z31" s="920" t="e">
        <f t="shared" si="21"/>
        <v>#REF!</v>
      </c>
    </row>
    <row r="32" spans="2:26">
      <c r="B32" s="921" t="str">
        <f>+PRESUPUESTO!B32</f>
        <v>3.4.</v>
      </c>
      <c r="C32" s="924" t="str">
        <f>+PRESUPUESTO!C32</f>
        <v>Punto Sanitario de 4"</v>
      </c>
      <c r="D32" s="923" t="str">
        <f>+PRESUPUESTO!D32</f>
        <v>UN</v>
      </c>
      <c r="E32" s="914" t="e">
        <f>+#REF!</f>
        <v>#REF!</v>
      </c>
      <c r="F32" s="915"/>
      <c r="G32" s="914" t="str">
        <f t="shared" si="6"/>
        <v/>
      </c>
      <c r="H32" s="915"/>
      <c r="I32" s="914" t="str">
        <f t="shared" si="7"/>
        <v/>
      </c>
      <c r="J32" s="915">
        <v>83936.320000000007</v>
      </c>
      <c r="K32" s="914">
        <f t="shared" si="8"/>
        <v>87361</v>
      </c>
      <c r="L32" s="915"/>
      <c r="M32" s="914" t="str">
        <f t="shared" si="9"/>
        <v/>
      </c>
      <c r="N32" s="915">
        <v>73115</v>
      </c>
      <c r="O32" s="914">
        <f t="shared" si="10"/>
        <v>76003</v>
      </c>
      <c r="P32" s="915"/>
      <c r="Q32" s="914" t="str">
        <f t="shared" si="11"/>
        <v/>
      </c>
      <c r="R32" s="915">
        <v>62443</v>
      </c>
      <c r="S32" s="914">
        <f t="shared" si="11"/>
        <v>69593</v>
      </c>
      <c r="T32" s="916" t="e">
        <f t="shared" si="15"/>
        <v>#REF!</v>
      </c>
      <c r="U32" s="916" t="e">
        <f t="shared" si="16"/>
        <v>#REF!</v>
      </c>
      <c r="V32" s="917" t="e">
        <f t="shared" si="17"/>
        <v>#REF!</v>
      </c>
      <c r="W32" s="918" t="e">
        <f t="shared" si="18"/>
        <v>#REF!</v>
      </c>
      <c r="X32" s="918" t="e">
        <f t="shared" si="19"/>
        <v>#REF!</v>
      </c>
      <c r="Y32" s="919" t="e">
        <f t="shared" si="20"/>
        <v>#REF!</v>
      </c>
      <c r="Z32" s="920" t="e">
        <f t="shared" si="21"/>
        <v>#REF!</v>
      </c>
    </row>
    <row r="33" spans="2:26">
      <c r="B33" s="921" t="str">
        <f>+PRESUPUESTO!B33</f>
        <v>3.5.</v>
      </c>
      <c r="C33" s="924" t="str">
        <f>+PRESUPUESTO!C33</f>
        <v>Tubería PVC-sanitaria ∅2", incluye accesorios</v>
      </c>
      <c r="D33" s="923" t="str">
        <f>+PRESUPUESTO!D33</f>
        <v>ML</v>
      </c>
      <c r="E33" s="914" t="e">
        <f>+#REF!</f>
        <v>#REF!</v>
      </c>
      <c r="F33" s="915"/>
      <c r="G33" s="914" t="str">
        <f t="shared" si="6"/>
        <v/>
      </c>
      <c r="H33" s="915"/>
      <c r="I33" s="914" t="str">
        <f t="shared" si="7"/>
        <v/>
      </c>
      <c r="J33" s="915"/>
      <c r="K33" s="914" t="str">
        <f t="shared" si="8"/>
        <v/>
      </c>
      <c r="L33" s="915"/>
      <c r="M33" s="914" t="str">
        <f t="shared" si="9"/>
        <v/>
      </c>
      <c r="N33" s="915">
        <v>16135</v>
      </c>
      <c r="O33" s="914">
        <f t="shared" si="10"/>
        <v>16772</v>
      </c>
      <c r="P33" s="915">
        <v>15504</v>
      </c>
      <c r="Q33" s="914">
        <f t="shared" si="11"/>
        <v>16116</v>
      </c>
      <c r="R33" s="915"/>
      <c r="S33" s="914" t="str">
        <f t="shared" si="11"/>
        <v/>
      </c>
      <c r="T33" s="916" t="e">
        <f t="shared" si="15"/>
        <v>#REF!</v>
      </c>
      <c r="U33" s="916" t="e">
        <f t="shared" si="16"/>
        <v>#REF!</v>
      </c>
      <c r="V33" s="917" t="e">
        <f t="shared" si="17"/>
        <v>#REF!</v>
      </c>
      <c r="W33" s="918" t="e">
        <f t="shared" si="18"/>
        <v>#REF!</v>
      </c>
      <c r="X33" s="918" t="e">
        <f t="shared" si="19"/>
        <v>#REF!</v>
      </c>
      <c r="Y33" s="919" t="e">
        <f t="shared" si="20"/>
        <v>#REF!</v>
      </c>
      <c r="Z33" s="920" t="e">
        <f t="shared" si="21"/>
        <v>#REF!</v>
      </c>
    </row>
    <row r="34" spans="2:26">
      <c r="B34" s="921" t="str">
        <f>+PRESUPUESTO!B34</f>
        <v>3.6.</v>
      </c>
      <c r="C34" s="924" t="str">
        <f>+PRESUPUESTO!C34</f>
        <v>Tubería PVC-sanitaria ∅3", incluye accesorios</v>
      </c>
      <c r="D34" s="923" t="str">
        <f>+PRESUPUESTO!D34</f>
        <v>ML</v>
      </c>
      <c r="E34" s="914" t="e">
        <f>+#REF!</f>
        <v>#REF!</v>
      </c>
      <c r="F34" s="915"/>
      <c r="G34" s="914" t="str">
        <f t="shared" si="6"/>
        <v/>
      </c>
      <c r="H34" s="915"/>
      <c r="I34" s="914" t="str">
        <f t="shared" si="7"/>
        <v/>
      </c>
      <c r="J34" s="915">
        <v>33983.83</v>
      </c>
      <c r="K34" s="914">
        <f t="shared" si="8"/>
        <v>35370</v>
      </c>
      <c r="L34" s="915"/>
      <c r="M34" s="914" t="str">
        <f t="shared" si="9"/>
        <v/>
      </c>
      <c r="N34" s="915"/>
      <c r="O34" s="914" t="str">
        <f t="shared" si="10"/>
        <v/>
      </c>
      <c r="P34" s="915"/>
      <c r="Q34" s="914" t="str">
        <f t="shared" si="11"/>
        <v/>
      </c>
      <c r="R34" s="915"/>
      <c r="S34" s="914" t="str">
        <f t="shared" si="11"/>
        <v/>
      </c>
      <c r="T34" s="916" t="e">
        <f t="shared" si="15"/>
        <v>#REF!</v>
      </c>
      <c r="U34" s="916" t="e">
        <f t="shared" si="16"/>
        <v>#REF!</v>
      </c>
      <c r="V34" s="917" t="e">
        <f t="shared" si="17"/>
        <v>#REF!</v>
      </c>
      <c r="W34" s="918" t="e">
        <f t="shared" si="18"/>
        <v>#REF!</v>
      </c>
      <c r="X34" s="918" t="e">
        <f t="shared" si="19"/>
        <v>#REF!</v>
      </c>
      <c r="Y34" s="919" t="e">
        <f t="shared" si="20"/>
        <v>#REF!</v>
      </c>
      <c r="Z34" s="920" t="e">
        <f t="shared" si="21"/>
        <v>#REF!</v>
      </c>
    </row>
    <row r="35" spans="2:26">
      <c r="B35" s="921" t="str">
        <f>+PRESUPUESTO!B35</f>
        <v>3.7.</v>
      </c>
      <c r="C35" s="924" t="str">
        <f>+PRESUPUESTO!C35</f>
        <v>Tubería PVC-sanitaria ∅4", incluye accesorios</v>
      </c>
      <c r="D35" s="923" t="str">
        <f>+PRESUPUESTO!D35</f>
        <v>ML</v>
      </c>
      <c r="E35" s="914" t="e">
        <f>+#REF!</f>
        <v>#REF!</v>
      </c>
      <c r="F35" s="915"/>
      <c r="G35" s="914" t="str">
        <f t="shared" si="6"/>
        <v/>
      </c>
      <c r="H35" s="915">
        <v>36414</v>
      </c>
      <c r="I35" s="914">
        <f t="shared" si="7"/>
        <v>37936</v>
      </c>
      <c r="J35" s="915">
        <v>38844.97</v>
      </c>
      <c r="K35" s="914">
        <f t="shared" si="8"/>
        <v>40430</v>
      </c>
      <c r="L35" s="915"/>
      <c r="M35" s="914" t="str">
        <f t="shared" si="9"/>
        <v/>
      </c>
      <c r="N35" s="915">
        <v>33431</v>
      </c>
      <c r="O35" s="914">
        <f t="shared" si="10"/>
        <v>34752</v>
      </c>
      <c r="P35" s="915"/>
      <c r="Q35" s="914" t="str">
        <f t="shared" si="11"/>
        <v/>
      </c>
      <c r="R35" s="915"/>
      <c r="S35" s="914" t="str">
        <f t="shared" si="11"/>
        <v/>
      </c>
      <c r="T35" s="916" t="e">
        <f t="shared" si="15"/>
        <v>#REF!</v>
      </c>
      <c r="U35" s="916" t="e">
        <f t="shared" si="16"/>
        <v>#REF!</v>
      </c>
      <c r="V35" s="917" t="e">
        <f t="shared" si="17"/>
        <v>#REF!</v>
      </c>
      <c r="W35" s="918" t="e">
        <f t="shared" si="18"/>
        <v>#REF!</v>
      </c>
      <c r="X35" s="918" t="e">
        <f t="shared" si="19"/>
        <v>#REF!</v>
      </c>
      <c r="Y35" s="919" t="e">
        <f t="shared" si="20"/>
        <v>#REF!</v>
      </c>
      <c r="Z35" s="920" t="e">
        <f t="shared" si="21"/>
        <v>#REF!</v>
      </c>
    </row>
    <row r="36" spans="2:26" ht="55.5" customHeight="1">
      <c r="B36" s="921" t="str">
        <f>+PRESUPUESTO!B36</f>
        <v>3.8.</v>
      </c>
      <c r="C36" s="922" t="str">
        <f>+PRESUPUESTO!C36</f>
        <v>Sumidero en concreto de 3000 PSI de 30 X 30 cm (medidas internas del sumidero) espesor  pared  y placa fondo 12 cm,  profundidad entre 30 y 50 cms reforzada con acero de 3/8" c/ 10 cm en ambos sentidos. Incluye rejilla metalica  con marco y contramarco de 1 1/4" espesor 1/8" con varilla de 3/4" cada 3 cms, anticorrosivo y dos manos de pintura esmalte. (Plano No. 1)</v>
      </c>
      <c r="D36" s="923" t="str">
        <f>+PRESUPUESTO!D36</f>
        <v>UN</v>
      </c>
      <c r="E36" s="914" t="e">
        <f>+#REF!</f>
        <v>#REF!</v>
      </c>
      <c r="F36" s="915"/>
      <c r="G36" s="914" t="str">
        <f t="shared" si="6"/>
        <v/>
      </c>
      <c r="H36" s="915"/>
      <c r="I36" s="914" t="str">
        <f t="shared" si="7"/>
        <v/>
      </c>
      <c r="J36" s="915"/>
      <c r="K36" s="914" t="str">
        <f t="shared" si="8"/>
        <v/>
      </c>
      <c r="L36" s="915"/>
      <c r="M36" s="914" t="str">
        <f t="shared" si="9"/>
        <v/>
      </c>
      <c r="N36" s="915"/>
      <c r="O36" s="914" t="str">
        <f t="shared" si="10"/>
        <v/>
      </c>
      <c r="P36" s="915"/>
      <c r="Q36" s="914" t="str">
        <f t="shared" si="11"/>
        <v/>
      </c>
      <c r="R36" s="915"/>
      <c r="S36" s="914" t="str">
        <f t="shared" si="11"/>
        <v/>
      </c>
      <c r="T36" s="916"/>
      <c r="U36" s="916" t="e">
        <f t="shared" si="16"/>
        <v>#REF!</v>
      </c>
      <c r="V36" s="917" t="e">
        <f t="shared" si="17"/>
        <v>#REF!</v>
      </c>
      <c r="W36" s="918" t="e">
        <f t="shared" si="18"/>
        <v>#REF!</v>
      </c>
      <c r="X36" s="918" t="e">
        <f t="shared" si="19"/>
        <v>#REF!</v>
      </c>
      <c r="Y36" s="919" t="e">
        <f t="shared" si="20"/>
        <v>#REF!</v>
      </c>
      <c r="Z36" s="920" t="e">
        <f t="shared" si="21"/>
        <v>#REF!</v>
      </c>
    </row>
    <row r="37" spans="2:26">
      <c r="B37" s="921" t="str">
        <f>+PRESUPUESTO!B37</f>
        <v>3.9.</v>
      </c>
      <c r="C37" s="922" t="str">
        <f>+PRESUPUESTO!C37</f>
        <v>Sondeo y destaponamiento red aguas sanitarias del area de patología</v>
      </c>
      <c r="D37" s="923" t="str">
        <f>+PRESUPUESTO!D37</f>
        <v>UN</v>
      </c>
      <c r="E37" s="914" t="e">
        <f>+#REF!</f>
        <v>#REF!</v>
      </c>
      <c r="F37" s="915"/>
      <c r="G37" s="914" t="str">
        <f t="shared" si="6"/>
        <v/>
      </c>
      <c r="H37" s="915"/>
      <c r="I37" s="914" t="str">
        <f t="shared" si="7"/>
        <v/>
      </c>
      <c r="J37" s="915"/>
      <c r="K37" s="914" t="str">
        <f t="shared" si="8"/>
        <v/>
      </c>
      <c r="L37" s="915"/>
      <c r="M37" s="914" t="str">
        <f t="shared" si="9"/>
        <v/>
      </c>
      <c r="N37" s="915"/>
      <c r="O37" s="914" t="str">
        <f t="shared" si="10"/>
        <v/>
      </c>
      <c r="P37" s="915"/>
      <c r="Q37" s="914" t="str">
        <f t="shared" si="11"/>
        <v/>
      </c>
      <c r="R37" s="915"/>
      <c r="S37" s="914" t="str">
        <f t="shared" si="11"/>
        <v/>
      </c>
      <c r="T37" s="916"/>
      <c r="U37" s="916" t="e">
        <f t="shared" si="16"/>
        <v>#REF!</v>
      </c>
      <c r="V37" s="917" t="e">
        <f t="shared" si="17"/>
        <v>#REF!</v>
      </c>
      <c r="W37" s="918" t="e">
        <f t="shared" si="18"/>
        <v>#REF!</v>
      </c>
      <c r="X37" s="918" t="e">
        <f t="shared" si="19"/>
        <v>#REF!</v>
      </c>
      <c r="Y37" s="919" t="e">
        <f t="shared" si="20"/>
        <v>#REF!</v>
      </c>
      <c r="Z37" s="920" t="e">
        <f t="shared" si="21"/>
        <v>#REF!</v>
      </c>
    </row>
    <row r="38" spans="2:26" ht="31.5" customHeight="1">
      <c r="B38" s="921" t="str">
        <f>+PRESUPUESTO!B38</f>
        <v>3.10.</v>
      </c>
      <c r="C38" s="924" t="str">
        <f>+PRESUPUESTO!C38</f>
        <v>Caja de inspección 60 x 60 cm en mampostería  (medida interna) profundidad aprox. 1 m con placa de fondo 10 cm en concreto reforzado 2500 PSI malla M084</v>
      </c>
      <c r="D38" s="923" t="str">
        <f>+PRESUPUESTO!D38</f>
        <v>UN</v>
      </c>
      <c r="E38" s="914" t="e">
        <f>+#REF!</f>
        <v>#REF!</v>
      </c>
      <c r="F38" s="915"/>
      <c r="G38" s="914" t="str">
        <f t="shared" si="6"/>
        <v/>
      </c>
      <c r="H38" s="915"/>
      <c r="I38" s="914" t="str">
        <f t="shared" si="7"/>
        <v/>
      </c>
      <c r="J38" s="915"/>
      <c r="K38" s="914" t="str">
        <f t="shared" si="8"/>
        <v/>
      </c>
      <c r="L38" s="915"/>
      <c r="M38" s="914" t="str">
        <f t="shared" si="9"/>
        <v/>
      </c>
      <c r="N38" s="915">
        <v>361719</v>
      </c>
      <c r="O38" s="914">
        <f t="shared" si="10"/>
        <v>376007</v>
      </c>
      <c r="P38" s="915"/>
      <c r="Q38" s="914" t="str">
        <f t="shared" si="11"/>
        <v/>
      </c>
      <c r="R38" s="915">
        <v>316858</v>
      </c>
      <c r="S38" s="914">
        <f t="shared" si="11"/>
        <v>353138</v>
      </c>
      <c r="T38" s="916" t="e">
        <f t="shared" si="15"/>
        <v>#REF!</v>
      </c>
      <c r="U38" s="916" t="e">
        <f t="shared" si="16"/>
        <v>#REF!</v>
      </c>
      <c r="V38" s="917" t="e">
        <f t="shared" si="17"/>
        <v>#REF!</v>
      </c>
      <c r="W38" s="918" t="e">
        <f t="shared" si="18"/>
        <v>#REF!</v>
      </c>
      <c r="X38" s="918" t="e">
        <f t="shared" si="19"/>
        <v>#REF!</v>
      </c>
      <c r="Y38" s="919" t="e">
        <f t="shared" si="20"/>
        <v>#REF!</v>
      </c>
      <c r="Z38" s="920" t="e">
        <f t="shared" si="21"/>
        <v>#REF!</v>
      </c>
    </row>
    <row r="39" spans="2:26" s="269" customFormat="1">
      <c r="B39" s="925">
        <f>+PRESUPUESTO!B39</f>
        <v>4</v>
      </c>
      <c r="C39" s="926" t="str">
        <f>+PRESUPUESTO!C39</f>
        <v>INSTALACIONES ELÉCTRICAS-LUMINARIAS</v>
      </c>
      <c r="D39" s="927">
        <f>+PRESUPUESTO!D39</f>
        <v>0</v>
      </c>
      <c r="E39" s="928"/>
      <c r="F39" s="928"/>
      <c r="G39" s="928" t="str">
        <f t="shared" si="6"/>
        <v/>
      </c>
      <c r="H39" s="928"/>
      <c r="I39" s="928" t="str">
        <f t="shared" si="7"/>
        <v/>
      </c>
      <c r="J39" s="928"/>
      <c r="K39" s="928" t="str">
        <f t="shared" si="8"/>
        <v/>
      </c>
      <c r="L39" s="928"/>
      <c r="M39" s="928" t="str">
        <f t="shared" si="9"/>
        <v/>
      </c>
      <c r="N39" s="928"/>
      <c r="O39" s="928" t="str">
        <f t="shared" si="10"/>
        <v/>
      </c>
      <c r="P39" s="928"/>
      <c r="Q39" s="928" t="str">
        <f t="shared" si="11"/>
        <v/>
      </c>
      <c r="R39" s="928"/>
      <c r="S39" s="928" t="str">
        <f t="shared" si="11"/>
        <v/>
      </c>
      <c r="T39" s="929"/>
      <c r="U39" s="929"/>
      <c r="V39" s="930"/>
      <c r="W39" s="931"/>
      <c r="X39" s="931"/>
      <c r="Y39" s="932"/>
      <c r="Z39" s="933"/>
    </row>
    <row r="40" spans="2:26">
      <c r="B40" s="921">
        <f>+PRESUPUESTO!B40</f>
        <v>0</v>
      </c>
      <c r="C40" s="924">
        <f>+PRESUPUESTO!C40</f>
        <v>0</v>
      </c>
      <c r="D40" s="923">
        <f>+PRESUPUESTO!D40</f>
        <v>0</v>
      </c>
      <c r="E40" s="914"/>
      <c r="F40" s="915"/>
      <c r="G40" s="914" t="str">
        <f t="shared" si="6"/>
        <v/>
      </c>
      <c r="H40" s="915"/>
      <c r="I40" s="914" t="str">
        <f t="shared" si="7"/>
        <v/>
      </c>
      <c r="J40" s="915"/>
      <c r="K40" s="914" t="str">
        <f t="shared" si="8"/>
        <v/>
      </c>
      <c r="L40" s="915"/>
      <c r="M40" s="914" t="str">
        <f t="shared" si="9"/>
        <v/>
      </c>
      <c r="N40" s="915"/>
      <c r="O40" s="914" t="str">
        <f t="shared" si="10"/>
        <v/>
      </c>
      <c r="P40" s="915"/>
      <c r="Q40" s="914" t="str">
        <f t="shared" si="11"/>
        <v/>
      </c>
      <c r="R40" s="915"/>
      <c r="S40" s="914" t="str">
        <f t="shared" si="11"/>
        <v/>
      </c>
      <c r="T40" s="916"/>
      <c r="U40" s="916"/>
      <c r="V40" s="917"/>
      <c r="W40" s="918"/>
      <c r="X40" s="918"/>
      <c r="Y40" s="919"/>
      <c r="Z40" s="920"/>
    </row>
    <row r="41" spans="2:26">
      <c r="B41" s="925">
        <f>+PRESUPUESTO!B41</f>
        <v>5</v>
      </c>
      <c r="C41" s="926" t="str">
        <f>+PRESUPUESTO!C41</f>
        <v>INSTALACIONES VENTILACION MECANICA</v>
      </c>
      <c r="D41" s="927"/>
      <c r="E41" s="928"/>
      <c r="F41" s="928"/>
      <c r="G41" s="928"/>
      <c r="H41" s="928"/>
      <c r="I41" s="928"/>
      <c r="J41" s="928"/>
      <c r="K41" s="928"/>
      <c r="L41" s="928"/>
      <c r="M41" s="928"/>
      <c r="N41" s="928"/>
      <c r="O41" s="928"/>
      <c r="P41" s="928"/>
      <c r="Q41" s="928"/>
      <c r="R41" s="928"/>
      <c r="S41" s="928"/>
      <c r="T41" s="933"/>
      <c r="U41" s="933"/>
      <c r="V41" s="934"/>
      <c r="W41" s="935"/>
      <c r="X41" s="935"/>
      <c r="Y41" s="936"/>
      <c r="Z41" s="933"/>
    </row>
    <row r="42" spans="2:26">
      <c r="B42" s="921">
        <f>+PRESUPUESTO!B42</f>
        <v>0</v>
      </c>
      <c r="C42" s="924">
        <f>+PRESUPUESTO!C42</f>
        <v>0</v>
      </c>
      <c r="D42" s="923"/>
      <c r="E42" s="914"/>
      <c r="F42" s="915"/>
      <c r="G42" s="914" t="str">
        <f t="shared" si="6"/>
        <v/>
      </c>
      <c r="H42" s="915"/>
      <c r="I42" s="914" t="str">
        <f t="shared" si="7"/>
        <v/>
      </c>
      <c r="J42" s="915"/>
      <c r="K42" s="914" t="str">
        <f t="shared" si="8"/>
        <v/>
      </c>
      <c r="L42" s="915"/>
      <c r="M42" s="914" t="str">
        <f t="shared" si="9"/>
        <v/>
      </c>
      <c r="N42" s="915"/>
      <c r="O42" s="914" t="str">
        <f t="shared" si="10"/>
        <v/>
      </c>
      <c r="P42" s="915"/>
      <c r="Q42" s="914" t="str">
        <f t="shared" si="11"/>
        <v/>
      </c>
      <c r="R42" s="915"/>
      <c r="S42" s="914" t="str">
        <f t="shared" si="11"/>
        <v/>
      </c>
      <c r="T42" s="916"/>
      <c r="U42" s="916"/>
      <c r="V42" s="917"/>
      <c r="W42" s="918"/>
      <c r="X42" s="918"/>
      <c r="Y42" s="919"/>
      <c r="Z42" s="920"/>
    </row>
    <row r="43" spans="2:26" s="269" customFormat="1">
      <c r="B43" s="925">
        <f>+PRESUPUESTO!B43</f>
        <v>6</v>
      </c>
      <c r="C43" s="926" t="str">
        <f>+PRESUPUESTO!C43</f>
        <v>MAMPOSTERIA</v>
      </c>
      <c r="D43" s="927">
        <f>+PRESUPUESTO!D43</f>
        <v>0</v>
      </c>
      <c r="E43" s="928"/>
      <c r="F43" s="928"/>
      <c r="G43" s="928" t="str">
        <f t="shared" si="6"/>
        <v/>
      </c>
      <c r="H43" s="928"/>
      <c r="I43" s="928" t="str">
        <f t="shared" si="7"/>
        <v/>
      </c>
      <c r="J43" s="928"/>
      <c r="K43" s="928" t="str">
        <f t="shared" si="8"/>
        <v/>
      </c>
      <c r="L43" s="928"/>
      <c r="M43" s="928" t="str">
        <f t="shared" si="9"/>
        <v/>
      </c>
      <c r="N43" s="928"/>
      <c r="O43" s="928" t="str">
        <f t="shared" si="10"/>
        <v/>
      </c>
      <c r="P43" s="928"/>
      <c r="Q43" s="928" t="str">
        <f t="shared" si="11"/>
        <v/>
      </c>
      <c r="R43" s="928"/>
      <c r="S43" s="928" t="str">
        <f t="shared" si="11"/>
        <v/>
      </c>
      <c r="T43" s="929"/>
      <c r="U43" s="929"/>
      <c r="V43" s="930"/>
      <c r="W43" s="931"/>
      <c r="X43" s="931"/>
      <c r="Y43" s="932"/>
      <c r="Z43" s="933"/>
    </row>
    <row r="44" spans="2:26" ht="59.25" customHeight="1">
      <c r="B44" s="921" t="str">
        <f>+PRESUPUESTO!B44</f>
        <v>6.1.</v>
      </c>
      <c r="C44" s="924" t="str">
        <f>+PRESUPUESTO!C44</f>
        <v xml:space="preserve">Conformación de buitrones en muro en lamina de superboard de 8 mm doble cara, 10 cm de espesor, incluye metros lineales, vanos y carteras de puertas y ventanas, perfilería, platinas de soporte, cintas, tornillos, masilla, cordón sellante flexible y primeriado, boquillera en aluminio para soporte de puertas, todos los materiales, accesorios y obras necesarias para su correcta instalación y funcionamiento </v>
      </c>
      <c r="D44" s="923" t="str">
        <f>+PRESUPUESTO!D44</f>
        <v>M2</v>
      </c>
      <c r="E44" s="914" t="e">
        <f>+#REF!</f>
        <v>#REF!</v>
      </c>
      <c r="F44" s="915"/>
      <c r="G44" s="914" t="str">
        <f t="shared" si="6"/>
        <v/>
      </c>
      <c r="H44" s="915"/>
      <c r="I44" s="914" t="str">
        <f t="shared" si="7"/>
        <v/>
      </c>
      <c r="J44" s="915">
        <v>107880.24</v>
      </c>
      <c r="K44" s="914">
        <f t="shared" si="8"/>
        <v>112282</v>
      </c>
      <c r="L44" s="915"/>
      <c r="M44" s="914" t="str">
        <f t="shared" si="9"/>
        <v/>
      </c>
      <c r="N44" s="915"/>
      <c r="O44" s="914" t="str">
        <f t="shared" si="10"/>
        <v/>
      </c>
      <c r="P44" s="915"/>
      <c r="Q44" s="914" t="str">
        <f t="shared" si="11"/>
        <v/>
      </c>
      <c r="R44" s="915">
        <v>138182</v>
      </c>
      <c r="S44" s="914">
        <f t="shared" si="11"/>
        <v>154004</v>
      </c>
      <c r="T44" s="916" t="e">
        <f t="shared" si="15"/>
        <v>#REF!</v>
      </c>
      <c r="U44" s="916" t="e">
        <f t="shared" si="16"/>
        <v>#REF!</v>
      </c>
      <c r="V44" s="917" t="e">
        <f t="shared" si="17"/>
        <v>#REF!</v>
      </c>
      <c r="W44" s="918" t="e">
        <f t="shared" si="18"/>
        <v>#REF!</v>
      </c>
      <c r="X44" s="918" t="e">
        <f t="shared" si="19"/>
        <v>#REF!</v>
      </c>
      <c r="Y44" s="919" t="e">
        <f t="shared" si="20"/>
        <v>#REF!</v>
      </c>
      <c r="Z44" s="920" t="e">
        <f t="shared" si="21"/>
        <v>#REF!</v>
      </c>
    </row>
    <row r="45" spans="2:26" s="269" customFormat="1">
      <c r="B45" s="937">
        <f>+PRESUPUESTO!B45</f>
        <v>7</v>
      </c>
      <c r="C45" s="938" t="str">
        <f>+PRESUPUESTO!C45</f>
        <v>PAÑETES</v>
      </c>
      <c r="D45" s="939">
        <f>+PRESUPUESTO!D45</f>
        <v>0</v>
      </c>
      <c r="E45" s="940"/>
      <c r="F45" s="940"/>
      <c r="G45" s="940" t="str">
        <f t="shared" si="6"/>
        <v/>
      </c>
      <c r="H45" s="940"/>
      <c r="I45" s="940" t="str">
        <f t="shared" si="7"/>
        <v/>
      </c>
      <c r="J45" s="940"/>
      <c r="K45" s="940" t="str">
        <f t="shared" si="8"/>
        <v/>
      </c>
      <c r="L45" s="940"/>
      <c r="M45" s="940" t="str">
        <f t="shared" si="9"/>
        <v/>
      </c>
      <c r="N45" s="940"/>
      <c r="O45" s="940" t="str">
        <f t="shared" si="10"/>
        <v/>
      </c>
      <c r="P45" s="940"/>
      <c r="Q45" s="940" t="str">
        <f t="shared" si="11"/>
        <v/>
      </c>
      <c r="R45" s="940"/>
      <c r="S45" s="940" t="str">
        <f t="shared" si="11"/>
        <v/>
      </c>
      <c r="T45" s="929"/>
      <c r="U45" s="929"/>
      <c r="V45" s="930"/>
      <c r="W45" s="931"/>
      <c r="X45" s="931"/>
      <c r="Y45" s="932"/>
      <c r="Z45" s="933"/>
    </row>
    <row r="46" spans="2:26" ht="25.5">
      <c r="B46" s="921" t="str">
        <f>+PRESUPUESTO!B46</f>
        <v>7.1.</v>
      </c>
      <c r="C46" s="924" t="str">
        <f>+PRESUPUESTO!C46</f>
        <v>Pañete liso impermeabilizado 1:3, incluye filos, dilataciones, cantos y cartera de vanos. incluye medidas inferiores a 1.00m</v>
      </c>
      <c r="D46" s="923" t="str">
        <f>+PRESUPUESTO!D46</f>
        <v>M2</v>
      </c>
      <c r="E46" s="914" t="e">
        <f>+#REF!</f>
        <v>#REF!</v>
      </c>
      <c r="F46" s="915">
        <v>32200</v>
      </c>
      <c r="G46" s="914">
        <f t="shared" si="6"/>
        <v>36074</v>
      </c>
      <c r="H46" s="915">
        <v>26636</v>
      </c>
      <c r="I46" s="914">
        <f t="shared" si="7"/>
        <v>27749</v>
      </c>
      <c r="J46" s="915"/>
      <c r="K46" s="914" t="str">
        <f t="shared" si="8"/>
        <v/>
      </c>
      <c r="L46" s="915">
        <v>27241</v>
      </c>
      <c r="M46" s="914">
        <f t="shared" si="9"/>
        <v>28317</v>
      </c>
      <c r="N46" s="915">
        <v>35587</v>
      </c>
      <c r="O46" s="914">
        <f t="shared" si="10"/>
        <v>36993</v>
      </c>
      <c r="P46" s="915">
        <v>21097</v>
      </c>
      <c r="Q46" s="914">
        <f t="shared" si="11"/>
        <v>21930</v>
      </c>
      <c r="R46" s="915">
        <v>27116</v>
      </c>
      <c r="S46" s="914">
        <f t="shared" si="11"/>
        <v>30221</v>
      </c>
      <c r="T46" s="916" t="e">
        <f t="shared" si="15"/>
        <v>#REF!</v>
      </c>
      <c r="U46" s="916" t="e">
        <f t="shared" si="16"/>
        <v>#REF!</v>
      </c>
      <c r="V46" s="917" t="e">
        <f t="shared" si="17"/>
        <v>#REF!</v>
      </c>
      <c r="W46" s="918" t="e">
        <f t="shared" si="18"/>
        <v>#REF!</v>
      </c>
      <c r="X46" s="918" t="e">
        <f t="shared" si="19"/>
        <v>#REF!</v>
      </c>
      <c r="Y46" s="919" t="e">
        <f t="shared" si="20"/>
        <v>#REF!</v>
      </c>
      <c r="Z46" s="920" t="e">
        <f t="shared" si="21"/>
        <v>#REF!</v>
      </c>
    </row>
    <row r="47" spans="2:26" s="269" customFormat="1">
      <c r="B47" s="937">
        <f>+PRESUPUESTO!B47</f>
        <v>8</v>
      </c>
      <c r="C47" s="938" t="str">
        <f>+PRESUPUESTO!C47</f>
        <v>CUBIERTAS</v>
      </c>
      <c r="D47" s="939">
        <f>+PRESUPUESTO!D47</f>
        <v>0</v>
      </c>
      <c r="E47" s="940"/>
      <c r="F47" s="940"/>
      <c r="G47" s="940" t="str">
        <f t="shared" si="6"/>
        <v/>
      </c>
      <c r="H47" s="940"/>
      <c r="I47" s="940" t="str">
        <f t="shared" si="7"/>
        <v/>
      </c>
      <c r="J47" s="940"/>
      <c r="K47" s="940" t="str">
        <f t="shared" si="8"/>
        <v/>
      </c>
      <c r="L47" s="940"/>
      <c r="M47" s="940" t="str">
        <f t="shared" si="9"/>
        <v/>
      </c>
      <c r="N47" s="940"/>
      <c r="O47" s="940" t="str">
        <f t="shared" si="10"/>
        <v/>
      </c>
      <c r="P47" s="940"/>
      <c r="Q47" s="940" t="str">
        <f t="shared" si="11"/>
        <v/>
      </c>
      <c r="R47" s="940"/>
      <c r="S47" s="940" t="str">
        <f t="shared" si="11"/>
        <v/>
      </c>
      <c r="T47" s="929"/>
      <c r="U47" s="929"/>
      <c r="V47" s="930"/>
      <c r="W47" s="931"/>
      <c r="X47" s="931"/>
      <c r="Y47" s="932"/>
      <c r="Z47" s="933"/>
    </row>
    <row r="48" spans="2:26" ht="71.25" customHeight="1">
      <c r="B48" s="921" t="str">
        <f>+PRESUPUESTO!B48</f>
        <v>8.1.</v>
      </c>
      <c r="C48" s="924" t="str">
        <f>+PRESUPUESTO!C48</f>
        <v>Suministro e intalación de cubierta en policarbonato alveolar 8 mm de espesor color BRONCE, sobre estructura existente . Incluye herrajes, remates en aluminio superior e inferior, cinta microperforada, conectores HCP bronce base, conector HCP bronce  tapa, perfiles,  tensores, sujeciones y todos los elementos requeridos para su correcto funcionamiento e impermeabilidad del espacio interior. Plano No. 2. (fachada principal, anden posterior y marquesinas baños)</v>
      </c>
      <c r="D48" s="923" t="str">
        <f>+PRESUPUESTO!D48</f>
        <v>M2</v>
      </c>
      <c r="E48" s="914" t="e">
        <f>+#REF!</f>
        <v>#REF!</v>
      </c>
      <c r="F48" s="915">
        <v>103760</v>
      </c>
      <c r="G48" s="914">
        <f t="shared" si="6"/>
        <v>116242</v>
      </c>
      <c r="H48" s="915"/>
      <c r="I48" s="914" t="str">
        <f t="shared" si="7"/>
        <v/>
      </c>
      <c r="J48" s="915"/>
      <c r="K48" s="914" t="str">
        <f t="shared" si="8"/>
        <v/>
      </c>
      <c r="L48" s="915"/>
      <c r="M48" s="914" t="str">
        <f t="shared" si="9"/>
        <v/>
      </c>
      <c r="N48" s="915"/>
      <c r="O48" s="914" t="str">
        <f t="shared" si="10"/>
        <v/>
      </c>
      <c r="P48" s="915"/>
      <c r="Q48" s="914" t="str">
        <f t="shared" si="11"/>
        <v/>
      </c>
      <c r="R48" s="915"/>
      <c r="S48" s="914" t="str">
        <f t="shared" si="11"/>
        <v/>
      </c>
      <c r="T48" s="916" t="e">
        <f t="shared" si="15"/>
        <v>#REF!</v>
      </c>
      <c r="U48" s="916" t="e">
        <f t="shared" si="16"/>
        <v>#REF!</v>
      </c>
      <c r="V48" s="917" t="e">
        <f t="shared" si="17"/>
        <v>#REF!</v>
      </c>
      <c r="W48" s="918" t="e">
        <f t="shared" si="18"/>
        <v>#REF!</v>
      </c>
      <c r="X48" s="918" t="e">
        <f t="shared" si="19"/>
        <v>#REF!</v>
      </c>
      <c r="Y48" s="919" t="e">
        <f t="shared" si="20"/>
        <v>#REF!</v>
      </c>
      <c r="Z48" s="920" t="e">
        <f t="shared" si="21"/>
        <v>#REF!</v>
      </c>
    </row>
    <row r="49" spans="2:26">
      <c r="B49" s="921" t="str">
        <f>+PRESUPUESTO!B49</f>
        <v>8.2.</v>
      </c>
      <c r="C49" s="922" t="str">
        <f>+PRESUPUESTO!C49</f>
        <v>Suministro e instalacion Teja trapezoidal fibra de vidrio plus translucida (fachada vertical)</v>
      </c>
      <c r="D49" s="923" t="str">
        <f>+PRESUPUESTO!D49</f>
        <v>M2</v>
      </c>
      <c r="E49" s="914" t="e">
        <f>+#REF!</f>
        <v>#REF!</v>
      </c>
      <c r="F49" s="915"/>
      <c r="G49" s="914" t="str">
        <f t="shared" si="6"/>
        <v/>
      </c>
      <c r="H49" s="915"/>
      <c r="I49" s="914" t="str">
        <f t="shared" si="7"/>
        <v/>
      </c>
      <c r="J49" s="915"/>
      <c r="K49" s="914" t="str">
        <f t="shared" si="8"/>
        <v/>
      </c>
      <c r="L49" s="915"/>
      <c r="M49" s="914" t="str">
        <f t="shared" si="9"/>
        <v/>
      </c>
      <c r="N49" s="915"/>
      <c r="O49" s="914" t="str">
        <f t="shared" si="10"/>
        <v/>
      </c>
      <c r="P49" s="915"/>
      <c r="Q49" s="914" t="str">
        <f t="shared" si="11"/>
        <v/>
      </c>
      <c r="R49" s="915"/>
      <c r="S49" s="914" t="str">
        <f t="shared" si="11"/>
        <v/>
      </c>
      <c r="T49" s="916"/>
      <c r="U49" s="916" t="e">
        <f t="shared" si="16"/>
        <v>#REF!</v>
      </c>
      <c r="V49" s="917" t="e">
        <f t="shared" si="17"/>
        <v>#REF!</v>
      </c>
      <c r="W49" s="918" t="e">
        <f t="shared" si="18"/>
        <v>#REF!</v>
      </c>
      <c r="X49" s="918" t="e">
        <f t="shared" si="19"/>
        <v>#REF!</v>
      </c>
      <c r="Y49" s="919" t="e">
        <f t="shared" si="20"/>
        <v>#REF!</v>
      </c>
      <c r="Z49" s="920" t="e">
        <f t="shared" si="21"/>
        <v>#REF!</v>
      </c>
    </row>
    <row r="50" spans="2:26" s="269" customFormat="1">
      <c r="B50" s="937">
        <f>+PRESUPUESTO!B50</f>
        <v>9</v>
      </c>
      <c r="C50" s="938" t="str">
        <f>+PRESUPUESTO!C50</f>
        <v>BASES Y PISOS</v>
      </c>
      <c r="D50" s="939">
        <f>+PRESUPUESTO!D50</f>
        <v>0</v>
      </c>
      <c r="E50" s="940"/>
      <c r="F50" s="940"/>
      <c r="G50" s="940" t="str">
        <f t="shared" si="6"/>
        <v/>
      </c>
      <c r="H50" s="940"/>
      <c r="I50" s="940" t="str">
        <f t="shared" si="7"/>
        <v/>
      </c>
      <c r="J50" s="940"/>
      <c r="K50" s="940" t="str">
        <f t="shared" si="8"/>
        <v/>
      </c>
      <c r="L50" s="940"/>
      <c r="M50" s="940" t="str">
        <f t="shared" si="9"/>
        <v/>
      </c>
      <c r="N50" s="940"/>
      <c r="O50" s="940" t="str">
        <f t="shared" si="10"/>
        <v/>
      </c>
      <c r="P50" s="940"/>
      <c r="Q50" s="940" t="str">
        <f t="shared" si="11"/>
        <v/>
      </c>
      <c r="R50" s="940"/>
      <c r="S50" s="940" t="str">
        <f t="shared" si="11"/>
        <v/>
      </c>
      <c r="T50" s="929"/>
      <c r="U50" s="929"/>
      <c r="V50" s="930"/>
      <c r="W50" s="931"/>
      <c r="X50" s="931"/>
      <c r="Y50" s="932"/>
      <c r="Z50" s="933"/>
    </row>
    <row r="51" spans="2:26" ht="25.5">
      <c r="B51" s="921" t="str">
        <f>+PRESUPUESTO!B51</f>
        <v>9.1.</v>
      </c>
      <c r="C51" s="924" t="str">
        <f>+PRESUPUESTO!C51</f>
        <v>Suministro e instalación de piso Boticino Blanco 45 x 45 cm o similar incluye pegante tipo pegacor y boquilla (bano vestieres Plano No. 3)</v>
      </c>
      <c r="D51" s="923" t="str">
        <f>+PRESUPUESTO!D51</f>
        <v>M2</v>
      </c>
      <c r="E51" s="914" t="e">
        <f>+#REF!</f>
        <v>#REF!</v>
      </c>
      <c r="F51" s="915">
        <v>52308</v>
      </c>
      <c r="G51" s="914">
        <f t="shared" si="6"/>
        <v>58601</v>
      </c>
      <c r="H51" s="915"/>
      <c r="I51" s="914" t="str">
        <f t="shared" si="7"/>
        <v/>
      </c>
      <c r="J51" s="915"/>
      <c r="K51" s="914" t="str">
        <f t="shared" si="8"/>
        <v/>
      </c>
      <c r="L51" s="915"/>
      <c r="M51" s="914" t="str">
        <f t="shared" si="9"/>
        <v/>
      </c>
      <c r="N51" s="915"/>
      <c r="O51" s="914" t="str">
        <f t="shared" si="10"/>
        <v/>
      </c>
      <c r="P51" s="915"/>
      <c r="Q51" s="914" t="str">
        <f t="shared" si="11"/>
        <v/>
      </c>
      <c r="R51" s="915"/>
      <c r="S51" s="914" t="str">
        <f t="shared" si="11"/>
        <v/>
      </c>
      <c r="T51" s="916" t="e">
        <f t="shared" si="15"/>
        <v>#REF!</v>
      </c>
      <c r="U51" s="916" t="e">
        <f t="shared" si="16"/>
        <v>#REF!</v>
      </c>
      <c r="V51" s="917" t="e">
        <f t="shared" si="17"/>
        <v>#REF!</v>
      </c>
      <c r="W51" s="918" t="e">
        <f t="shared" si="18"/>
        <v>#REF!</v>
      </c>
      <c r="X51" s="918" t="e">
        <f t="shared" si="19"/>
        <v>#REF!</v>
      </c>
      <c r="Y51" s="919" t="e">
        <f t="shared" si="20"/>
        <v>#REF!</v>
      </c>
      <c r="Z51" s="920" t="e">
        <f t="shared" si="21"/>
        <v>#REF!</v>
      </c>
    </row>
    <row r="52" spans="2:26" ht="25.5">
      <c r="B52" s="921" t="str">
        <f>+PRESUPUESTO!B52</f>
        <v>9.2.</v>
      </c>
      <c r="C52" s="924" t="str">
        <f>+PRESUPUESTO!C52</f>
        <v>Media caña H=8 ó 10 cms (igual a la existente)  en granito pulido, color igual a la existente, acabado al ras contra pisos y muros. Incluye dilatación plástica contra muros y pisos.</v>
      </c>
      <c r="D52" s="923" t="str">
        <f>+PRESUPUESTO!D52</f>
        <v>ML</v>
      </c>
      <c r="E52" s="914" t="e">
        <f>+#REF!</f>
        <v>#REF!</v>
      </c>
      <c r="F52" s="915">
        <v>57328</v>
      </c>
      <c r="G52" s="914">
        <f t="shared" si="6"/>
        <v>64225</v>
      </c>
      <c r="H52" s="915"/>
      <c r="I52" s="914" t="str">
        <f t="shared" si="7"/>
        <v/>
      </c>
      <c r="J52" s="915"/>
      <c r="K52" s="914" t="str">
        <f t="shared" si="8"/>
        <v/>
      </c>
      <c r="L52" s="915"/>
      <c r="M52" s="914" t="str">
        <f t="shared" si="9"/>
        <v/>
      </c>
      <c r="N52" s="915"/>
      <c r="O52" s="914" t="str">
        <f t="shared" si="10"/>
        <v/>
      </c>
      <c r="P52" s="915">
        <f>50055+30926</f>
        <v>80981</v>
      </c>
      <c r="Q52" s="914">
        <f t="shared" si="11"/>
        <v>84180</v>
      </c>
      <c r="R52" s="915"/>
      <c r="S52" s="914" t="str">
        <f t="shared" si="11"/>
        <v/>
      </c>
      <c r="T52" s="916" t="e">
        <f t="shared" si="15"/>
        <v>#REF!</v>
      </c>
      <c r="U52" s="916" t="e">
        <f t="shared" si="16"/>
        <v>#REF!</v>
      </c>
      <c r="V52" s="917" t="e">
        <f t="shared" si="17"/>
        <v>#REF!</v>
      </c>
      <c r="W52" s="918" t="e">
        <f t="shared" si="18"/>
        <v>#REF!</v>
      </c>
      <c r="X52" s="918" t="e">
        <f t="shared" si="19"/>
        <v>#REF!</v>
      </c>
      <c r="Y52" s="919" t="e">
        <f t="shared" si="20"/>
        <v>#REF!</v>
      </c>
      <c r="Z52" s="920" t="e">
        <f t="shared" si="21"/>
        <v>#REF!</v>
      </c>
    </row>
    <row r="53" spans="2:26" ht="28.5" customHeight="1">
      <c r="B53" s="921" t="str">
        <f>+PRESUPUESTO!B53</f>
        <v>9.3.</v>
      </c>
      <c r="C53" s="924" t="str">
        <f>+PRESUPUESTO!C53</f>
        <v>Boca puerta acabado en granito pulido, color a escoger, Incluye dilatación plástica. Ancho de 0.15 a 0.25 m</v>
      </c>
      <c r="D53" s="923" t="str">
        <f>+PRESUPUESTO!D53</f>
        <v>ML</v>
      </c>
      <c r="E53" s="914" t="e">
        <f>+#REF!</f>
        <v>#REF!</v>
      </c>
      <c r="F53" s="915">
        <v>78279</v>
      </c>
      <c r="G53" s="914">
        <f t="shared" si="6"/>
        <v>87696</v>
      </c>
      <c r="H53" s="915"/>
      <c r="I53" s="914" t="str">
        <f t="shared" si="7"/>
        <v/>
      </c>
      <c r="J53" s="915"/>
      <c r="K53" s="914" t="str">
        <f t="shared" si="8"/>
        <v/>
      </c>
      <c r="L53" s="915"/>
      <c r="M53" s="914" t="str">
        <f t="shared" si="9"/>
        <v/>
      </c>
      <c r="N53" s="915"/>
      <c r="O53" s="914" t="str">
        <f t="shared" si="10"/>
        <v/>
      </c>
      <c r="P53" s="915"/>
      <c r="Q53" s="914" t="str">
        <f t="shared" si="11"/>
        <v/>
      </c>
      <c r="R53" s="915"/>
      <c r="S53" s="914" t="str">
        <f t="shared" si="11"/>
        <v/>
      </c>
      <c r="T53" s="916" t="e">
        <f t="shared" si="15"/>
        <v>#REF!</v>
      </c>
      <c r="U53" s="916" t="e">
        <f t="shared" si="16"/>
        <v>#REF!</v>
      </c>
      <c r="V53" s="917" t="e">
        <f t="shared" si="17"/>
        <v>#REF!</v>
      </c>
      <c r="W53" s="918" t="e">
        <f t="shared" si="18"/>
        <v>#REF!</v>
      </c>
      <c r="X53" s="918" t="e">
        <f t="shared" si="19"/>
        <v>#REF!</v>
      </c>
      <c r="Y53" s="919" t="e">
        <f t="shared" si="20"/>
        <v>#REF!</v>
      </c>
      <c r="Z53" s="920" t="e">
        <f t="shared" si="21"/>
        <v>#REF!</v>
      </c>
    </row>
    <row r="54" spans="2:26" ht="38.25">
      <c r="B54" s="921" t="str">
        <f>+PRESUPUESTO!B54</f>
        <v>9.4.</v>
      </c>
      <c r="C54" s="924" t="str">
        <f>+PRESUPUESTO!C54</f>
        <v>Andén en concreto de 2.500 PSI espesor e= 0,08 m, paños de 1.5 m marco liso perimetral y escobiado interior, incluye nivelacion, refuerzo en malla M 084 y todos los elementos requeridos para su ejecucion</v>
      </c>
      <c r="D54" s="923" t="str">
        <f>+PRESUPUESTO!D54</f>
        <v>M2</v>
      </c>
      <c r="E54" s="914" t="e">
        <f>+#REF!</f>
        <v>#REF!</v>
      </c>
      <c r="F54" s="915">
        <v>63043</v>
      </c>
      <c r="G54" s="914">
        <f t="shared" si="6"/>
        <v>70627</v>
      </c>
      <c r="H54" s="915">
        <v>64460</v>
      </c>
      <c r="I54" s="914">
        <f t="shared" si="7"/>
        <v>67154</v>
      </c>
      <c r="J54" s="915"/>
      <c r="K54" s="914" t="str">
        <f t="shared" si="8"/>
        <v/>
      </c>
      <c r="L54" s="915"/>
      <c r="M54" s="914" t="str">
        <f t="shared" si="9"/>
        <v/>
      </c>
      <c r="N54" s="915"/>
      <c r="O54" s="914" t="str">
        <f t="shared" si="10"/>
        <v/>
      </c>
      <c r="P54" s="915"/>
      <c r="Q54" s="914" t="str">
        <f t="shared" si="11"/>
        <v/>
      </c>
      <c r="R54" s="915"/>
      <c r="S54" s="914" t="str">
        <f t="shared" si="11"/>
        <v/>
      </c>
      <c r="T54" s="916" t="e">
        <f t="shared" si="15"/>
        <v>#REF!</v>
      </c>
      <c r="U54" s="916" t="e">
        <f t="shared" si="16"/>
        <v>#REF!</v>
      </c>
      <c r="V54" s="917" t="e">
        <f t="shared" si="17"/>
        <v>#REF!</v>
      </c>
      <c r="W54" s="918" t="e">
        <f t="shared" si="18"/>
        <v>#REF!</v>
      </c>
      <c r="X54" s="918" t="e">
        <f t="shared" si="19"/>
        <v>#REF!</v>
      </c>
      <c r="Y54" s="919" t="e">
        <f t="shared" si="20"/>
        <v>#REF!</v>
      </c>
      <c r="Z54" s="920" t="e">
        <f t="shared" si="21"/>
        <v>#REF!</v>
      </c>
    </row>
    <row r="55" spans="2:26">
      <c r="B55" s="921" t="str">
        <f>+PRESUPUESTO!B55</f>
        <v>9.5.</v>
      </c>
      <c r="C55" s="924" t="str">
        <f>+PRESUPUESTO!C55</f>
        <v>Alistado de piso en mortero 1 :4 e= 3 a 5 cms</v>
      </c>
      <c r="D55" s="923" t="str">
        <f>+PRESUPUESTO!D55</f>
        <v>M2</v>
      </c>
      <c r="E55" s="914" t="e">
        <f>+#REF!</f>
        <v>#REF!</v>
      </c>
      <c r="F55" s="915"/>
      <c r="G55" s="914" t="str">
        <f t="shared" si="6"/>
        <v/>
      </c>
      <c r="H55" s="915"/>
      <c r="I55" s="914" t="str">
        <f t="shared" si="7"/>
        <v/>
      </c>
      <c r="J55" s="915">
        <v>32584.1</v>
      </c>
      <c r="K55" s="914">
        <f t="shared" si="8"/>
        <v>33914</v>
      </c>
      <c r="L55" s="915">
        <v>38737</v>
      </c>
      <c r="M55" s="914">
        <f t="shared" si="9"/>
        <v>40267</v>
      </c>
      <c r="N55" s="915">
        <v>33323</v>
      </c>
      <c r="O55" s="914">
        <f t="shared" si="10"/>
        <v>34639</v>
      </c>
      <c r="P55" s="915">
        <v>29396</v>
      </c>
      <c r="Q55" s="914">
        <f t="shared" si="11"/>
        <v>30557</v>
      </c>
      <c r="R55" s="915"/>
      <c r="S55" s="914" t="str">
        <f t="shared" si="11"/>
        <v/>
      </c>
      <c r="T55" s="916" t="e">
        <f t="shared" si="15"/>
        <v>#REF!</v>
      </c>
      <c r="U55" s="916" t="e">
        <f t="shared" si="16"/>
        <v>#REF!</v>
      </c>
      <c r="V55" s="917" t="e">
        <f t="shared" si="17"/>
        <v>#REF!</v>
      </c>
      <c r="W55" s="918" t="e">
        <f t="shared" si="18"/>
        <v>#REF!</v>
      </c>
      <c r="X55" s="918" t="e">
        <f t="shared" si="19"/>
        <v>#REF!</v>
      </c>
      <c r="Y55" s="919" t="e">
        <f t="shared" si="20"/>
        <v>#REF!</v>
      </c>
      <c r="Z55" s="920" t="e">
        <f t="shared" si="21"/>
        <v>#REF!</v>
      </c>
    </row>
    <row r="56" spans="2:26" ht="27.75" customHeight="1">
      <c r="B56" s="921" t="str">
        <f>+PRESUPUESTO!B56</f>
        <v>9.6.</v>
      </c>
      <c r="C56" s="924" t="str">
        <f>+PRESUPUESTO!C56</f>
        <v>Placa de concreto de 3000 psi e=0.10 m, malla M084 y todos los elementos requeridos para su ejecucion</v>
      </c>
      <c r="D56" s="923" t="str">
        <f>+PRESUPUESTO!D56</f>
        <v>M2</v>
      </c>
      <c r="E56" s="914" t="e">
        <f>+#REF!</f>
        <v>#REF!</v>
      </c>
      <c r="F56" s="915"/>
      <c r="G56" s="914" t="str">
        <f t="shared" si="6"/>
        <v/>
      </c>
      <c r="H56" s="915"/>
      <c r="I56" s="914" t="str">
        <f t="shared" si="7"/>
        <v/>
      </c>
      <c r="J56" s="915"/>
      <c r="K56" s="914" t="str">
        <f t="shared" si="8"/>
        <v/>
      </c>
      <c r="L56" s="915"/>
      <c r="M56" s="914" t="str">
        <f t="shared" si="9"/>
        <v/>
      </c>
      <c r="N56" s="915"/>
      <c r="O56" s="914" t="str">
        <f t="shared" si="10"/>
        <v/>
      </c>
      <c r="P56" s="915"/>
      <c r="Q56" s="914" t="str">
        <f t="shared" si="11"/>
        <v/>
      </c>
      <c r="R56" s="915"/>
      <c r="S56" s="914" t="str">
        <f t="shared" si="11"/>
        <v/>
      </c>
      <c r="T56" s="916"/>
      <c r="U56" s="916" t="e">
        <f t="shared" si="16"/>
        <v>#REF!</v>
      </c>
      <c r="V56" s="917" t="e">
        <f t="shared" si="17"/>
        <v>#REF!</v>
      </c>
      <c r="W56" s="918" t="e">
        <f t="shared" si="18"/>
        <v>#REF!</v>
      </c>
      <c r="X56" s="918" t="e">
        <f t="shared" si="19"/>
        <v>#REF!</v>
      </c>
      <c r="Y56" s="919" t="e">
        <f t="shared" si="20"/>
        <v>#REF!</v>
      </c>
      <c r="Z56" s="920" t="e">
        <f t="shared" si="21"/>
        <v>#REF!</v>
      </c>
    </row>
    <row r="57" spans="2:26" ht="57" customHeight="1">
      <c r="B57" s="921" t="str">
        <f>+PRESUPUESTO!B57</f>
        <v>9.7.</v>
      </c>
      <c r="C57" s="924" t="str">
        <f>+PRESUPUESTO!C57</f>
        <v>Suministro   e   instalación   piso   en   tablón   de   grano   de   mármol   (grano   fino    No.2) vibroprensado  33x33  cms blanco huila al existente con dilataciones plásticas entre 1.00 y 1.5 m   Incluye  destronque,  pulido   sellado,  brillado y cristalizado,  tipo  alfa o  similar.  Incluye  todos  los  materiales  y trabajos  necesarios  para su correcta instalación y funcionamiento (Plano No. 3)</v>
      </c>
      <c r="D57" s="923" t="str">
        <f>+PRESUPUESTO!D57</f>
        <v>M2</v>
      </c>
      <c r="E57" s="914" t="e">
        <f>+#REF!</f>
        <v>#REF!</v>
      </c>
      <c r="F57" s="915">
        <v>136134</v>
      </c>
      <c r="G57" s="914">
        <f t="shared" si="6"/>
        <v>152511</v>
      </c>
      <c r="H57" s="915"/>
      <c r="I57" s="914" t="str">
        <f t="shared" si="7"/>
        <v/>
      </c>
      <c r="J57" s="915"/>
      <c r="K57" s="914" t="str">
        <f t="shared" si="8"/>
        <v/>
      </c>
      <c r="L57" s="915"/>
      <c r="M57" s="914" t="str">
        <f t="shared" si="9"/>
        <v/>
      </c>
      <c r="N57" s="915"/>
      <c r="O57" s="914" t="str">
        <f t="shared" si="10"/>
        <v/>
      </c>
      <c r="P57" s="915">
        <f>131921+27196</f>
        <v>159117</v>
      </c>
      <c r="Q57" s="914">
        <f t="shared" si="11"/>
        <v>165402</v>
      </c>
      <c r="R57" s="915"/>
      <c r="S57" s="914" t="str">
        <f t="shared" si="11"/>
        <v/>
      </c>
      <c r="T57" s="916" t="e">
        <f t="shared" si="15"/>
        <v>#REF!</v>
      </c>
      <c r="U57" s="916" t="e">
        <f t="shared" si="16"/>
        <v>#REF!</v>
      </c>
      <c r="V57" s="917" t="e">
        <f t="shared" si="17"/>
        <v>#REF!</v>
      </c>
      <c r="W57" s="918" t="e">
        <f t="shared" si="18"/>
        <v>#REF!</v>
      </c>
      <c r="X57" s="918" t="e">
        <f t="shared" si="19"/>
        <v>#REF!</v>
      </c>
      <c r="Y57" s="919" t="e">
        <f t="shared" si="20"/>
        <v>#REF!</v>
      </c>
      <c r="Z57" s="920" t="e">
        <f t="shared" si="21"/>
        <v>#REF!</v>
      </c>
    </row>
    <row r="58" spans="2:26" ht="42.75" customHeight="1">
      <c r="B58" s="921" t="str">
        <f>+PRESUPUESTO!B58</f>
        <v>9.8.</v>
      </c>
      <c r="C58" s="922" t="str">
        <f>+PRESUPUESTO!C58</f>
        <v>Sellado de juntas de dilatación contra paneles de acero inoxidable del cuarto frío empleando Sikaflex-1A Plus, dimensiones 10 mm de ancho por 25 mm de alto, incluye acabado en forma de media caña contra el panel de 10 mm de altura.</v>
      </c>
      <c r="D58" s="923" t="str">
        <f>+PRESUPUESTO!D58</f>
        <v>ML</v>
      </c>
      <c r="E58" s="914" t="e">
        <f>+#REF!</f>
        <v>#REF!</v>
      </c>
      <c r="F58" s="915">
        <v>90558</v>
      </c>
      <c r="G58" s="914">
        <f t="shared" si="6"/>
        <v>101452</v>
      </c>
      <c r="H58" s="915"/>
      <c r="I58" s="914" t="str">
        <f t="shared" si="7"/>
        <v/>
      </c>
      <c r="J58" s="915"/>
      <c r="K58" s="914" t="str">
        <f t="shared" si="8"/>
        <v/>
      </c>
      <c r="L58" s="915"/>
      <c r="M58" s="914" t="str">
        <f t="shared" si="9"/>
        <v/>
      </c>
      <c r="N58" s="915"/>
      <c r="O58" s="914" t="str">
        <f t="shared" si="10"/>
        <v/>
      </c>
      <c r="P58" s="915"/>
      <c r="Q58" s="914" t="str">
        <f t="shared" si="11"/>
        <v/>
      </c>
      <c r="R58" s="915"/>
      <c r="S58" s="914" t="str">
        <f t="shared" si="11"/>
        <v/>
      </c>
      <c r="T58" s="916" t="e">
        <f t="shared" si="15"/>
        <v>#REF!</v>
      </c>
      <c r="U58" s="916" t="e">
        <f t="shared" si="16"/>
        <v>#REF!</v>
      </c>
      <c r="V58" s="917" t="e">
        <f t="shared" si="17"/>
        <v>#REF!</v>
      </c>
      <c r="W58" s="918" t="e">
        <f t="shared" si="18"/>
        <v>#REF!</v>
      </c>
      <c r="X58" s="918" t="e">
        <f t="shared" si="19"/>
        <v>#REF!</v>
      </c>
      <c r="Y58" s="919" t="e">
        <f t="shared" si="20"/>
        <v>#REF!</v>
      </c>
      <c r="Z58" s="920" t="e">
        <f t="shared" si="21"/>
        <v>#REF!</v>
      </c>
    </row>
    <row r="59" spans="2:26" ht="27.75" customHeight="1">
      <c r="B59" s="921" t="str">
        <f>+PRESUPUESTO!B59</f>
        <v>9.9.</v>
      </c>
      <c r="C59" s="922" t="str">
        <f>+PRESUPUESTO!C59</f>
        <v>Arreglo de marco en concreto de caja de inspección de aguas de 1.10 x 1.10 * 0.15 m. Incluye demolición de marco en concreto existente h= 8 a 10 cms y fundida en concreto 2500 psi</v>
      </c>
      <c r="D59" s="923" t="str">
        <f>+PRESUPUESTO!D59</f>
        <v>UN</v>
      </c>
      <c r="E59" s="914" t="e">
        <f>+#REF!</f>
        <v>#REF!</v>
      </c>
      <c r="F59" s="915"/>
      <c r="G59" s="914" t="str">
        <f t="shared" si="6"/>
        <v/>
      </c>
      <c r="H59" s="915"/>
      <c r="I59" s="914" t="str">
        <f t="shared" si="7"/>
        <v/>
      </c>
      <c r="J59" s="915"/>
      <c r="K59" s="914" t="str">
        <f t="shared" si="8"/>
        <v/>
      </c>
      <c r="L59" s="915"/>
      <c r="M59" s="914" t="str">
        <f t="shared" si="9"/>
        <v/>
      </c>
      <c r="N59" s="915"/>
      <c r="O59" s="914" t="str">
        <f t="shared" si="10"/>
        <v/>
      </c>
      <c r="P59" s="915"/>
      <c r="Q59" s="914" t="str">
        <f t="shared" si="11"/>
        <v/>
      </c>
      <c r="R59" s="915"/>
      <c r="S59" s="914" t="str">
        <f t="shared" si="11"/>
        <v/>
      </c>
      <c r="T59" s="916"/>
      <c r="U59" s="916" t="e">
        <f t="shared" si="16"/>
        <v>#REF!</v>
      </c>
      <c r="V59" s="917" t="e">
        <f t="shared" si="17"/>
        <v>#REF!</v>
      </c>
      <c r="W59" s="918" t="e">
        <f t="shared" si="18"/>
        <v>#REF!</v>
      </c>
      <c r="X59" s="918" t="e">
        <f t="shared" si="19"/>
        <v>#REF!</v>
      </c>
      <c r="Y59" s="919" t="e">
        <f t="shared" si="20"/>
        <v>#REF!</v>
      </c>
      <c r="Z59" s="920" t="e">
        <f t="shared" si="21"/>
        <v>#REF!</v>
      </c>
    </row>
    <row r="60" spans="2:26" ht="28.5" customHeight="1">
      <c r="B60" s="921" t="str">
        <f>+PRESUPUESTO!B60</f>
        <v xml:space="preserve">9.10. </v>
      </c>
      <c r="C60" s="924" t="str">
        <f>+PRESUPUESTO!C60</f>
        <v>Conformación poyo de 0.10 m de altura. Incluye enchape lateral en piso boticino blanco 45 x 45 cms o similar, pegante tipo pegacor y boquilla</v>
      </c>
      <c r="D60" s="923" t="str">
        <f>+PRESUPUESTO!D60</f>
        <v>ML</v>
      </c>
      <c r="E60" s="914" t="e">
        <f>+#REF!</f>
        <v>#REF!</v>
      </c>
      <c r="F60" s="915"/>
      <c r="G60" s="914" t="str">
        <f t="shared" si="6"/>
        <v/>
      </c>
      <c r="H60" s="915"/>
      <c r="I60" s="914" t="str">
        <f t="shared" si="7"/>
        <v/>
      </c>
      <c r="J60" s="915"/>
      <c r="K60" s="914" t="str">
        <f t="shared" si="8"/>
        <v/>
      </c>
      <c r="L60" s="915"/>
      <c r="M60" s="914" t="str">
        <f t="shared" si="9"/>
        <v/>
      </c>
      <c r="N60" s="915"/>
      <c r="O60" s="914" t="str">
        <f t="shared" si="10"/>
        <v/>
      </c>
      <c r="P60" s="915"/>
      <c r="Q60" s="914" t="str">
        <f t="shared" si="11"/>
        <v/>
      </c>
      <c r="R60" s="915"/>
      <c r="S60" s="914" t="str">
        <f t="shared" si="11"/>
        <v/>
      </c>
      <c r="T60" s="916"/>
      <c r="U60" s="916" t="e">
        <f t="shared" si="16"/>
        <v>#REF!</v>
      </c>
      <c r="V60" s="917" t="e">
        <f t="shared" si="17"/>
        <v>#REF!</v>
      </c>
      <c r="W60" s="918" t="e">
        <f t="shared" si="18"/>
        <v>#REF!</v>
      </c>
      <c r="X60" s="918" t="e">
        <f t="shared" si="19"/>
        <v>#REF!</v>
      </c>
      <c r="Y60" s="919" t="e">
        <f t="shared" si="20"/>
        <v>#REF!</v>
      </c>
      <c r="Z60" s="920" t="e">
        <f t="shared" si="21"/>
        <v>#REF!</v>
      </c>
    </row>
    <row r="61" spans="2:26" s="269" customFormat="1">
      <c r="B61" s="937">
        <f>+PRESUPUESTO!B61</f>
        <v>10</v>
      </c>
      <c r="C61" s="938" t="str">
        <f>+PRESUPUESTO!C61</f>
        <v>ENCHAPES</v>
      </c>
      <c r="D61" s="939">
        <f>+PRESUPUESTO!D61</f>
        <v>0</v>
      </c>
      <c r="E61" s="940"/>
      <c r="F61" s="940"/>
      <c r="G61" s="940" t="str">
        <f t="shared" si="6"/>
        <v/>
      </c>
      <c r="H61" s="940"/>
      <c r="I61" s="940" t="str">
        <f t="shared" si="7"/>
        <v/>
      </c>
      <c r="J61" s="940"/>
      <c r="K61" s="940" t="str">
        <f t="shared" si="8"/>
        <v/>
      </c>
      <c r="L61" s="940"/>
      <c r="M61" s="940" t="str">
        <f t="shared" si="9"/>
        <v/>
      </c>
      <c r="N61" s="940"/>
      <c r="O61" s="940" t="str">
        <f t="shared" si="10"/>
        <v/>
      </c>
      <c r="P61" s="940"/>
      <c r="Q61" s="940" t="str">
        <f t="shared" si="11"/>
        <v/>
      </c>
      <c r="R61" s="940"/>
      <c r="S61" s="940" t="str">
        <f t="shared" si="11"/>
        <v/>
      </c>
      <c r="T61" s="929"/>
      <c r="U61" s="929"/>
      <c r="V61" s="930"/>
      <c r="W61" s="931"/>
      <c r="X61" s="931"/>
      <c r="Y61" s="932"/>
      <c r="Z61" s="933"/>
    </row>
    <row r="62" spans="2:26" ht="25.5">
      <c r="B62" s="921" t="str">
        <f>+PRESUPUESTO!B62</f>
        <v>10.1.</v>
      </c>
      <c r="C62" s="922" t="str">
        <f>+PRESUPUESTO!C62</f>
        <v>Conformación de poceta de aseo enchapada interior y exteriormente en ceramica Boticino blanco 45 x 45 cm o similar. Incluye pegante tipo pegacor y filos con win de aluminio</v>
      </c>
      <c r="D62" s="923" t="str">
        <f>+PRESUPUESTO!D62</f>
        <v>UN</v>
      </c>
      <c r="E62" s="914" t="e">
        <f>+#REF!</f>
        <v>#REF!</v>
      </c>
      <c r="F62" s="915"/>
      <c r="G62" s="914" t="str">
        <f t="shared" si="6"/>
        <v/>
      </c>
      <c r="H62" s="915"/>
      <c r="I62" s="914" t="str">
        <f t="shared" si="7"/>
        <v/>
      </c>
      <c r="J62" s="915"/>
      <c r="K62" s="914" t="str">
        <f t="shared" si="8"/>
        <v/>
      </c>
      <c r="L62" s="915"/>
      <c r="M62" s="914" t="str">
        <f t="shared" si="9"/>
        <v/>
      </c>
      <c r="N62" s="915"/>
      <c r="O62" s="914" t="str">
        <f t="shared" si="10"/>
        <v/>
      </c>
      <c r="P62" s="915"/>
      <c r="Q62" s="914" t="str">
        <f t="shared" si="11"/>
        <v/>
      </c>
      <c r="R62" s="915"/>
      <c r="S62" s="914" t="str">
        <f t="shared" si="11"/>
        <v/>
      </c>
      <c r="T62" s="916"/>
      <c r="U62" s="916" t="e">
        <f t="shared" si="16"/>
        <v>#REF!</v>
      </c>
      <c r="V62" s="917" t="e">
        <f t="shared" si="17"/>
        <v>#REF!</v>
      </c>
      <c r="W62" s="918" t="e">
        <f t="shared" si="18"/>
        <v>#REF!</v>
      </c>
      <c r="X62" s="918" t="e">
        <f t="shared" si="19"/>
        <v>#REF!</v>
      </c>
      <c r="Y62" s="919" t="e">
        <f t="shared" si="20"/>
        <v>#REF!</v>
      </c>
      <c r="Z62" s="920" t="e">
        <f t="shared" si="21"/>
        <v>#REF!</v>
      </c>
    </row>
    <row r="63" spans="2:26" ht="25.5">
      <c r="B63" s="921" t="str">
        <f>+PRESUPUESTO!B63</f>
        <v>10.2.</v>
      </c>
      <c r="C63" s="924" t="str">
        <f>+PRESUPUESTO!C63</f>
        <v>Suministro e instalación de ceramica Boticino Blanco 45 x 45 cm o similar incluye pegante tipo pegacor y boquilla (vestier hombres y mujeres y cocineta)</v>
      </c>
      <c r="D63" s="923" t="str">
        <f>+PRESUPUESTO!D63</f>
        <v>M2</v>
      </c>
      <c r="E63" s="914" t="e">
        <f>+#REF!</f>
        <v>#REF!</v>
      </c>
      <c r="F63" s="915"/>
      <c r="G63" s="914" t="str">
        <f t="shared" si="6"/>
        <v/>
      </c>
      <c r="H63" s="915"/>
      <c r="I63" s="914" t="str">
        <f t="shared" si="7"/>
        <v/>
      </c>
      <c r="J63" s="915">
        <v>115500</v>
      </c>
      <c r="K63" s="914">
        <f t="shared" si="8"/>
        <v>120212</v>
      </c>
      <c r="L63" s="915"/>
      <c r="M63" s="914" t="str">
        <f t="shared" si="9"/>
        <v/>
      </c>
      <c r="N63" s="915">
        <v>62335</v>
      </c>
      <c r="O63" s="914">
        <f t="shared" si="10"/>
        <v>64797</v>
      </c>
      <c r="P63" s="915">
        <v>68964</v>
      </c>
      <c r="Q63" s="914">
        <f t="shared" si="11"/>
        <v>71688</v>
      </c>
      <c r="R63" s="915">
        <v>82254</v>
      </c>
      <c r="S63" s="914">
        <f t="shared" si="11"/>
        <v>91672</v>
      </c>
      <c r="T63" s="916" t="e">
        <f t="shared" si="15"/>
        <v>#REF!</v>
      </c>
      <c r="U63" s="916" t="e">
        <f t="shared" si="16"/>
        <v>#REF!</v>
      </c>
      <c r="V63" s="917" t="e">
        <f t="shared" si="17"/>
        <v>#REF!</v>
      </c>
      <c r="W63" s="918" t="e">
        <f t="shared" si="18"/>
        <v>#REF!</v>
      </c>
      <c r="X63" s="918" t="e">
        <f t="shared" si="19"/>
        <v>#REF!</v>
      </c>
      <c r="Y63" s="919" t="e">
        <f t="shared" si="20"/>
        <v>#REF!</v>
      </c>
      <c r="Z63" s="920" t="e">
        <f t="shared" si="21"/>
        <v>#REF!</v>
      </c>
    </row>
    <row r="64" spans="2:26" s="269" customFormat="1">
      <c r="B64" s="937">
        <f>+PRESUPUESTO!B64</f>
        <v>11</v>
      </c>
      <c r="C64" s="938" t="str">
        <f>+PRESUPUESTO!C64</f>
        <v>IMPERMEABILIZACIONES</v>
      </c>
      <c r="D64" s="939">
        <f>+PRESUPUESTO!D64</f>
        <v>0</v>
      </c>
      <c r="E64" s="940"/>
      <c r="F64" s="940"/>
      <c r="G64" s="940" t="str">
        <f t="shared" si="6"/>
        <v/>
      </c>
      <c r="H64" s="940"/>
      <c r="I64" s="940" t="str">
        <f t="shared" si="7"/>
        <v/>
      </c>
      <c r="J64" s="940"/>
      <c r="K64" s="940" t="str">
        <f t="shared" si="8"/>
        <v/>
      </c>
      <c r="L64" s="940"/>
      <c r="M64" s="940" t="str">
        <f t="shared" si="9"/>
        <v/>
      </c>
      <c r="N64" s="940"/>
      <c r="O64" s="940" t="str">
        <f t="shared" si="10"/>
        <v/>
      </c>
      <c r="P64" s="940"/>
      <c r="Q64" s="940" t="str">
        <f t="shared" si="11"/>
        <v/>
      </c>
      <c r="R64" s="940"/>
      <c r="S64" s="940" t="str">
        <f t="shared" si="11"/>
        <v/>
      </c>
      <c r="T64" s="929"/>
      <c r="U64" s="929"/>
      <c r="V64" s="930"/>
      <c r="W64" s="931"/>
      <c r="X64" s="931"/>
      <c r="Y64" s="932"/>
      <c r="Z64" s="933"/>
    </row>
    <row r="65" spans="2:26" ht="25.5">
      <c r="B65" s="921" t="str">
        <f>+PRESUPUESTO!B65</f>
        <v>11.1.</v>
      </c>
      <c r="C65" s="924" t="str">
        <f>+PRESUPUESTO!C65</f>
        <v>Impermeabilización de cubierta paraguas ultra gris  con imprimante primercor. Incluye todos los materiales y trabajos necesarios para su correcta instalación y funcionamiento (cubierta porteria).</v>
      </c>
      <c r="D65" s="923" t="str">
        <f>+PRESUPUESTO!D65</f>
        <v>M2</v>
      </c>
      <c r="E65" s="914" t="e">
        <f>+#REF!</f>
        <v>#REF!</v>
      </c>
      <c r="F65" s="915">
        <v>35058</v>
      </c>
      <c r="G65" s="914">
        <f t="shared" ref="G65:G118" si="22">+IF(F65="","",ROUND(F65*(1+G$7),0))</f>
        <v>39275</v>
      </c>
      <c r="H65" s="915"/>
      <c r="I65" s="914" t="str">
        <f t="shared" ref="I65:I118" si="23">+IF(H65="","",ROUND(H65*(1+I$7),0))</f>
        <v/>
      </c>
      <c r="J65" s="915"/>
      <c r="K65" s="914" t="str">
        <f t="shared" ref="K65:K118" si="24">+IF(J65="","",ROUND(J65*(1+K$7),0))</f>
        <v/>
      </c>
      <c r="L65" s="915"/>
      <c r="M65" s="914" t="str">
        <f t="shared" ref="M65:M118" si="25">+IF(L65="","",ROUND(L65*(1+M$7),0))</f>
        <v/>
      </c>
      <c r="N65" s="915"/>
      <c r="O65" s="914" t="str">
        <f t="shared" ref="O65:O118" si="26">+IF(N65="","",ROUND(N65*(1+O$7),0))</f>
        <v/>
      </c>
      <c r="P65" s="915"/>
      <c r="Q65" s="914" t="str">
        <f t="shared" ref="Q65:S118" si="27">+IF(P65="","",ROUND(P65*(1+Q$7),0))</f>
        <v/>
      </c>
      <c r="R65" s="915"/>
      <c r="S65" s="914" t="str">
        <f t="shared" si="27"/>
        <v/>
      </c>
      <c r="T65" s="916" t="e">
        <f t="shared" si="15"/>
        <v>#REF!</v>
      </c>
      <c r="U65" s="916" t="e">
        <f t="shared" si="16"/>
        <v>#REF!</v>
      </c>
      <c r="V65" s="917" t="e">
        <f t="shared" si="17"/>
        <v>#REF!</v>
      </c>
      <c r="W65" s="918" t="e">
        <f t="shared" si="18"/>
        <v>#REF!</v>
      </c>
      <c r="X65" s="918" t="e">
        <f t="shared" si="19"/>
        <v>#REF!</v>
      </c>
      <c r="Y65" s="919" t="e">
        <f t="shared" si="20"/>
        <v>#REF!</v>
      </c>
      <c r="Z65" s="920" t="e">
        <f t="shared" si="21"/>
        <v>#REF!</v>
      </c>
    </row>
    <row r="66" spans="2:26" s="269" customFormat="1">
      <c r="B66" s="937">
        <f>+PRESUPUESTO!B66</f>
        <v>12</v>
      </c>
      <c r="C66" s="938" t="str">
        <f>+PRESUPUESTO!C66</f>
        <v>CIELORRASOS</v>
      </c>
      <c r="D66" s="939">
        <f>+PRESUPUESTO!D66</f>
        <v>0</v>
      </c>
      <c r="E66" s="940"/>
      <c r="F66" s="940"/>
      <c r="G66" s="940" t="str">
        <f t="shared" si="22"/>
        <v/>
      </c>
      <c r="H66" s="940"/>
      <c r="I66" s="940" t="str">
        <f t="shared" si="23"/>
        <v/>
      </c>
      <c r="J66" s="940"/>
      <c r="K66" s="940" t="str">
        <f t="shared" si="24"/>
        <v/>
      </c>
      <c r="L66" s="940"/>
      <c r="M66" s="940" t="str">
        <f t="shared" si="25"/>
        <v/>
      </c>
      <c r="N66" s="940"/>
      <c r="O66" s="940" t="str">
        <f t="shared" si="26"/>
        <v/>
      </c>
      <c r="P66" s="940"/>
      <c r="Q66" s="940" t="str">
        <f t="shared" si="27"/>
        <v/>
      </c>
      <c r="R66" s="940"/>
      <c r="S66" s="940" t="str">
        <f t="shared" si="27"/>
        <v/>
      </c>
      <c r="T66" s="929"/>
      <c r="U66" s="929"/>
      <c r="V66" s="930"/>
      <c r="W66" s="931"/>
      <c r="X66" s="931"/>
      <c r="Y66" s="932"/>
      <c r="Z66" s="933"/>
    </row>
    <row r="67" spans="2:26" ht="63.75">
      <c r="B67" s="921" t="str">
        <f>+PRESUPUESTO!B67</f>
        <v>12.1.</v>
      </c>
      <c r="C67" s="924" t="str">
        <f>+PRESUPUESTO!C67</f>
        <v>Suministro e instalación de cielo raso en lamina de super board 6mm. Incluye perfilería de soporte con estructura de acero galvanizado, rolado en frio calibre 26. masillado,  juntas de control plasticas ("Z" y "U"),  refuerzo en estructura y corte de lamina para claraboyas de inspección de 0,60*0,60 m, lijado y todos los materiales, accesorios y obras necesarias para su correcta instalación y funcionamiento</v>
      </c>
      <c r="D67" s="923" t="str">
        <f>+PRESUPUESTO!D67</f>
        <v>M2</v>
      </c>
      <c r="E67" s="914" t="e">
        <f>+#REF!</f>
        <v>#REF!</v>
      </c>
      <c r="F67" s="915">
        <v>81536</v>
      </c>
      <c r="G67" s="914">
        <f t="shared" si="22"/>
        <v>91345</v>
      </c>
      <c r="H67" s="915"/>
      <c r="I67" s="914" t="str">
        <f t="shared" si="23"/>
        <v/>
      </c>
      <c r="J67" s="915"/>
      <c r="K67" s="914" t="str">
        <f t="shared" si="24"/>
        <v/>
      </c>
      <c r="L67" s="915"/>
      <c r="M67" s="914" t="str">
        <f t="shared" si="25"/>
        <v/>
      </c>
      <c r="N67" s="915"/>
      <c r="O67" s="914" t="str">
        <f t="shared" si="26"/>
        <v/>
      </c>
      <c r="P67" s="915"/>
      <c r="Q67" s="914" t="str">
        <f t="shared" si="27"/>
        <v/>
      </c>
      <c r="R67" s="915"/>
      <c r="S67" s="914" t="str">
        <f t="shared" si="27"/>
        <v/>
      </c>
      <c r="T67" s="916" t="e">
        <f t="shared" si="15"/>
        <v>#REF!</v>
      </c>
      <c r="U67" s="916" t="e">
        <f t="shared" si="16"/>
        <v>#REF!</v>
      </c>
      <c r="V67" s="917" t="e">
        <f t="shared" si="17"/>
        <v>#REF!</v>
      </c>
      <c r="W67" s="918" t="e">
        <f t="shared" si="18"/>
        <v>#REF!</v>
      </c>
      <c r="X67" s="918" t="e">
        <f t="shared" si="19"/>
        <v>#REF!</v>
      </c>
      <c r="Y67" s="919" t="e">
        <f t="shared" si="20"/>
        <v>#REF!</v>
      </c>
      <c r="Z67" s="920" t="e">
        <f t="shared" si="21"/>
        <v>#REF!</v>
      </c>
    </row>
    <row r="68" spans="2:26" ht="51">
      <c r="B68" s="921" t="str">
        <f>+PRESUPUESTO!B68</f>
        <v>12.2</v>
      </c>
      <c r="C68" s="922" t="str">
        <f>+PRESUPUESTO!C68</f>
        <v>Suministro e instalación de cielo raso en lamina de super board 6mm sin estructura Incluye masillado,  juntas de control plasticas ("Z" y "U"), refuerzo en estructura y corte de lamina para claraboyas de inspección de 0,60*0,60 m,lijado y todos los materiales, accesorios y obras necesarias para su correcta instalación y funcionamiento</v>
      </c>
      <c r="D68" s="923" t="str">
        <f>+PRESUPUESTO!D68</f>
        <v>M2</v>
      </c>
      <c r="E68" s="914" t="e">
        <f>+#REF!</f>
        <v>#REF!</v>
      </c>
      <c r="F68" s="915"/>
      <c r="G68" s="914" t="str">
        <f t="shared" si="22"/>
        <v/>
      </c>
      <c r="H68" s="915"/>
      <c r="I68" s="914" t="str">
        <f t="shared" si="23"/>
        <v/>
      </c>
      <c r="J68" s="915"/>
      <c r="K68" s="914" t="str">
        <f t="shared" si="24"/>
        <v/>
      </c>
      <c r="L68" s="915"/>
      <c r="M68" s="914" t="str">
        <f t="shared" si="25"/>
        <v/>
      </c>
      <c r="N68" s="915"/>
      <c r="O68" s="914" t="str">
        <f t="shared" si="26"/>
        <v/>
      </c>
      <c r="P68" s="915"/>
      <c r="Q68" s="914" t="str">
        <f t="shared" si="27"/>
        <v/>
      </c>
      <c r="R68" s="915"/>
      <c r="S68" s="914" t="str">
        <f t="shared" si="27"/>
        <v/>
      </c>
      <c r="T68" s="916"/>
      <c r="U68" s="916" t="e">
        <f t="shared" ref="U68:U118" si="28">AVERAGE(E68,G68,I68,K68,M68,O68,Q68,S68)</f>
        <v>#REF!</v>
      </c>
      <c r="V68" s="917" t="e">
        <f t="shared" ref="V68:V118" si="29">(T68/U68)</f>
        <v>#REF!</v>
      </c>
      <c r="W68" s="918" t="e">
        <f t="shared" ref="W68:W118" si="30">+ROUND(GEOMEAN(E68,G68,I68,K68,M68,O68,Q68,S68),0)</f>
        <v>#REF!</v>
      </c>
      <c r="X68" s="918" t="e">
        <f t="shared" ref="X68:X118" si="31">ROUND(HARMEAN(E68,G68,I68,K68,M68,O68,Q68,S68),0)</f>
        <v>#REF!</v>
      </c>
      <c r="Y68" s="919" t="e">
        <f t="shared" ref="Y68:Y118" si="32">IF(V68&gt;=30%,"ARMONICA","GEOMETRICA")</f>
        <v>#REF!</v>
      </c>
      <c r="Z68" s="920" t="e">
        <f t="shared" ref="Z68:Z118" si="33">IF(V68&gt;30%,X68,W68)</f>
        <v>#REF!</v>
      </c>
    </row>
    <row r="69" spans="2:26" ht="38.25">
      <c r="B69" s="921" t="str">
        <f>+PRESUPUESTO!B69</f>
        <v>12.3.</v>
      </c>
      <c r="C69" s="922" t="str">
        <f>+PRESUPUESTO!C69</f>
        <v>Escotillas de cielorraso  20 X 20 cm compuesto por tapa de inspección Acusticielos y marco para cielorasos Acusticielos. Incluye corte superboard, aseguramiento, remates y todos los materiales para su instalación</v>
      </c>
      <c r="D69" s="923" t="str">
        <f>+PRESUPUESTO!D69</f>
        <v>UN</v>
      </c>
      <c r="E69" s="914" t="e">
        <f>+#REF!</f>
        <v>#REF!</v>
      </c>
      <c r="F69" s="915"/>
      <c r="G69" s="914" t="str">
        <f t="shared" si="22"/>
        <v/>
      </c>
      <c r="H69" s="915"/>
      <c r="I69" s="914" t="str">
        <f t="shared" si="23"/>
        <v/>
      </c>
      <c r="J69" s="915"/>
      <c r="K69" s="914" t="str">
        <f t="shared" si="24"/>
        <v/>
      </c>
      <c r="L69" s="915"/>
      <c r="M69" s="914" t="str">
        <f t="shared" si="25"/>
        <v/>
      </c>
      <c r="N69" s="915"/>
      <c r="O69" s="914" t="str">
        <f t="shared" si="26"/>
        <v/>
      </c>
      <c r="P69" s="915"/>
      <c r="Q69" s="914" t="str">
        <f t="shared" si="27"/>
        <v/>
      </c>
      <c r="R69" s="915"/>
      <c r="S69" s="914" t="str">
        <f t="shared" si="27"/>
        <v/>
      </c>
      <c r="T69" s="916"/>
      <c r="U69" s="916" t="e">
        <f t="shared" si="28"/>
        <v>#REF!</v>
      </c>
      <c r="V69" s="917" t="e">
        <f t="shared" si="29"/>
        <v>#REF!</v>
      </c>
      <c r="W69" s="918" t="e">
        <f t="shared" si="30"/>
        <v>#REF!</v>
      </c>
      <c r="X69" s="918" t="e">
        <f t="shared" si="31"/>
        <v>#REF!</v>
      </c>
      <c r="Y69" s="919" t="e">
        <f t="shared" si="32"/>
        <v>#REF!</v>
      </c>
      <c r="Z69" s="920" t="e">
        <f t="shared" si="33"/>
        <v>#REF!</v>
      </c>
    </row>
    <row r="70" spans="2:26" ht="38.25">
      <c r="B70" s="921" t="str">
        <f>+PRESUPUESTO!B70</f>
        <v>12.4.</v>
      </c>
      <c r="C70" s="922" t="str">
        <f>+PRESUPUESTO!C70</f>
        <v>Escotillas de cielorraso  60 x 60 cm compuesto por tapa de inspección Acusticielos y marco para cielorasos Acusticielos. Incluye corte superboard, aseguramiento, remates y todos los materiales para su instalación</v>
      </c>
      <c r="D70" s="923" t="str">
        <f>+PRESUPUESTO!D70</f>
        <v>UN</v>
      </c>
      <c r="E70" s="914" t="e">
        <f>+#REF!</f>
        <v>#REF!</v>
      </c>
      <c r="F70" s="915"/>
      <c r="G70" s="914" t="str">
        <f t="shared" si="22"/>
        <v/>
      </c>
      <c r="H70" s="915"/>
      <c r="I70" s="914" t="str">
        <f t="shared" si="23"/>
        <v/>
      </c>
      <c r="J70" s="915"/>
      <c r="K70" s="914" t="str">
        <f t="shared" si="24"/>
        <v/>
      </c>
      <c r="L70" s="915"/>
      <c r="M70" s="914" t="str">
        <f t="shared" si="25"/>
        <v/>
      </c>
      <c r="N70" s="915"/>
      <c r="O70" s="914" t="str">
        <f t="shared" si="26"/>
        <v/>
      </c>
      <c r="P70" s="915"/>
      <c r="Q70" s="914" t="str">
        <f t="shared" si="27"/>
        <v/>
      </c>
      <c r="R70" s="915"/>
      <c r="S70" s="914" t="str">
        <f t="shared" si="27"/>
        <v/>
      </c>
      <c r="T70" s="916"/>
      <c r="U70" s="916" t="e">
        <f t="shared" si="28"/>
        <v>#REF!</v>
      </c>
      <c r="V70" s="917" t="e">
        <f t="shared" si="29"/>
        <v>#REF!</v>
      </c>
      <c r="W70" s="918" t="e">
        <f t="shared" si="30"/>
        <v>#REF!</v>
      </c>
      <c r="X70" s="918" t="e">
        <f t="shared" si="31"/>
        <v>#REF!</v>
      </c>
      <c r="Y70" s="919" t="e">
        <f t="shared" si="32"/>
        <v>#REF!</v>
      </c>
      <c r="Z70" s="920" t="e">
        <f t="shared" si="33"/>
        <v>#REF!</v>
      </c>
    </row>
    <row r="71" spans="2:26">
      <c r="B71" s="921" t="str">
        <f>+PRESUPUESTO!B71</f>
        <v>12.5.</v>
      </c>
      <c r="C71" s="924" t="str">
        <f>+PRESUPUESTO!C71</f>
        <v>Laminas acrílicas difusora de luz para claraboyas. Incluye corte e instalación en marcos existentes</v>
      </c>
      <c r="D71" s="923" t="str">
        <f>+PRESUPUESTO!D71</f>
        <v>M2</v>
      </c>
      <c r="E71" s="914" t="e">
        <f>+#REF!</f>
        <v>#REF!</v>
      </c>
      <c r="F71" s="915"/>
      <c r="G71" s="914" t="str">
        <f t="shared" si="22"/>
        <v/>
      </c>
      <c r="H71" s="915"/>
      <c r="I71" s="914" t="str">
        <f t="shared" si="23"/>
        <v/>
      </c>
      <c r="J71" s="915"/>
      <c r="K71" s="914" t="str">
        <f t="shared" si="24"/>
        <v/>
      </c>
      <c r="L71" s="915"/>
      <c r="M71" s="914" t="str">
        <f t="shared" si="25"/>
        <v/>
      </c>
      <c r="N71" s="915"/>
      <c r="O71" s="914" t="str">
        <f t="shared" si="26"/>
        <v/>
      </c>
      <c r="P71" s="915"/>
      <c r="Q71" s="914" t="str">
        <f t="shared" si="27"/>
        <v/>
      </c>
      <c r="R71" s="915"/>
      <c r="S71" s="914" t="str">
        <f t="shared" si="27"/>
        <v/>
      </c>
      <c r="T71" s="916"/>
      <c r="U71" s="916" t="e">
        <f t="shared" si="28"/>
        <v>#REF!</v>
      </c>
      <c r="V71" s="917" t="e">
        <f t="shared" si="29"/>
        <v>#REF!</v>
      </c>
      <c r="W71" s="918" t="e">
        <f t="shared" si="30"/>
        <v>#REF!</v>
      </c>
      <c r="X71" s="918" t="e">
        <f t="shared" si="31"/>
        <v>#REF!</v>
      </c>
      <c r="Y71" s="919" t="e">
        <f t="shared" si="32"/>
        <v>#REF!</v>
      </c>
      <c r="Z71" s="920" t="e">
        <f t="shared" si="33"/>
        <v>#REF!</v>
      </c>
    </row>
    <row r="72" spans="2:26" ht="25.5">
      <c r="B72" s="921" t="str">
        <f>+PRESUPUESTO!B72</f>
        <v>12.6.</v>
      </c>
      <c r="C72" s="924" t="str">
        <f>+PRESUPUESTO!C72</f>
        <v>Suministro e instalación de tapa registros plasticos de 20 x 20 cms. Incluye corte superboard, pegante, remates y materiales para su instalación</v>
      </c>
      <c r="D72" s="923" t="str">
        <f>+PRESUPUESTO!D72</f>
        <v>UN</v>
      </c>
      <c r="E72" s="914" t="e">
        <f>+#REF!</f>
        <v>#REF!</v>
      </c>
      <c r="F72" s="915"/>
      <c r="G72" s="914" t="str">
        <f t="shared" si="22"/>
        <v/>
      </c>
      <c r="H72" s="915"/>
      <c r="I72" s="914" t="str">
        <f t="shared" si="23"/>
        <v/>
      </c>
      <c r="J72" s="915"/>
      <c r="K72" s="914" t="str">
        <f t="shared" si="24"/>
        <v/>
      </c>
      <c r="L72" s="915"/>
      <c r="M72" s="914" t="str">
        <f t="shared" si="25"/>
        <v/>
      </c>
      <c r="N72" s="915"/>
      <c r="O72" s="914" t="str">
        <f t="shared" si="26"/>
        <v/>
      </c>
      <c r="P72" s="915"/>
      <c r="Q72" s="914" t="str">
        <f t="shared" si="27"/>
        <v/>
      </c>
      <c r="R72" s="915">
        <v>25314</v>
      </c>
      <c r="S72" s="914">
        <f t="shared" si="27"/>
        <v>28212</v>
      </c>
      <c r="T72" s="916" t="e">
        <f t="shared" ref="T72:T113" si="34">_xlfn.STDEV.S(E72,G72,I72,K72,M72,O72,Q72,S72)</f>
        <v>#REF!</v>
      </c>
      <c r="U72" s="916" t="e">
        <f t="shared" si="28"/>
        <v>#REF!</v>
      </c>
      <c r="V72" s="917" t="e">
        <f t="shared" si="29"/>
        <v>#REF!</v>
      </c>
      <c r="W72" s="918" t="e">
        <f t="shared" si="30"/>
        <v>#REF!</v>
      </c>
      <c r="X72" s="918" t="e">
        <f t="shared" si="31"/>
        <v>#REF!</v>
      </c>
      <c r="Y72" s="919" t="e">
        <f t="shared" si="32"/>
        <v>#REF!</v>
      </c>
      <c r="Z72" s="920" t="e">
        <f t="shared" si="33"/>
        <v>#REF!</v>
      </c>
    </row>
    <row r="73" spans="2:26" ht="38.25">
      <c r="B73" s="921" t="str">
        <f>+PRESUPUESTO!B73</f>
        <v>12.7.</v>
      </c>
      <c r="C73" s="922" t="str">
        <f>+PRESUPUESTO!C73</f>
        <v>Marco aluminio blanco para instalación de luminarias en cielorasos en drywall y superboard. Incluye corte drywall o superboard, aseguramiento laterales con perfiles en U y todos los materiales para su instalación</v>
      </c>
      <c r="D73" s="923" t="str">
        <f>+PRESUPUESTO!D73</f>
        <v>UN</v>
      </c>
      <c r="E73" s="914" t="e">
        <f>+#REF!</f>
        <v>#REF!</v>
      </c>
      <c r="F73" s="915"/>
      <c r="G73" s="914" t="str">
        <f t="shared" si="22"/>
        <v/>
      </c>
      <c r="H73" s="915"/>
      <c r="I73" s="914" t="str">
        <f t="shared" si="23"/>
        <v/>
      </c>
      <c r="J73" s="915"/>
      <c r="K73" s="914" t="str">
        <f t="shared" si="24"/>
        <v/>
      </c>
      <c r="L73" s="915"/>
      <c r="M73" s="914" t="str">
        <f t="shared" si="25"/>
        <v/>
      </c>
      <c r="N73" s="915"/>
      <c r="O73" s="914" t="str">
        <f t="shared" si="26"/>
        <v/>
      </c>
      <c r="P73" s="915"/>
      <c r="Q73" s="914" t="str">
        <f t="shared" si="27"/>
        <v/>
      </c>
      <c r="R73" s="915"/>
      <c r="S73" s="914" t="str">
        <f t="shared" si="27"/>
        <v/>
      </c>
      <c r="T73" s="916"/>
      <c r="U73" s="916" t="e">
        <f t="shared" si="28"/>
        <v>#REF!</v>
      </c>
      <c r="V73" s="917" t="e">
        <f t="shared" si="29"/>
        <v>#REF!</v>
      </c>
      <c r="W73" s="918" t="e">
        <f t="shared" si="30"/>
        <v>#REF!</v>
      </c>
      <c r="X73" s="918" t="e">
        <f t="shared" si="31"/>
        <v>#REF!</v>
      </c>
      <c r="Y73" s="919" t="e">
        <f t="shared" si="32"/>
        <v>#REF!</v>
      </c>
      <c r="Z73" s="920" t="e">
        <f t="shared" si="33"/>
        <v>#REF!</v>
      </c>
    </row>
    <row r="74" spans="2:26" s="269" customFormat="1">
      <c r="B74" s="937">
        <f>+PRESUPUESTO!B74</f>
        <v>13</v>
      </c>
      <c r="C74" s="938" t="str">
        <f>+PRESUPUESTO!C74</f>
        <v>PUERTAS AUTOMATICAS - VIDRIOS</v>
      </c>
      <c r="D74" s="939">
        <f>+PRESUPUESTO!D74</f>
        <v>0</v>
      </c>
      <c r="E74" s="940"/>
      <c r="F74" s="940"/>
      <c r="G74" s="940" t="str">
        <f t="shared" si="22"/>
        <v/>
      </c>
      <c r="H74" s="940"/>
      <c r="I74" s="940" t="str">
        <f t="shared" si="23"/>
        <v/>
      </c>
      <c r="J74" s="940"/>
      <c r="K74" s="940" t="str">
        <f t="shared" si="24"/>
        <v/>
      </c>
      <c r="L74" s="940"/>
      <c r="M74" s="940" t="str">
        <f t="shared" si="25"/>
        <v/>
      </c>
      <c r="N74" s="940"/>
      <c r="O74" s="940" t="str">
        <f t="shared" si="26"/>
        <v/>
      </c>
      <c r="P74" s="940"/>
      <c r="Q74" s="940" t="str">
        <f t="shared" si="27"/>
        <v/>
      </c>
      <c r="R74" s="940"/>
      <c r="S74" s="940" t="str">
        <f t="shared" si="27"/>
        <v/>
      </c>
      <c r="T74" s="929"/>
      <c r="U74" s="929"/>
      <c r="V74" s="930"/>
      <c r="W74" s="931"/>
      <c r="X74" s="931"/>
      <c r="Y74" s="932"/>
      <c r="Z74" s="933"/>
    </row>
    <row r="75" spans="2:26" ht="51">
      <c r="B75" s="921" t="str">
        <f>+PRESUPUESTO!B75</f>
        <v>13.1.</v>
      </c>
      <c r="C75" s="922" t="str">
        <f>+PRESUPUESTO!C75</f>
        <v>Suministro e instalación de puerta enrrollable eléctrica de fleje cerrado calibre 22 con pintura electrostática, operador hulk uso industrial, con botonera pesada de control, posibilidad de apertura manual, con dos (2) fotoceldas antiaplastamiento Tamaño del vano (paso libre) de 2.15 ancho x 2.35 alto. La altura libre del espacio es de 2.87 m. Plano No. 4</v>
      </c>
      <c r="D75" s="923" t="str">
        <f>+PRESUPUESTO!D75</f>
        <v>UN</v>
      </c>
      <c r="E75" s="914" t="e">
        <f>+#REF!</f>
        <v>#REF!</v>
      </c>
      <c r="F75" s="915"/>
      <c r="G75" s="914" t="str">
        <f t="shared" si="22"/>
        <v/>
      </c>
      <c r="H75" s="915"/>
      <c r="I75" s="914" t="str">
        <f t="shared" si="23"/>
        <v/>
      </c>
      <c r="J75" s="915"/>
      <c r="K75" s="914" t="str">
        <f t="shared" si="24"/>
        <v/>
      </c>
      <c r="L75" s="915"/>
      <c r="M75" s="914" t="str">
        <f t="shared" si="25"/>
        <v/>
      </c>
      <c r="N75" s="915"/>
      <c r="O75" s="914" t="str">
        <f t="shared" si="26"/>
        <v/>
      </c>
      <c r="P75" s="915"/>
      <c r="Q75" s="914" t="str">
        <f t="shared" si="27"/>
        <v/>
      </c>
      <c r="R75" s="915"/>
      <c r="S75" s="914" t="str">
        <f t="shared" si="27"/>
        <v/>
      </c>
      <c r="T75" s="916"/>
      <c r="U75" s="916" t="e">
        <f t="shared" si="28"/>
        <v>#REF!</v>
      </c>
      <c r="V75" s="917" t="e">
        <f t="shared" si="29"/>
        <v>#REF!</v>
      </c>
      <c r="W75" s="918" t="e">
        <f t="shared" si="30"/>
        <v>#REF!</v>
      </c>
      <c r="X75" s="918" t="e">
        <f t="shared" si="31"/>
        <v>#REF!</v>
      </c>
      <c r="Y75" s="919" t="e">
        <f t="shared" si="32"/>
        <v>#REF!</v>
      </c>
      <c r="Z75" s="920" t="e">
        <f t="shared" si="33"/>
        <v>#REF!</v>
      </c>
    </row>
    <row r="76" spans="2:26" ht="96" customHeight="1">
      <c r="B76" s="921" t="str">
        <f>+PRESUPUESTO!B76</f>
        <v>13.2.</v>
      </c>
      <c r="C76" s="924" t="str">
        <f>+PRESUPUESTO!C76</f>
        <v>Suministro e instalación de puerta  automatica  sencilla de 1 hoja corrediza lateral en vidrio laminado 5+5 templado con PVB color hielo, operador (Componente de automatismo de la puerta:  motor, programación,  carros deslizantes, riel, baterias, tarjeta electrónica, pestillo (Seguro) electromecánico, banda deslizante, correas, poleas, ets.), zocalos inferior y superior en aluminio, con sensores de movimiento de entrada y salida, fotoceldas de seguridad, baterías de respaldo, dos controles remotos, selector de llave de cuatro posiciones.  Tamaño Vano (paso libre) ancho 1.50 m y alto 2.35 m. Acceso morgue. Plano No. 5</v>
      </c>
      <c r="D76" s="923" t="str">
        <f>+PRESUPUESTO!D76</f>
        <v>UN</v>
      </c>
      <c r="E76" s="914" t="e">
        <f>+#REF!</f>
        <v>#REF!</v>
      </c>
      <c r="F76" s="915">
        <v>17294774</v>
      </c>
      <c r="G76" s="914">
        <f t="shared" si="22"/>
        <v>19375335</v>
      </c>
      <c r="H76" s="915"/>
      <c r="I76" s="914" t="str">
        <f t="shared" si="23"/>
        <v/>
      </c>
      <c r="J76" s="915"/>
      <c r="K76" s="914" t="str">
        <f t="shared" si="24"/>
        <v/>
      </c>
      <c r="L76" s="915"/>
      <c r="M76" s="914" t="str">
        <f t="shared" si="25"/>
        <v/>
      </c>
      <c r="N76" s="915"/>
      <c r="O76" s="914" t="str">
        <f t="shared" si="26"/>
        <v/>
      </c>
      <c r="P76" s="915"/>
      <c r="Q76" s="914" t="str">
        <f t="shared" si="27"/>
        <v/>
      </c>
      <c r="R76" s="915"/>
      <c r="S76" s="914" t="str">
        <f t="shared" si="27"/>
        <v/>
      </c>
      <c r="T76" s="916" t="e">
        <f t="shared" si="34"/>
        <v>#REF!</v>
      </c>
      <c r="U76" s="916" t="e">
        <f t="shared" si="28"/>
        <v>#REF!</v>
      </c>
      <c r="V76" s="917" t="e">
        <f t="shared" si="29"/>
        <v>#REF!</v>
      </c>
      <c r="W76" s="918" t="e">
        <f t="shared" si="30"/>
        <v>#REF!</v>
      </c>
      <c r="X76" s="918" t="e">
        <f t="shared" si="31"/>
        <v>#REF!</v>
      </c>
      <c r="Y76" s="919" t="e">
        <f t="shared" si="32"/>
        <v>#REF!</v>
      </c>
      <c r="Z76" s="920" t="e">
        <f t="shared" si="33"/>
        <v>#REF!</v>
      </c>
    </row>
    <row r="77" spans="2:26" ht="69.75" customHeight="1">
      <c r="B77" s="921" t="str">
        <f>+PRESUPUESTO!B77</f>
        <v>13.3.</v>
      </c>
      <c r="C77" s="924" t="str">
        <f>+PRESUPUESTO!C77</f>
        <v>Suministro e instalacion de división en vidrio templado 10 mm   altura 2.10 m soportada en postes  de acero inoxidable 2.5" anclados con brida y chazos expansivos a piso y muros.  Incluye soporte de vidrios en acero inoxidable, puerta de hoja sencilla en vidrio templado 10 mm  soportada sobre poste en acero inoxidable 2.5 "con bisagra evolvente, con portacerradura y  cerradura de palanca Yale o Schlage. Recepción clínica. Palno No. 6</v>
      </c>
      <c r="D77" s="923" t="str">
        <f>+PRESUPUESTO!D77</f>
        <v>M2</v>
      </c>
      <c r="E77" s="914" t="e">
        <f>+#REF!</f>
        <v>#REF!</v>
      </c>
      <c r="F77" s="915"/>
      <c r="G77" s="914" t="str">
        <f t="shared" si="22"/>
        <v/>
      </c>
      <c r="H77" s="915">
        <v>1068819</v>
      </c>
      <c r="I77" s="914">
        <f t="shared" si="23"/>
        <v>1113496</v>
      </c>
      <c r="J77" s="915"/>
      <c r="K77" s="914" t="str">
        <f t="shared" si="24"/>
        <v/>
      </c>
      <c r="L77" s="915"/>
      <c r="M77" s="914" t="str">
        <f t="shared" si="25"/>
        <v/>
      </c>
      <c r="N77" s="915"/>
      <c r="O77" s="914" t="str">
        <f t="shared" si="26"/>
        <v/>
      </c>
      <c r="P77" s="915"/>
      <c r="Q77" s="914" t="str">
        <f t="shared" si="27"/>
        <v/>
      </c>
      <c r="R77" s="915"/>
      <c r="S77" s="914" t="str">
        <f t="shared" si="27"/>
        <v/>
      </c>
      <c r="T77" s="916" t="e">
        <f t="shared" si="34"/>
        <v>#REF!</v>
      </c>
      <c r="U77" s="916" t="e">
        <f t="shared" si="28"/>
        <v>#REF!</v>
      </c>
      <c r="V77" s="917" t="e">
        <f t="shared" si="29"/>
        <v>#REF!</v>
      </c>
      <c r="W77" s="918" t="e">
        <f t="shared" si="30"/>
        <v>#REF!</v>
      </c>
      <c r="X77" s="918" t="e">
        <f t="shared" si="31"/>
        <v>#REF!</v>
      </c>
      <c r="Y77" s="919" t="e">
        <f t="shared" si="32"/>
        <v>#REF!</v>
      </c>
      <c r="Z77" s="920" t="e">
        <f t="shared" si="33"/>
        <v>#REF!</v>
      </c>
    </row>
    <row r="78" spans="2:26" s="269" customFormat="1">
      <c r="B78" s="937">
        <f>+PRESUPUESTO!B78</f>
        <v>14</v>
      </c>
      <c r="C78" s="938" t="str">
        <f>+PRESUPUESTO!C78</f>
        <v xml:space="preserve">CARPINTERÍA METALICA </v>
      </c>
      <c r="D78" s="939">
        <f>+PRESUPUESTO!D78</f>
        <v>0</v>
      </c>
      <c r="E78" s="940"/>
      <c r="F78" s="940"/>
      <c r="G78" s="940" t="str">
        <f t="shared" si="22"/>
        <v/>
      </c>
      <c r="H78" s="940"/>
      <c r="I78" s="940" t="str">
        <f t="shared" si="23"/>
        <v/>
      </c>
      <c r="J78" s="940"/>
      <c r="K78" s="940" t="str">
        <f t="shared" si="24"/>
        <v/>
      </c>
      <c r="L78" s="940"/>
      <c r="M78" s="940" t="str">
        <f t="shared" si="25"/>
        <v/>
      </c>
      <c r="N78" s="940"/>
      <c r="O78" s="940" t="str">
        <f t="shared" si="26"/>
        <v/>
      </c>
      <c r="P78" s="940"/>
      <c r="Q78" s="940" t="str">
        <f t="shared" si="27"/>
        <v/>
      </c>
      <c r="R78" s="940"/>
      <c r="S78" s="940" t="str">
        <f t="shared" si="27"/>
        <v/>
      </c>
      <c r="T78" s="929"/>
      <c r="U78" s="929"/>
      <c r="V78" s="930"/>
      <c r="W78" s="931"/>
      <c r="X78" s="931"/>
      <c r="Y78" s="932"/>
      <c r="Z78" s="933"/>
    </row>
    <row r="79" spans="2:26" ht="25.5">
      <c r="B79" s="921" t="str">
        <f>+PRESUPUESTO!B79</f>
        <v>14.1.</v>
      </c>
      <c r="C79" s="924" t="str">
        <f>+PRESUPUESTO!C79</f>
        <v>Esquineros en angulo de aluminio cepillado color natural 2"x2" espesor 3/16" H=1.0 m, anclados a los muros mediante chazos expansivos 5/16 " ,Tornillo Avellanado de 1 1/4"</v>
      </c>
      <c r="D79" s="923" t="str">
        <f>+PRESUPUESTO!D79</f>
        <v>ML</v>
      </c>
      <c r="E79" s="914" t="e">
        <f>+#REF!</f>
        <v>#REF!</v>
      </c>
      <c r="F79" s="915">
        <v>49547</v>
      </c>
      <c r="G79" s="914">
        <f t="shared" si="22"/>
        <v>55508</v>
      </c>
      <c r="H79" s="915"/>
      <c r="I79" s="914" t="str">
        <f t="shared" si="23"/>
        <v/>
      </c>
      <c r="J79" s="915"/>
      <c r="K79" s="914" t="str">
        <f t="shared" si="24"/>
        <v/>
      </c>
      <c r="L79" s="915"/>
      <c r="M79" s="914" t="str">
        <f t="shared" si="25"/>
        <v/>
      </c>
      <c r="N79" s="915"/>
      <c r="O79" s="914" t="str">
        <f t="shared" si="26"/>
        <v/>
      </c>
      <c r="P79" s="915"/>
      <c r="Q79" s="914" t="str">
        <f t="shared" si="27"/>
        <v/>
      </c>
      <c r="R79" s="915"/>
      <c r="S79" s="914" t="str">
        <f t="shared" si="27"/>
        <v/>
      </c>
      <c r="T79" s="916" t="e">
        <f t="shared" si="34"/>
        <v>#REF!</v>
      </c>
      <c r="U79" s="916" t="e">
        <f t="shared" si="28"/>
        <v>#REF!</v>
      </c>
      <c r="V79" s="917" t="e">
        <f t="shared" si="29"/>
        <v>#REF!</v>
      </c>
      <c r="W79" s="918" t="e">
        <f t="shared" si="30"/>
        <v>#REF!</v>
      </c>
      <c r="X79" s="918" t="e">
        <f t="shared" si="31"/>
        <v>#REF!</v>
      </c>
      <c r="Y79" s="919" t="e">
        <f t="shared" si="32"/>
        <v>#REF!</v>
      </c>
      <c r="Z79" s="920" t="e">
        <f t="shared" si="33"/>
        <v>#REF!</v>
      </c>
    </row>
    <row r="80" spans="2:26" ht="55.5" customHeight="1">
      <c r="B80" s="921" t="str">
        <f>+PRESUPUESTO!B80</f>
        <v>14.2.</v>
      </c>
      <c r="C80" s="924" t="str">
        <f>+PRESUPUESTO!C80</f>
        <v>Suministro e instalación de flanches en lamina galvanizada cal 24, desarrollo 22.5 cm (2.5 - 15 - 5 cm) , incluye anclaje superior y lateral con tornillo cabeza hexagonal con arandela y empaque de neopreno punta broca 10 x 1 1/2" cada 30 cms. Incluye desmonte de flanches existentes (Zona 1-1, Zona 1-2 , Zona 1-3 y Zona 2-1) Plano No. 7</v>
      </c>
      <c r="D80" s="923" t="str">
        <f>+PRESUPUESTO!D80</f>
        <v>ML</v>
      </c>
      <c r="E80" s="914" t="e">
        <f>+#REF!</f>
        <v>#REF!</v>
      </c>
      <c r="F80" s="915">
        <v>27071</v>
      </c>
      <c r="G80" s="914">
        <f t="shared" si="22"/>
        <v>30328</v>
      </c>
      <c r="H80" s="915">
        <v>26314</v>
      </c>
      <c r="I80" s="914">
        <f t="shared" si="23"/>
        <v>27414</v>
      </c>
      <c r="J80" s="915"/>
      <c r="K80" s="914" t="str">
        <f t="shared" si="24"/>
        <v/>
      </c>
      <c r="L80" s="915"/>
      <c r="M80" s="914" t="str">
        <f t="shared" si="25"/>
        <v/>
      </c>
      <c r="N80" s="915"/>
      <c r="O80" s="914" t="str">
        <f t="shared" si="26"/>
        <v/>
      </c>
      <c r="P80" s="915"/>
      <c r="Q80" s="914" t="str">
        <f t="shared" si="27"/>
        <v/>
      </c>
      <c r="R80" s="915"/>
      <c r="S80" s="914" t="str">
        <f t="shared" si="27"/>
        <v/>
      </c>
      <c r="T80" s="916" t="e">
        <f t="shared" si="34"/>
        <v>#REF!</v>
      </c>
      <c r="U80" s="916" t="e">
        <f t="shared" si="28"/>
        <v>#REF!</v>
      </c>
      <c r="V80" s="917" t="e">
        <f t="shared" si="29"/>
        <v>#REF!</v>
      </c>
      <c r="W80" s="918" t="e">
        <f t="shared" si="30"/>
        <v>#REF!</v>
      </c>
      <c r="X80" s="918" t="e">
        <f t="shared" si="31"/>
        <v>#REF!</v>
      </c>
      <c r="Y80" s="919" t="e">
        <f t="shared" si="32"/>
        <v>#REF!</v>
      </c>
      <c r="Z80" s="920" t="e">
        <f t="shared" si="33"/>
        <v>#REF!</v>
      </c>
    </row>
    <row r="81" spans="2:26" ht="38.25">
      <c r="B81" s="921" t="str">
        <f>+PRESUPUESTO!B81</f>
        <v>14.3.</v>
      </c>
      <c r="C81" s="922" t="str">
        <f>+PRESUPUESTO!C81</f>
        <v>Suministro e instalación de flanches en lamina galvanizada cal 24 desarrollo entre 0,45  y 1.00 m.  incluye anclajes con tornillo cabeza hexagonal con arandela y empaque de neopreno punta broca 10 x 1 1/2" cada 30 cms. Incluye desmonte de flanches existentes (Zona 1-1) Plano No. 7</v>
      </c>
      <c r="D81" s="923" t="str">
        <f>+PRESUPUESTO!D81</f>
        <v>ML</v>
      </c>
      <c r="E81" s="914" t="e">
        <f>+#REF!</f>
        <v>#REF!</v>
      </c>
      <c r="F81" s="915"/>
      <c r="G81" s="914" t="str">
        <f t="shared" si="22"/>
        <v/>
      </c>
      <c r="H81" s="915"/>
      <c r="I81" s="914" t="str">
        <f t="shared" si="23"/>
        <v/>
      </c>
      <c r="J81" s="915"/>
      <c r="K81" s="914" t="str">
        <f t="shared" si="24"/>
        <v/>
      </c>
      <c r="L81" s="915"/>
      <c r="M81" s="914" t="str">
        <f t="shared" si="25"/>
        <v/>
      </c>
      <c r="N81" s="915"/>
      <c r="O81" s="914" t="str">
        <f t="shared" si="26"/>
        <v/>
      </c>
      <c r="P81" s="915"/>
      <c r="Q81" s="914" t="str">
        <f t="shared" si="27"/>
        <v/>
      </c>
      <c r="R81" s="915"/>
      <c r="S81" s="914" t="str">
        <f t="shared" si="27"/>
        <v/>
      </c>
      <c r="T81" s="916"/>
      <c r="U81" s="916" t="e">
        <f t="shared" si="28"/>
        <v>#REF!</v>
      </c>
      <c r="V81" s="917" t="e">
        <f t="shared" si="29"/>
        <v>#REF!</v>
      </c>
      <c r="W81" s="918" t="e">
        <f t="shared" si="30"/>
        <v>#REF!</v>
      </c>
      <c r="X81" s="918" t="e">
        <f t="shared" si="31"/>
        <v>#REF!</v>
      </c>
      <c r="Y81" s="919" t="e">
        <f t="shared" si="32"/>
        <v>#REF!</v>
      </c>
      <c r="Z81" s="920" t="e">
        <f t="shared" si="33"/>
        <v>#REF!</v>
      </c>
    </row>
    <row r="82" spans="2:26" ht="49.5" customHeight="1">
      <c r="B82" s="921" t="str">
        <f>+PRESUPUESTO!B82</f>
        <v>14.4.</v>
      </c>
      <c r="C82" s="922" t="str">
        <f>+PRESUPUESTO!C82</f>
        <v>Suministro e instalación de flanches en lamina galvanizada cal 24, desarrollo 1.05 a 1.65 m, incluye anclajes con tornillo cabeza hexagonal con arandela y empaque de neopreno punta broca 10 x 1 1/2" cada 30 cms. Incluye desmonte de flanches existentes (Zona 1-2 , Zona 1-3 y Zona 2-1) Plano No. 7.</v>
      </c>
      <c r="D82" s="923" t="str">
        <f>+PRESUPUESTO!D82</f>
        <v>ML</v>
      </c>
      <c r="E82" s="914" t="e">
        <f>+#REF!</f>
        <v>#REF!</v>
      </c>
      <c r="F82" s="915"/>
      <c r="G82" s="914" t="str">
        <f t="shared" si="22"/>
        <v/>
      </c>
      <c r="H82" s="915"/>
      <c r="I82" s="914" t="str">
        <f t="shared" si="23"/>
        <v/>
      </c>
      <c r="J82" s="915"/>
      <c r="K82" s="914" t="str">
        <f t="shared" si="24"/>
        <v/>
      </c>
      <c r="L82" s="915"/>
      <c r="M82" s="914" t="str">
        <f t="shared" si="25"/>
        <v/>
      </c>
      <c r="N82" s="915"/>
      <c r="O82" s="914" t="str">
        <f t="shared" si="26"/>
        <v/>
      </c>
      <c r="P82" s="915"/>
      <c r="Q82" s="914" t="str">
        <f t="shared" si="27"/>
        <v/>
      </c>
      <c r="R82" s="915"/>
      <c r="S82" s="914" t="str">
        <f t="shared" si="27"/>
        <v/>
      </c>
      <c r="T82" s="916"/>
      <c r="U82" s="916" t="e">
        <f t="shared" si="28"/>
        <v>#REF!</v>
      </c>
      <c r="V82" s="917" t="e">
        <f t="shared" si="29"/>
        <v>#REF!</v>
      </c>
      <c r="W82" s="918" t="e">
        <f t="shared" si="30"/>
        <v>#REF!</v>
      </c>
      <c r="X82" s="918" t="e">
        <f t="shared" si="31"/>
        <v>#REF!</v>
      </c>
      <c r="Y82" s="919" t="e">
        <f t="shared" si="32"/>
        <v>#REF!</v>
      </c>
      <c r="Z82" s="920" t="e">
        <f t="shared" si="33"/>
        <v>#REF!</v>
      </c>
    </row>
    <row r="83" spans="2:26" ht="25.5">
      <c r="B83" s="921" t="str">
        <f>+PRESUPUESTO!B83</f>
        <v>14.5.</v>
      </c>
      <c r="C83" s="922" t="str">
        <f>+PRESUPUESTO!C83</f>
        <v>Tapa en lámina alfajor (caja frente a desechos) de 1/8" doblada en "C"  de 60 x  60 cm  aprox   manija sobrepuesta, anticorrosivo y dos manos de pintura esmalte. Plano No. 8</v>
      </c>
      <c r="D83" s="923" t="str">
        <f>+PRESUPUESTO!D83</f>
        <v>UN</v>
      </c>
      <c r="E83" s="914" t="e">
        <f>+#REF!</f>
        <v>#REF!</v>
      </c>
      <c r="F83" s="915"/>
      <c r="G83" s="914" t="str">
        <f t="shared" si="22"/>
        <v/>
      </c>
      <c r="H83" s="915"/>
      <c r="I83" s="914" t="str">
        <f t="shared" si="23"/>
        <v/>
      </c>
      <c r="J83" s="915"/>
      <c r="K83" s="914" t="str">
        <f t="shared" si="24"/>
        <v/>
      </c>
      <c r="L83" s="915"/>
      <c r="M83" s="914" t="str">
        <f t="shared" si="25"/>
        <v/>
      </c>
      <c r="N83" s="915"/>
      <c r="O83" s="914" t="str">
        <f t="shared" si="26"/>
        <v/>
      </c>
      <c r="P83" s="915"/>
      <c r="Q83" s="914" t="str">
        <f t="shared" si="27"/>
        <v/>
      </c>
      <c r="R83" s="915"/>
      <c r="S83" s="914" t="str">
        <f t="shared" si="27"/>
        <v/>
      </c>
      <c r="T83" s="916"/>
      <c r="U83" s="916" t="e">
        <f t="shared" si="28"/>
        <v>#REF!</v>
      </c>
      <c r="V83" s="917" t="e">
        <f t="shared" si="29"/>
        <v>#REF!</v>
      </c>
      <c r="W83" s="918" t="e">
        <f t="shared" si="30"/>
        <v>#REF!</v>
      </c>
      <c r="X83" s="918" t="e">
        <f t="shared" si="31"/>
        <v>#REF!</v>
      </c>
      <c r="Y83" s="919" t="e">
        <f t="shared" si="32"/>
        <v>#REF!</v>
      </c>
      <c r="Z83" s="920" t="e">
        <f t="shared" si="33"/>
        <v>#REF!</v>
      </c>
    </row>
    <row r="84" spans="2:26" ht="75.75" customHeight="1">
      <c r="B84" s="921" t="str">
        <f>+PRESUPUESTO!B84</f>
        <v>14.6.</v>
      </c>
      <c r="C84" s="922" t="str">
        <f>+PRESUPUESTO!C84</f>
        <v xml:space="preserve">Tapa en lámina alfajor (trampa de grasas) de 1/8" doblada en "C"  de 2.05 x 1.10 cm  aprox.  Dos compartimientos cada uno de dos hojas de 0.86 x 0.43 m aprox con contramarco de 1 1/4"  espesor 3/16"embebido con uñas de anclaje; Cada hoja con dos bisagras de pistón laterales de apertura 180° cada hoja,  manija soldada pibotadas sobrepuesta en la tapa, tapa luz en platina de 1" de 1/8",  anticorrosivo y dos manos de pintura esmalte. Plano No. 8
</v>
      </c>
      <c r="D84" s="923" t="str">
        <f>+PRESUPUESTO!D84</f>
        <v>ML</v>
      </c>
      <c r="E84" s="914" t="e">
        <f>+#REF!</f>
        <v>#REF!</v>
      </c>
      <c r="F84" s="915"/>
      <c r="G84" s="914" t="str">
        <f t="shared" si="22"/>
        <v/>
      </c>
      <c r="H84" s="915"/>
      <c r="I84" s="914" t="str">
        <f t="shared" si="23"/>
        <v/>
      </c>
      <c r="J84" s="915"/>
      <c r="K84" s="914" t="str">
        <f t="shared" si="24"/>
        <v/>
      </c>
      <c r="L84" s="915"/>
      <c r="M84" s="914" t="str">
        <f t="shared" si="25"/>
        <v/>
      </c>
      <c r="N84" s="915"/>
      <c r="O84" s="914" t="str">
        <f t="shared" si="26"/>
        <v/>
      </c>
      <c r="P84" s="915"/>
      <c r="Q84" s="914" t="str">
        <f t="shared" si="27"/>
        <v/>
      </c>
      <c r="R84" s="915"/>
      <c r="S84" s="914" t="str">
        <f t="shared" si="27"/>
        <v/>
      </c>
      <c r="T84" s="916"/>
      <c r="U84" s="916" t="e">
        <f t="shared" si="28"/>
        <v>#REF!</v>
      </c>
      <c r="V84" s="917" t="e">
        <f t="shared" si="29"/>
        <v>#REF!</v>
      </c>
      <c r="W84" s="918" t="e">
        <f t="shared" si="30"/>
        <v>#REF!</v>
      </c>
      <c r="X84" s="918" t="e">
        <f t="shared" si="31"/>
        <v>#REF!</v>
      </c>
      <c r="Y84" s="919" t="e">
        <f t="shared" si="32"/>
        <v>#REF!</v>
      </c>
      <c r="Z84" s="920" t="e">
        <f t="shared" si="33"/>
        <v>#REF!</v>
      </c>
    </row>
    <row r="85" spans="2:26" ht="51">
      <c r="B85" s="921" t="str">
        <f>+PRESUPUESTO!B85</f>
        <v>14.7.</v>
      </c>
      <c r="C85" s="922" t="str">
        <f>+PRESUPUESTO!C85</f>
        <v>Arreglo de cerramiento y puerta vehicular en reja  conformada por perfiles  tubulares 76  x 38 mm, ángulos 60 x 40 mm altura 2,15 m Incluye cambio de perfiles y angulos  corroidos, cambio de rodamientos y ruedas de pista, cambio de topes, anclajes y cualquier elemento corroido para dejar en correcto estado de funcionamiento</v>
      </c>
      <c r="D85" s="923" t="str">
        <f>+PRESUPUESTO!D85</f>
        <v>M2</v>
      </c>
      <c r="E85" s="914" t="e">
        <f>+#REF!</f>
        <v>#REF!</v>
      </c>
      <c r="F85" s="915"/>
      <c r="G85" s="914" t="str">
        <f t="shared" si="22"/>
        <v/>
      </c>
      <c r="H85" s="915"/>
      <c r="I85" s="914" t="str">
        <f t="shared" si="23"/>
        <v/>
      </c>
      <c r="J85" s="915"/>
      <c r="K85" s="914" t="str">
        <f t="shared" si="24"/>
        <v/>
      </c>
      <c r="L85" s="915"/>
      <c r="M85" s="914" t="str">
        <f t="shared" si="25"/>
        <v/>
      </c>
      <c r="N85" s="915"/>
      <c r="O85" s="914" t="str">
        <f t="shared" si="26"/>
        <v/>
      </c>
      <c r="P85" s="915"/>
      <c r="Q85" s="914" t="str">
        <f t="shared" si="27"/>
        <v/>
      </c>
      <c r="R85" s="915"/>
      <c r="S85" s="914" t="str">
        <f t="shared" si="27"/>
        <v/>
      </c>
      <c r="T85" s="916"/>
      <c r="U85" s="916" t="e">
        <f t="shared" si="28"/>
        <v>#REF!</v>
      </c>
      <c r="V85" s="917" t="e">
        <f t="shared" si="29"/>
        <v>#REF!</v>
      </c>
      <c r="W85" s="918" t="e">
        <f t="shared" si="30"/>
        <v>#REF!</v>
      </c>
      <c r="X85" s="918" t="e">
        <f t="shared" si="31"/>
        <v>#REF!</v>
      </c>
      <c r="Y85" s="919" t="e">
        <f t="shared" si="32"/>
        <v>#REF!</v>
      </c>
      <c r="Z85" s="920" t="e">
        <f t="shared" si="33"/>
        <v>#REF!</v>
      </c>
    </row>
    <row r="86" spans="2:26" ht="38.25">
      <c r="B86" s="921" t="str">
        <f>+PRESUPUESTO!B86</f>
        <v>14.8.</v>
      </c>
      <c r="C86" s="924" t="str">
        <f>+PRESUPUESTO!C86</f>
        <v xml:space="preserve">Suministro e instalacion de baranda protectora en  acero inoxidable  largo 1.60 x 1.20 alto marrco  1 1/2"  cal 16 y verticales en 3/4" ; Incluye soportes acero inoxidable para fijar en muro y piso. Plano No. 9. Acceso Morgue </v>
      </c>
      <c r="D86" s="923" t="str">
        <f>+PRESUPUESTO!D86</f>
        <v>UN</v>
      </c>
      <c r="E86" s="914" t="e">
        <f>+#REF!</f>
        <v>#REF!</v>
      </c>
      <c r="F86" s="915">
        <v>1507929</v>
      </c>
      <c r="G86" s="914">
        <f t="shared" si="22"/>
        <v>1689333</v>
      </c>
      <c r="H86" s="915"/>
      <c r="I86" s="914" t="str">
        <f t="shared" si="23"/>
        <v/>
      </c>
      <c r="J86" s="915"/>
      <c r="K86" s="914" t="str">
        <f t="shared" si="24"/>
        <v/>
      </c>
      <c r="L86" s="915"/>
      <c r="M86" s="914" t="str">
        <f t="shared" si="25"/>
        <v/>
      </c>
      <c r="N86" s="915"/>
      <c r="O86" s="914" t="str">
        <f t="shared" si="26"/>
        <v/>
      </c>
      <c r="P86" s="915"/>
      <c r="Q86" s="914" t="str">
        <f t="shared" si="27"/>
        <v/>
      </c>
      <c r="R86" s="915"/>
      <c r="S86" s="914" t="str">
        <f t="shared" si="27"/>
        <v/>
      </c>
      <c r="T86" s="916" t="e">
        <f t="shared" si="34"/>
        <v>#REF!</v>
      </c>
      <c r="U86" s="916" t="e">
        <f t="shared" si="28"/>
        <v>#REF!</v>
      </c>
      <c r="V86" s="917" t="e">
        <f t="shared" si="29"/>
        <v>#REF!</v>
      </c>
      <c r="W86" s="918" t="e">
        <f t="shared" si="30"/>
        <v>#REF!</v>
      </c>
      <c r="X86" s="918" t="e">
        <f t="shared" si="31"/>
        <v>#REF!</v>
      </c>
      <c r="Y86" s="919" t="e">
        <f t="shared" si="32"/>
        <v>#REF!</v>
      </c>
      <c r="Z86" s="920" t="e">
        <f t="shared" si="33"/>
        <v>#REF!</v>
      </c>
    </row>
    <row r="87" spans="2:26" ht="38.25">
      <c r="B87" s="921" t="str">
        <f>+PRESUPUESTO!B87</f>
        <v>14.9.</v>
      </c>
      <c r="C87" s="924" t="str">
        <f>+PRESUPUESTO!C87</f>
        <v>Suministro e instalación de concertina en acero inoxidable de 18"  cuchillas largas 6 cms sobre cerramiento existente en malla eslabonada. Incluye soportes, guaya con alma de acero, perros y tensores</v>
      </c>
      <c r="D87" s="923" t="str">
        <f>+PRESUPUESTO!D87</f>
        <v>ML</v>
      </c>
      <c r="E87" s="914" t="e">
        <f>+#REF!</f>
        <v>#REF!</v>
      </c>
      <c r="F87" s="915"/>
      <c r="G87" s="914" t="str">
        <f t="shared" si="22"/>
        <v/>
      </c>
      <c r="H87" s="915"/>
      <c r="I87" s="914" t="str">
        <f t="shared" si="23"/>
        <v/>
      </c>
      <c r="J87" s="915"/>
      <c r="K87" s="914" t="str">
        <f t="shared" si="24"/>
        <v/>
      </c>
      <c r="L87" s="915"/>
      <c r="M87" s="914" t="str">
        <f t="shared" si="25"/>
        <v/>
      </c>
      <c r="N87" s="915"/>
      <c r="O87" s="914" t="str">
        <f t="shared" si="26"/>
        <v/>
      </c>
      <c r="P87" s="915"/>
      <c r="Q87" s="914" t="str">
        <f t="shared" si="27"/>
        <v/>
      </c>
      <c r="R87" s="915"/>
      <c r="S87" s="914" t="str">
        <f t="shared" si="27"/>
        <v/>
      </c>
      <c r="T87" s="916"/>
      <c r="U87" s="916" t="e">
        <f t="shared" si="28"/>
        <v>#REF!</v>
      </c>
      <c r="V87" s="917" t="e">
        <f t="shared" si="29"/>
        <v>#REF!</v>
      </c>
      <c r="W87" s="918" t="e">
        <f t="shared" si="30"/>
        <v>#REF!</v>
      </c>
      <c r="X87" s="918" t="e">
        <f t="shared" si="31"/>
        <v>#REF!</v>
      </c>
      <c r="Y87" s="919" t="e">
        <f t="shared" si="32"/>
        <v>#REF!</v>
      </c>
      <c r="Z87" s="920" t="e">
        <f t="shared" si="33"/>
        <v>#REF!</v>
      </c>
    </row>
    <row r="88" spans="2:26" ht="51">
      <c r="B88" s="921" t="str">
        <f>+PRESUPUESTO!B88</f>
        <v>14.10.</v>
      </c>
      <c r="C88" s="922" t="str">
        <f>+PRESUPUESTO!C88</f>
        <v>Suminsitro e instalación de rejilla para carcamos fabricada en acero inoxidable de 0.30 m de ancho x 1.00 m de largo, con marco en tuberia cuadrada de 1" x 1" cal 16 , travesaños en tubería cuadrada de 1" x 1" cal 16, con espacio libre de 2 cms, con contramarco de 1 1/4" calibre 1/8"  fijado a estructura de concreto con uñas de 10 cms. Plano No. 10.</v>
      </c>
      <c r="D88" s="923" t="str">
        <f>+PRESUPUESTO!D88</f>
        <v>UN</v>
      </c>
      <c r="E88" s="914" t="e">
        <f>+#REF!</f>
        <v>#REF!</v>
      </c>
      <c r="F88" s="915"/>
      <c r="G88" s="914" t="str">
        <f t="shared" si="22"/>
        <v/>
      </c>
      <c r="H88" s="915"/>
      <c r="I88" s="914" t="str">
        <f t="shared" si="23"/>
        <v/>
      </c>
      <c r="J88" s="915"/>
      <c r="K88" s="914" t="str">
        <f t="shared" si="24"/>
        <v/>
      </c>
      <c r="L88" s="915"/>
      <c r="M88" s="914" t="str">
        <f t="shared" si="25"/>
        <v/>
      </c>
      <c r="N88" s="915"/>
      <c r="O88" s="914" t="str">
        <f t="shared" si="26"/>
        <v/>
      </c>
      <c r="P88" s="915"/>
      <c r="Q88" s="914" t="str">
        <f t="shared" si="27"/>
        <v/>
      </c>
      <c r="R88" s="915"/>
      <c r="S88" s="914" t="str">
        <f t="shared" si="27"/>
        <v/>
      </c>
      <c r="T88" s="916"/>
      <c r="U88" s="916" t="e">
        <f t="shared" si="28"/>
        <v>#REF!</v>
      </c>
      <c r="V88" s="917" t="e">
        <f t="shared" si="29"/>
        <v>#REF!</v>
      </c>
      <c r="W88" s="918" t="e">
        <f t="shared" si="30"/>
        <v>#REF!</v>
      </c>
      <c r="X88" s="918" t="e">
        <f t="shared" si="31"/>
        <v>#REF!</v>
      </c>
      <c r="Y88" s="919" t="e">
        <f t="shared" si="32"/>
        <v>#REF!</v>
      </c>
      <c r="Z88" s="920" t="e">
        <f t="shared" si="33"/>
        <v>#REF!</v>
      </c>
    </row>
    <row r="89" spans="2:26" ht="38.25">
      <c r="B89" s="921" t="str">
        <f>+PRESUPUESTO!B89</f>
        <v>14.11.</v>
      </c>
      <c r="C89" s="922" t="str">
        <f>+PRESUPUESTO!C89</f>
        <v>Arreglo de puerta corredera en lámina entamborada de 1.18 + 2.30 m soportada en riel superior. Incluye desmonte de puerta, riel, colocación de topes y guias, cambio de rodamientos, cambio soportes, ajuste de guias y de cerradura (puerta acceso a espejo de agua)</v>
      </c>
      <c r="D89" s="923" t="str">
        <f>+PRESUPUESTO!D89</f>
        <v>UN</v>
      </c>
      <c r="E89" s="914" t="e">
        <f>+#REF!</f>
        <v>#REF!</v>
      </c>
      <c r="F89" s="915"/>
      <c r="G89" s="914" t="str">
        <f t="shared" si="22"/>
        <v/>
      </c>
      <c r="H89" s="915"/>
      <c r="I89" s="914" t="str">
        <f t="shared" si="23"/>
        <v/>
      </c>
      <c r="J89" s="915"/>
      <c r="K89" s="914" t="str">
        <f t="shared" si="24"/>
        <v/>
      </c>
      <c r="L89" s="915"/>
      <c r="M89" s="914" t="str">
        <f t="shared" si="25"/>
        <v/>
      </c>
      <c r="N89" s="915"/>
      <c r="O89" s="914" t="str">
        <f t="shared" si="26"/>
        <v/>
      </c>
      <c r="P89" s="915"/>
      <c r="Q89" s="914" t="str">
        <f t="shared" si="27"/>
        <v/>
      </c>
      <c r="R89" s="915"/>
      <c r="S89" s="914" t="str">
        <f t="shared" si="27"/>
        <v/>
      </c>
      <c r="T89" s="916"/>
      <c r="U89" s="916" t="e">
        <f t="shared" si="28"/>
        <v>#REF!</v>
      </c>
      <c r="V89" s="917" t="e">
        <f t="shared" si="29"/>
        <v>#REF!</v>
      </c>
      <c r="W89" s="918" t="e">
        <f t="shared" si="30"/>
        <v>#REF!</v>
      </c>
      <c r="X89" s="918" t="e">
        <f t="shared" si="31"/>
        <v>#REF!</v>
      </c>
      <c r="Y89" s="919" t="e">
        <f t="shared" si="32"/>
        <v>#REF!</v>
      </c>
      <c r="Z89" s="920" t="e">
        <f t="shared" si="33"/>
        <v>#REF!</v>
      </c>
    </row>
    <row r="90" spans="2:26" ht="31.5" customHeight="1">
      <c r="B90" s="921" t="str">
        <f>+PRESUPUESTO!B90</f>
        <v>14.12.</v>
      </c>
      <c r="C90" s="922" t="str">
        <f>+PRESUPUESTO!C90</f>
        <v>Arreglo de puerta corredera en aluminio y vidrio soportada en riel superior. Incluye desmonte de puerta y riel, colocación de topes y guias, cambio de rodamientos, ajuste de guias y de cerradura</v>
      </c>
      <c r="D90" s="923" t="str">
        <f>+PRESUPUESTO!D90</f>
        <v>UN</v>
      </c>
      <c r="E90" s="914" t="e">
        <f>+#REF!</f>
        <v>#REF!</v>
      </c>
      <c r="F90" s="915"/>
      <c r="G90" s="914" t="str">
        <f t="shared" si="22"/>
        <v/>
      </c>
      <c r="H90" s="915"/>
      <c r="I90" s="914" t="str">
        <f t="shared" si="23"/>
        <v/>
      </c>
      <c r="J90" s="915"/>
      <c r="K90" s="914" t="str">
        <f t="shared" si="24"/>
        <v/>
      </c>
      <c r="L90" s="915"/>
      <c r="M90" s="914" t="str">
        <f t="shared" si="25"/>
        <v/>
      </c>
      <c r="N90" s="915"/>
      <c r="O90" s="914" t="str">
        <f t="shared" si="26"/>
        <v/>
      </c>
      <c r="P90" s="915"/>
      <c r="Q90" s="914" t="str">
        <f t="shared" si="27"/>
        <v/>
      </c>
      <c r="R90" s="915"/>
      <c r="S90" s="914" t="str">
        <f t="shared" si="27"/>
        <v/>
      </c>
      <c r="T90" s="916"/>
      <c r="U90" s="916" t="e">
        <f t="shared" si="28"/>
        <v>#REF!</v>
      </c>
      <c r="V90" s="917" t="e">
        <f t="shared" si="29"/>
        <v>#REF!</v>
      </c>
      <c r="W90" s="918" t="e">
        <f t="shared" si="30"/>
        <v>#REF!</v>
      </c>
      <c r="X90" s="918" t="e">
        <f t="shared" si="31"/>
        <v>#REF!</v>
      </c>
      <c r="Y90" s="919" t="e">
        <f t="shared" si="32"/>
        <v>#REF!</v>
      </c>
      <c r="Z90" s="920" t="e">
        <f t="shared" si="33"/>
        <v>#REF!</v>
      </c>
    </row>
    <row r="91" spans="2:26" ht="45.75" customHeight="1">
      <c r="B91" s="921" t="str">
        <f>+PRESUPUESTO!B91</f>
        <v>14.13.</v>
      </c>
      <c r="C91" s="922" t="str">
        <f>+PRESUPUESTO!C91</f>
        <v>Tapa para caja en mampostería en lámina alfajor  espesor 1/8" doblada en "C"  de 66 x 66 cm  profundidad aprox. 1.00 m con contramarco de 1 1/4"  espesor 1/8" embebido con uñas de anclaje, manija embisagrada soldada sobre tapa, anticorrosivo y dos manos de pintura esmalte. Plano No. 8.</v>
      </c>
      <c r="D91" s="923" t="str">
        <f>+PRESUPUESTO!D91</f>
        <v>UN</v>
      </c>
      <c r="E91" s="914" t="e">
        <f>+#REF!</f>
        <v>#REF!</v>
      </c>
      <c r="F91" s="915"/>
      <c r="G91" s="914" t="str">
        <f t="shared" si="22"/>
        <v/>
      </c>
      <c r="H91" s="915"/>
      <c r="I91" s="914" t="str">
        <f t="shared" si="23"/>
        <v/>
      </c>
      <c r="J91" s="915"/>
      <c r="K91" s="914" t="str">
        <f t="shared" si="24"/>
        <v/>
      </c>
      <c r="L91" s="915"/>
      <c r="M91" s="914" t="str">
        <f t="shared" si="25"/>
        <v/>
      </c>
      <c r="N91" s="915"/>
      <c r="O91" s="914" t="str">
        <f t="shared" si="26"/>
        <v/>
      </c>
      <c r="P91" s="915"/>
      <c r="Q91" s="914" t="str">
        <f t="shared" si="27"/>
        <v/>
      </c>
      <c r="R91" s="915"/>
      <c r="S91" s="914" t="str">
        <f t="shared" si="27"/>
        <v/>
      </c>
      <c r="T91" s="916"/>
      <c r="U91" s="916" t="e">
        <f t="shared" si="28"/>
        <v>#REF!</v>
      </c>
      <c r="V91" s="917" t="e">
        <f t="shared" si="29"/>
        <v>#REF!</v>
      </c>
      <c r="W91" s="918" t="e">
        <f t="shared" si="30"/>
        <v>#REF!</v>
      </c>
      <c r="X91" s="918" t="e">
        <f t="shared" si="31"/>
        <v>#REF!</v>
      </c>
      <c r="Y91" s="919" t="e">
        <f t="shared" si="32"/>
        <v>#REF!</v>
      </c>
      <c r="Z91" s="920" t="e">
        <f t="shared" si="33"/>
        <v>#REF!</v>
      </c>
    </row>
    <row r="92" spans="2:26" s="269" customFormat="1">
      <c r="B92" s="445">
        <f>+PRESUPUESTO!B92</f>
        <v>15</v>
      </c>
      <c r="C92" s="1062" t="str">
        <f>+PRESUPUESTO!C92</f>
        <v>PINTURAS</v>
      </c>
      <c r="D92" s="1063">
        <f>+PRESUPUESTO!D92</f>
        <v>0</v>
      </c>
      <c r="E92" s="1064"/>
      <c r="F92" s="1064"/>
      <c r="G92" s="1064" t="str">
        <f t="shared" si="22"/>
        <v/>
      </c>
      <c r="H92" s="1064"/>
      <c r="I92" s="1064" t="str">
        <f t="shared" si="23"/>
        <v/>
      </c>
      <c r="J92" s="1064"/>
      <c r="K92" s="1064" t="str">
        <f t="shared" si="24"/>
        <v/>
      </c>
      <c r="L92" s="1064"/>
      <c r="M92" s="1064" t="str">
        <f t="shared" si="25"/>
        <v/>
      </c>
      <c r="N92" s="1064"/>
      <c r="O92" s="1064" t="str">
        <f t="shared" si="26"/>
        <v/>
      </c>
      <c r="P92" s="1064"/>
      <c r="Q92" s="1064" t="str">
        <f t="shared" si="27"/>
        <v/>
      </c>
      <c r="R92" s="1064"/>
      <c r="S92" s="1064" t="str">
        <f t="shared" si="27"/>
        <v/>
      </c>
      <c r="T92" s="929"/>
      <c r="U92" s="929"/>
      <c r="V92" s="930"/>
      <c r="W92" s="931"/>
      <c r="X92" s="931"/>
      <c r="Y92" s="932"/>
      <c r="Z92" s="933"/>
    </row>
    <row r="93" spans="2:26" ht="25.5">
      <c r="B93" s="921" t="str">
        <f>+PRESUPUESTO!B93</f>
        <v>15.1.</v>
      </c>
      <c r="C93" s="924" t="str">
        <f>+PRESUPUESTO!C93</f>
        <v>Estuco plástico, incluye filos (esquineras plásticas),  dilataciones (juntas de control plasticas en "Z" y "U"), carteras de vanos y medidas inferiores a 1.0 m</v>
      </c>
      <c r="D93" s="923" t="str">
        <f>+PRESUPUESTO!D93</f>
        <v>M2</v>
      </c>
      <c r="E93" s="914" t="e">
        <f>+#REF!</f>
        <v>#REF!</v>
      </c>
      <c r="F93" s="915">
        <v>17320</v>
      </c>
      <c r="G93" s="914">
        <f t="shared" si="22"/>
        <v>19404</v>
      </c>
      <c r="H93" s="915">
        <v>19931</v>
      </c>
      <c r="I93" s="914">
        <f t="shared" si="23"/>
        <v>20764</v>
      </c>
      <c r="J93" s="915">
        <v>18575</v>
      </c>
      <c r="K93" s="914">
        <f t="shared" si="24"/>
        <v>19333</v>
      </c>
      <c r="L93" s="915">
        <v>8253</v>
      </c>
      <c r="M93" s="914">
        <f t="shared" si="25"/>
        <v>8579</v>
      </c>
      <c r="N93" s="915">
        <v>20250</v>
      </c>
      <c r="O93" s="914">
        <f t="shared" si="26"/>
        <v>21050</v>
      </c>
      <c r="P93" s="915"/>
      <c r="Q93" s="914" t="str">
        <f t="shared" si="27"/>
        <v/>
      </c>
      <c r="R93" s="915">
        <v>9993</v>
      </c>
      <c r="S93" s="914">
        <f t="shared" si="27"/>
        <v>11137</v>
      </c>
      <c r="T93" s="916" t="e">
        <f t="shared" si="34"/>
        <v>#REF!</v>
      </c>
      <c r="U93" s="916" t="e">
        <f t="shared" si="28"/>
        <v>#REF!</v>
      </c>
      <c r="V93" s="917" t="e">
        <f t="shared" si="29"/>
        <v>#REF!</v>
      </c>
      <c r="W93" s="918" t="e">
        <f t="shared" si="30"/>
        <v>#REF!</v>
      </c>
      <c r="X93" s="918" t="e">
        <f t="shared" si="31"/>
        <v>#REF!</v>
      </c>
      <c r="Y93" s="919" t="e">
        <f t="shared" si="32"/>
        <v>#REF!</v>
      </c>
      <c r="Z93" s="920" t="e">
        <f t="shared" si="33"/>
        <v>#REF!</v>
      </c>
    </row>
    <row r="94" spans="2:26" ht="63.75">
      <c r="B94" s="921" t="str">
        <f>+PRESUPUESTO!B94</f>
        <v>15.2.</v>
      </c>
      <c r="C94" s="924" t="str">
        <f>+PRESUPUESTO!C94</f>
        <v>Suministro e instalación de pintura epóxica poliamida, recubrimiento protector para muros y techos interiores en zonas asépticas de dos componentes (componente A pintura epóxica, componente B catalizador poliamídico), acabado semibrillante, tres manos, color blanco (áreas patologia) incluye resanes con estuco plástico, encintado de cielos,  filos, dilataciones, carteras, mediacañas verticales y medidas inferiores a 1.00 m</v>
      </c>
      <c r="D94" s="923" t="str">
        <f>+PRESUPUESTO!D94</f>
        <v>M2</v>
      </c>
      <c r="E94" s="914" t="e">
        <f>+#REF!</f>
        <v>#REF!</v>
      </c>
      <c r="F94" s="915">
        <v>26784</v>
      </c>
      <c r="G94" s="914">
        <f t="shared" si="22"/>
        <v>30006</v>
      </c>
      <c r="H94" s="915"/>
      <c r="I94" s="914" t="str">
        <f t="shared" si="23"/>
        <v/>
      </c>
      <c r="J94" s="915"/>
      <c r="K94" s="914" t="str">
        <f t="shared" si="24"/>
        <v/>
      </c>
      <c r="L94" s="915"/>
      <c r="M94" s="914" t="str">
        <f t="shared" si="25"/>
        <v/>
      </c>
      <c r="N94" s="915"/>
      <c r="O94" s="914" t="str">
        <f t="shared" si="26"/>
        <v/>
      </c>
      <c r="P94" s="915"/>
      <c r="Q94" s="914" t="str">
        <f t="shared" si="27"/>
        <v/>
      </c>
      <c r="R94" s="915"/>
      <c r="S94" s="914" t="str">
        <f t="shared" si="27"/>
        <v/>
      </c>
      <c r="T94" s="916" t="e">
        <f t="shared" si="34"/>
        <v>#REF!</v>
      </c>
      <c r="U94" s="916" t="e">
        <f t="shared" si="28"/>
        <v>#REF!</v>
      </c>
      <c r="V94" s="917" t="e">
        <f t="shared" si="29"/>
        <v>#REF!</v>
      </c>
      <c r="W94" s="918" t="e">
        <f t="shared" si="30"/>
        <v>#REF!</v>
      </c>
      <c r="X94" s="918" t="e">
        <f t="shared" si="31"/>
        <v>#REF!</v>
      </c>
      <c r="Y94" s="919" t="e">
        <f t="shared" si="32"/>
        <v>#REF!</v>
      </c>
      <c r="Z94" s="920" t="e">
        <f t="shared" si="33"/>
        <v>#REF!</v>
      </c>
    </row>
    <row r="95" spans="2:26" ht="38.25">
      <c r="B95" s="921" t="str">
        <f>+PRESUPUESTO!B95</f>
        <v>15.3.</v>
      </c>
      <c r="C95" s="924" t="str">
        <f>+PRESUPUESTO!C95</f>
        <v>Suministro e instalación de vinilo tipo 1 tres manos para muros o cielorrasos (color a escoger) incluye medidas menores a 1.00 m incluye filos y dilataciones. Incluye resanes en estuco plástic, encintado cielorrasos y todos los materiales y trabajos necesarios para su correcta ejecución.</v>
      </c>
      <c r="D95" s="923" t="str">
        <f>+PRESUPUESTO!D95</f>
        <v>M2</v>
      </c>
      <c r="E95" s="914" t="e">
        <f>+#REF!</f>
        <v>#REF!</v>
      </c>
      <c r="F95" s="915"/>
      <c r="G95" s="914" t="str">
        <f t="shared" si="22"/>
        <v/>
      </c>
      <c r="H95" s="915"/>
      <c r="I95" s="914" t="str">
        <f t="shared" si="23"/>
        <v/>
      </c>
      <c r="J95" s="915">
        <v>16500</v>
      </c>
      <c r="K95" s="914">
        <f t="shared" si="24"/>
        <v>17173</v>
      </c>
      <c r="L95" s="915">
        <v>12905</v>
      </c>
      <c r="M95" s="914">
        <f t="shared" si="25"/>
        <v>13415</v>
      </c>
      <c r="N95" s="915"/>
      <c r="O95" s="914" t="str">
        <f t="shared" si="26"/>
        <v/>
      </c>
      <c r="P95" s="915"/>
      <c r="Q95" s="914" t="str">
        <f t="shared" si="27"/>
        <v/>
      </c>
      <c r="R95" s="915"/>
      <c r="S95" s="914" t="str">
        <f t="shared" si="27"/>
        <v/>
      </c>
      <c r="T95" s="916" t="e">
        <f t="shared" si="34"/>
        <v>#REF!</v>
      </c>
      <c r="U95" s="916" t="e">
        <f t="shared" si="28"/>
        <v>#REF!</v>
      </c>
      <c r="V95" s="917" t="e">
        <f t="shared" si="29"/>
        <v>#REF!</v>
      </c>
      <c r="W95" s="918" t="e">
        <f t="shared" si="30"/>
        <v>#REF!</v>
      </c>
      <c r="X95" s="918" t="e">
        <f t="shared" si="31"/>
        <v>#REF!</v>
      </c>
      <c r="Y95" s="919" t="e">
        <f t="shared" si="32"/>
        <v>#REF!</v>
      </c>
      <c r="Z95" s="920" t="e">
        <f t="shared" si="33"/>
        <v>#REF!</v>
      </c>
    </row>
    <row r="96" spans="2:26" ht="38.25">
      <c r="B96" s="921" t="str">
        <f>+PRESUPUESTO!B96</f>
        <v>15.4.</v>
      </c>
      <c r="C96" s="924" t="str">
        <f>+PRESUPUESTO!C96</f>
        <v>Suministro e instalación de pintura koraza  5 años para techos exteriores, dos manos, color a escoger. Incluye medidas inferiores a 1.00 m. Incluye: resanes en estuco plástico, encintado cielorrasos y todos los materiales y trabajos necesarios para su correcta ejecución.</v>
      </c>
      <c r="D96" s="923" t="str">
        <f>+PRESUPUESTO!D96</f>
        <v>M2</v>
      </c>
      <c r="E96" s="914" t="e">
        <f>+#REF!</f>
        <v>#REF!</v>
      </c>
      <c r="F96" s="915">
        <v>17529</v>
      </c>
      <c r="G96" s="914">
        <f t="shared" si="22"/>
        <v>19638</v>
      </c>
      <c r="H96" s="915">
        <v>18060</v>
      </c>
      <c r="I96" s="914">
        <f t="shared" si="23"/>
        <v>18815</v>
      </c>
      <c r="J96" s="915"/>
      <c r="K96" s="914" t="str">
        <f t="shared" si="24"/>
        <v/>
      </c>
      <c r="L96" s="915"/>
      <c r="M96" s="914" t="str">
        <f t="shared" si="25"/>
        <v/>
      </c>
      <c r="N96" s="915">
        <v>25142</v>
      </c>
      <c r="O96" s="914">
        <f t="shared" si="26"/>
        <v>26135</v>
      </c>
      <c r="P96" s="915">
        <v>27001</v>
      </c>
      <c r="Q96" s="914">
        <f t="shared" si="27"/>
        <v>28068</v>
      </c>
      <c r="R96" s="915"/>
      <c r="S96" s="914" t="str">
        <f t="shared" si="27"/>
        <v/>
      </c>
      <c r="T96" s="916" t="e">
        <f t="shared" si="34"/>
        <v>#REF!</v>
      </c>
      <c r="U96" s="916" t="e">
        <f t="shared" si="28"/>
        <v>#REF!</v>
      </c>
      <c r="V96" s="917" t="e">
        <f t="shared" si="29"/>
        <v>#REF!</v>
      </c>
      <c r="W96" s="918" t="e">
        <f t="shared" si="30"/>
        <v>#REF!</v>
      </c>
      <c r="X96" s="918" t="e">
        <f t="shared" si="31"/>
        <v>#REF!</v>
      </c>
      <c r="Y96" s="919" t="e">
        <f t="shared" si="32"/>
        <v>#REF!</v>
      </c>
      <c r="Z96" s="920" t="e">
        <f t="shared" si="33"/>
        <v>#REF!</v>
      </c>
    </row>
    <row r="97" spans="2:26" ht="38.25">
      <c r="B97" s="921" t="str">
        <f>+PRESUPUESTO!B97</f>
        <v>15.5.</v>
      </c>
      <c r="C97" s="922" t="str">
        <f>+PRESUPUESTO!C97</f>
        <v>Suministro e instalación de pintura esmalte mate superlavable exterior dos manos  (color a escoger), incluye medidas menores a 1.00 m. Incluye una mano de anticorrosivo gris o negro  y todos los materiales y trabajos necesarios para su correcta ejecución (Fachada metalica vertical)</v>
      </c>
      <c r="D97" s="923" t="str">
        <f>+PRESUPUESTO!D97</f>
        <v>M2</v>
      </c>
      <c r="E97" s="914" t="e">
        <f>+#REF!</f>
        <v>#REF!</v>
      </c>
      <c r="F97" s="915"/>
      <c r="G97" s="914" t="str">
        <f t="shared" si="22"/>
        <v/>
      </c>
      <c r="H97" s="915"/>
      <c r="I97" s="914" t="str">
        <f t="shared" si="23"/>
        <v/>
      </c>
      <c r="J97" s="915"/>
      <c r="K97" s="914" t="str">
        <f t="shared" si="24"/>
        <v/>
      </c>
      <c r="L97" s="915"/>
      <c r="M97" s="914" t="str">
        <f t="shared" si="25"/>
        <v/>
      </c>
      <c r="N97" s="915"/>
      <c r="O97" s="914" t="str">
        <f t="shared" si="26"/>
        <v/>
      </c>
      <c r="P97" s="915"/>
      <c r="Q97" s="914" t="str">
        <f t="shared" si="27"/>
        <v/>
      </c>
      <c r="R97" s="915"/>
      <c r="S97" s="914" t="str">
        <f t="shared" si="27"/>
        <v/>
      </c>
      <c r="T97" s="916"/>
      <c r="U97" s="916" t="e">
        <f t="shared" si="28"/>
        <v>#REF!</v>
      </c>
      <c r="V97" s="917" t="e">
        <f t="shared" si="29"/>
        <v>#REF!</v>
      </c>
      <c r="W97" s="918" t="e">
        <f t="shared" si="30"/>
        <v>#REF!</v>
      </c>
      <c r="X97" s="918" t="e">
        <f t="shared" si="31"/>
        <v>#REF!</v>
      </c>
      <c r="Y97" s="919" t="e">
        <f t="shared" si="32"/>
        <v>#REF!</v>
      </c>
      <c r="Z97" s="920" t="e">
        <f t="shared" si="33"/>
        <v>#REF!</v>
      </c>
    </row>
    <row r="98" spans="2:26" ht="51">
      <c r="B98" s="921" t="str">
        <f>+PRESUPUESTO!B98</f>
        <v>15.6.</v>
      </c>
      <c r="C98" s="922" t="str">
        <f>+PRESUPUESTO!C98</f>
        <v>Suministro e instalación de pintura esmalte mate superlavable exterior dos manos  (color a escoger) cuatro caras, incluye medidas menores a 1.00 m. Incluye una mano de anticorrosivo gris o verde  y todos los materiales y trabajos necesarios para su correcta ejecución (Pergola fachada principal y cerramiento anterior y posterior)</v>
      </c>
      <c r="D98" s="923" t="str">
        <f>+PRESUPUESTO!D98</f>
        <v>M2</v>
      </c>
      <c r="E98" s="914" t="e">
        <f>+#REF!</f>
        <v>#REF!</v>
      </c>
      <c r="F98" s="915"/>
      <c r="G98" s="914" t="str">
        <f t="shared" si="22"/>
        <v/>
      </c>
      <c r="H98" s="915"/>
      <c r="I98" s="914" t="str">
        <f t="shared" si="23"/>
        <v/>
      </c>
      <c r="J98" s="915"/>
      <c r="K98" s="914" t="str">
        <f t="shared" si="24"/>
        <v/>
      </c>
      <c r="L98" s="915"/>
      <c r="M98" s="914" t="str">
        <f t="shared" si="25"/>
        <v/>
      </c>
      <c r="N98" s="915"/>
      <c r="O98" s="914" t="str">
        <f t="shared" si="26"/>
        <v/>
      </c>
      <c r="P98" s="915"/>
      <c r="Q98" s="914" t="str">
        <f t="shared" si="27"/>
        <v/>
      </c>
      <c r="R98" s="915"/>
      <c r="S98" s="914" t="str">
        <f t="shared" si="27"/>
        <v/>
      </c>
      <c r="T98" s="916"/>
      <c r="U98" s="916" t="e">
        <f t="shared" si="28"/>
        <v>#REF!</v>
      </c>
      <c r="V98" s="917" t="e">
        <f t="shared" si="29"/>
        <v>#REF!</v>
      </c>
      <c r="W98" s="918" t="e">
        <f t="shared" si="30"/>
        <v>#REF!</v>
      </c>
      <c r="X98" s="918" t="e">
        <f t="shared" si="31"/>
        <v>#REF!</v>
      </c>
      <c r="Y98" s="919" t="e">
        <f t="shared" si="32"/>
        <v>#REF!</v>
      </c>
      <c r="Z98" s="920" t="e">
        <f t="shared" si="33"/>
        <v>#REF!</v>
      </c>
    </row>
    <row r="99" spans="2:26" ht="59.25" customHeight="1">
      <c r="B99" s="921" t="str">
        <f>+PRESUPUESTO!B99</f>
        <v>15.7.</v>
      </c>
      <c r="C99" s="922" t="str">
        <f>+PRESUPUESTO!C99</f>
        <v>Suministro e instalación de pintura esmalte mate superlavable exterior dos manos  (color a escoger) dos caras, incluye medidas menores a 1.00 m y pintura de marcos. Incluye una mano de anticorrosivo gris o  verde  y todos los materiales y trabajos necesarios para su correcta ejecución (Puertas metalicas)</v>
      </c>
      <c r="D99" s="923" t="str">
        <f>+PRESUPUESTO!D99</f>
        <v>M2</v>
      </c>
      <c r="E99" s="914" t="e">
        <f>+#REF!</f>
        <v>#REF!</v>
      </c>
      <c r="F99" s="915"/>
      <c r="G99" s="914" t="str">
        <f t="shared" si="22"/>
        <v/>
      </c>
      <c r="H99" s="915"/>
      <c r="I99" s="914" t="str">
        <f t="shared" si="23"/>
        <v/>
      </c>
      <c r="J99" s="915"/>
      <c r="K99" s="914" t="str">
        <f t="shared" si="24"/>
        <v/>
      </c>
      <c r="L99" s="915"/>
      <c r="M99" s="914" t="str">
        <f t="shared" si="25"/>
        <v/>
      </c>
      <c r="N99" s="915">
        <f>21884*2</f>
        <v>43768</v>
      </c>
      <c r="O99" s="914">
        <f t="shared" si="26"/>
        <v>45497</v>
      </c>
      <c r="P99" s="915">
        <f>21028*2</f>
        <v>42056</v>
      </c>
      <c r="Q99" s="914">
        <f t="shared" si="27"/>
        <v>43717</v>
      </c>
      <c r="R99" s="915"/>
      <c r="S99" s="914" t="str">
        <f t="shared" si="27"/>
        <v/>
      </c>
      <c r="T99" s="916" t="e">
        <f t="shared" si="34"/>
        <v>#REF!</v>
      </c>
      <c r="U99" s="916" t="e">
        <f t="shared" si="28"/>
        <v>#REF!</v>
      </c>
      <c r="V99" s="917" t="e">
        <f t="shared" si="29"/>
        <v>#REF!</v>
      </c>
      <c r="W99" s="918" t="e">
        <f t="shared" si="30"/>
        <v>#REF!</v>
      </c>
      <c r="X99" s="918" t="e">
        <f t="shared" si="31"/>
        <v>#REF!</v>
      </c>
      <c r="Y99" s="919" t="e">
        <f t="shared" si="32"/>
        <v>#REF!</v>
      </c>
      <c r="Z99" s="920" t="e">
        <f t="shared" si="33"/>
        <v>#REF!</v>
      </c>
    </row>
    <row r="100" spans="2:26" ht="27" customHeight="1">
      <c r="B100" s="921" t="str">
        <f>+PRESUPUESTO!B100</f>
        <v>15.8.</v>
      </c>
      <c r="C100" s="922" t="str">
        <f>+PRESUPUESTO!C100</f>
        <v>Conformación de media caña remate muro-cieloraso de 1 ". Incluye todos los materiales para su construcción</v>
      </c>
      <c r="D100" s="923" t="str">
        <f>+PRESUPUESTO!D100</f>
        <v>ML</v>
      </c>
      <c r="E100" s="914" t="e">
        <f>+#REF!</f>
        <v>#REF!</v>
      </c>
      <c r="F100" s="915"/>
      <c r="G100" s="914" t="str">
        <f t="shared" si="22"/>
        <v/>
      </c>
      <c r="H100" s="915"/>
      <c r="I100" s="914" t="str">
        <f t="shared" si="23"/>
        <v/>
      </c>
      <c r="J100" s="915"/>
      <c r="K100" s="914" t="str">
        <f t="shared" si="24"/>
        <v/>
      </c>
      <c r="L100" s="915"/>
      <c r="M100" s="914" t="str">
        <f t="shared" si="25"/>
        <v/>
      </c>
      <c r="N100" s="915"/>
      <c r="O100" s="914" t="str">
        <f t="shared" si="26"/>
        <v/>
      </c>
      <c r="P100" s="915"/>
      <c r="Q100" s="914" t="str">
        <f t="shared" si="27"/>
        <v/>
      </c>
      <c r="R100" s="915"/>
      <c r="S100" s="914" t="str">
        <f t="shared" si="27"/>
        <v/>
      </c>
      <c r="T100" s="916"/>
      <c r="U100" s="916" t="e">
        <f t="shared" si="28"/>
        <v>#REF!</v>
      </c>
      <c r="V100" s="917" t="e">
        <f t="shared" si="29"/>
        <v>#REF!</v>
      </c>
      <c r="W100" s="918" t="e">
        <f t="shared" si="30"/>
        <v>#REF!</v>
      </c>
      <c r="X100" s="918" t="e">
        <f t="shared" si="31"/>
        <v>#REF!</v>
      </c>
      <c r="Y100" s="919" t="e">
        <f t="shared" si="32"/>
        <v>#REF!</v>
      </c>
      <c r="Z100" s="920" t="e">
        <f t="shared" si="33"/>
        <v>#REF!</v>
      </c>
    </row>
    <row r="101" spans="2:26" s="269" customFormat="1">
      <c r="B101" s="937">
        <f>+PRESUPUESTO!B101</f>
        <v>16</v>
      </c>
      <c r="C101" s="938" t="str">
        <f>+PRESUPUESTO!C101</f>
        <v>APARATOS SANITARIOS - GRIFERIAS - CERRADURAS</v>
      </c>
      <c r="D101" s="939">
        <f>+PRESUPUESTO!D101</f>
        <v>0</v>
      </c>
      <c r="E101" s="940"/>
      <c r="F101" s="940"/>
      <c r="G101" s="940" t="str">
        <f t="shared" si="22"/>
        <v/>
      </c>
      <c r="H101" s="940"/>
      <c r="I101" s="940" t="str">
        <f t="shared" si="23"/>
        <v/>
      </c>
      <c r="J101" s="940"/>
      <c r="K101" s="940" t="str">
        <f t="shared" si="24"/>
        <v/>
      </c>
      <c r="L101" s="940"/>
      <c r="M101" s="940" t="str">
        <f t="shared" si="25"/>
        <v/>
      </c>
      <c r="N101" s="940"/>
      <c r="O101" s="940" t="str">
        <f t="shared" si="26"/>
        <v/>
      </c>
      <c r="P101" s="940"/>
      <c r="Q101" s="940" t="str">
        <f t="shared" si="27"/>
        <v/>
      </c>
      <c r="R101" s="940"/>
      <c r="S101" s="940" t="str">
        <f t="shared" si="27"/>
        <v/>
      </c>
      <c r="T101" s="929"/>
      <c r="U101" s="929"/>
      <c r="V101" s="930"/>
      <c r="W101" s="931"/>
      <c r="X101" s="931"/>
      <c r="Y101" s="932"/>
      <c r="Z101" s="933"/>
    </row>
    <row r="102" spans="2:26" ht="51">
      <c r="B102" s="921" t="str">
        <f>+PRESUPUESTO!B102</f>
        <v>16.1.</v>
      </c>
      <c r="C102" s="924" t="str">
        <f>+PRESUPUESTO!C102</f>
        <v>Suministro e instalación de guardacamillas de 19.7 cm   IPC Ref. 700, color a escoger, con estructura completa en aluminio, jumper interior para amortiguar golpes y plástico de alto impacto . Incluye todos los materiales, accesorios y trabajos necesarios para su correcta instalación y funcionamiento.</v>
      </c>
      <c r="D102" s="923" t="str">
        <f>+PRESUPUESTO!D102</f>
        <v>ML</v>
      </c>
      <c r="E102" s="914" t="e">
        <f>+#REF!</f>
        <v>#REF!</v>
      </c>
      <c r="F102" s="915"/>
      <c r="G102" s="914" t="str">
        <f t="shared" si="22"/>
        <v/>
      </c>
      <c r="H102" s="915"/>
      <c r="I102" s="914" t="str">
        <f t="shared" si="23"/>
        <v/>
      </c>
      <c r="J102" s="915"/>
      <c r="K102" s="914" t="str">
        <f t="shared" si="24"/>
        <v/>
      </c>
      <c r="L102" s="915"/>
      <c r="M102" s="914" t="str">
        <f t="shared" si="25"/>
        <v/>
      </c>
      <c r="N102" s="915"/>
      <c r="O102" s="914" t="str">
        <f t="shared" si="26"/>
        <v/>
      </c>
      <c r="P102" s="915"/>
      <c r="Q102" s="914" t="str">
        <f t="shared" si="27"/>
        <v/>
      </c>
      <c r="R102" s="915"/>
      <c r="S102" s="914" t="str">
        <f t="shared" si="27"/>
        <v/>
      </c>
      <c r="T102" s="916"/>
      <c r="U102" s="916" t="e">
        <f t="shared" si="28"/>
        <v>#REF!</v>
      </c>
      <c r="V102" s="917" t="e">
        <f t="shared" si="29"/>
        <v>#REF!</v>
      </c>
      <c r="W102" s="918" t="e">
        <f t="shared" si="30"/>
        <v>#REF!</v>
      </c>
      <c r="X102" s="918" t="e">
        <f t="shared" si="31"/>
        <v>#REF!</v>
      </c>
      <c r="Y102" s="919" t="e">
        <f t="shared" si="32"/>
        <v>#REF!</v>
      </c>
      <c r="Z102" s="920" t="e">
        <f t="shared" si="33"/>
        <v>#REF!</v>
      </c>
    </row>
    <row r="103" spans="2:26" ht="38.25">
      <c r="B103" s="921" t="str">
        <f>+PRESUPUESTO!B103</f>
        <v>16.2.</v>
      </c>
      <c r="C103" s="924" t="str">
        <f>+PRESUPUESTO!C103</f>
        <v>Suministro e instalación terminales para guardacamillas IPC Ref. 700, color a escoger, ancladas a riel en aluminio con mínimo dos (2) tornillos. Incluye todos los materiales, accesorios y trabajos necesarios para su correcta instalación y funcionamiento.</v>
      </c>
      <c r="D103" s="923" t="str">
        <f>+PRESUPUESTO!D103</f>
        <v>UN</v>
      </c>
      <c r="E103" s="914" t="e">
        <f>+#REF!</f>
        <v>#REF!</v>
      </c>
      <c r="F103" s="915"/>
      <c r="G103" s="914" t="str">
        <f t="shared" si="22"/>
        <v/>
      </c>
      <c r="H103" s="915"/>
      <c r="I103" s="914" t="str">
        <f t="shared" si="23"/>
        <v/>
      </c>
      <c r="J103" s="915"/>
      <c r="K103" s="914" t="str">
        <f t="shared" si="24"/>
        <v/>
      </c>
      <c r="L103" s="915"/>
      <c r="M103" s="914" t="str">
        <f t="shared" si="25"/>
        <v/>
      </c>
      <c r="N103" s="915"/>
      <c r="O103" s="914" t="str">
        <f t="shared" si="26"/>
        <v/>
      </c>
      <c r="P103" s="915"/>
      <c r="Q103" s="914" t="str">
        <f t="shared" si="27"/>
        <v/>
      </c>
      <c r="R103" s="915"/>
      <c r="S103" s="914" t="str">
        <f t="shared" si="27"/>
        <v/>
      </c>
      <c r="T103" s="916"/>
      <c r="U103" s="916" t="e">
        <f t="shared" si="28"/>
        <v>#REF!</v>
      </c>
      <c r="V103" s="917" t="e">
        <f t="shared" si="29"/>
        <v>#REF!</v>
      </c>
      <c r="W103" s="918" t="e">
        <f t="shared" si="30"/>
        <v>#REF!</v>
      </c>
      <c r="X103" s="918" t="e">
        <f t="shared" si="31"/>
        <v>#REF!</v>
      </c>
      <c r="Y103" s="919" t="e">
        <f t="shared" si="32"/>
        <v>#REF!</v>
      </c>
      <c r="Z103" s="920" t="e">
        <f t="shared" si="33"/>
        <v>#REF!</v>
      </c>
    </row>
    <row r="104" spans="2:26" ht="23.25" customHeight="1">
      <c r="B104" s="921" t="str">
        <f>+PRESUPUESTO!B104</f>
        <v>16.3.</v>
      </c>
      <c r="C104" s="924" t="str">
        <f>+PRESUPUESTO!C104</f>
        <v>Suministro e Instalación cerradura alaska entrada ppal. Incluye desinstalacion de cerradura existente</v>
      </c>
      <c r="D104" s="923" t="str">
        <f>+PRESUPUESTO!D104</f>
        <v>UN</v>
      </c>
      <c r="E104" s="914" t="e">
        <f>+#REF!</f>
        <v>#REF!</v>
      </c>
      <c r="F104" s="915"/>
      <c r="G104" s="914" t="str">
        <f t="shared" si="22"/>
        <v/>
      </c>
      <c r="H104" s="915"/>
      <c r="I104" s="914" t="str">
        <f t="shared" si="23"/>
        <v/>
      </c>
      <c r="J104" s="915"/>
      <c r="K104" s="914" t="str">
        <f t="shared" si="24"/>
        <v/>
      </c>
      <c r="L104" s="915"/>
      <c r="M104" s="914" t="str">
        <f t="shared" si="25"/>
        <v/>
      </c>
      <c r="N104" s="915"/>
      <c r="O104" s="914" t="str">
        <f t="shared" si="26"/>
        <v/>
      </c>
      <c r="P104" s="915"/>
      <c r="Q104" s="914" t="str">
        <f t="shared" si="27"/>
        <v/>
      </c>
      <c r="R104" s="915"/>
      <c r="S104" s="914" t="str">
        <f t="shared" si="27"/>
        <v/>
      </c>
      <c r="T104" s="916"/>
      <c r="U104" s="916" t="e">
        <f t="shared" si="28"/>
        <v>#REF!</v>
      </c>
      <c r="V104" s="917" t="e">
        <f t="shared" si="29"/>
        <v>#REF!</v>
      </c>
      <c r="W104" s="918" t="e">
        <f t="shared" si="30"/>
        <v>#REF!</v>
      </c>
      <c r="X104" s="918" t="e">
        <f t="shared" si="31"/>
        <v>#REF!</v>
      </c>
      <c r="Y104" s="919" t="e">
        <f t="shared" si="32"/>
        <v>#REF!</v>
      </c>
      <c r="Z104" s="920" t="e">
        <f t="shared" si="33"/>
        <v>#REF!</v>
      </c>
    </row>
    <row r="105" spans="2:26" ht="27" customHeight="1">
      <c r="B105" s="921" t="str">
        <f>+PRESUPUESTO!B105</f>
        <v>16.4.</v>
      </c>
      <c r="C105" s="924" t="str">
        <f>+PRESUPUESTO!C105</f>
        <v>Suministro e instalación de conjunto griferia sanitaria hidrostática (arbol de entrada y salida). Incluye desconexión arboles existentes y acople flexible con llave FM y desmonte arboles existentes</v>
      </c>
      <c r="D105" s="923" t="str">
        <f>+PRESUPUESTO!D105</f>
        <v>UN</v>
      </c>
      <c r="E105" s="914" t="e">
        <f>+#REF!</f>
        <v>#REF!</v>
      </c>
      <c r="F105" s="915"/>
      <c r="G105" s="914" t="str">
        <f t="shared" si="22"/>
        <v/>
      </c>
      <c r="H105" s="915"/>
      <c r="I105" s="914" t="str">
        <f t="shared" si="23"/>
        <v/>
      </c>
      <c r="J105" s="915"/>
      <c r="K105" s="914" t="str">
        <f t="shared" si="24"/>
        <v/>
      </c>
      <c r="L105" s="915"/>
      <c r="M105" s="914" t="str">
        <f t="shared" si="25"/>
        <v/>
      </c>
      <c r="N105" s="915"/>
      <c r="O105" s="914" t="str">
        <f t="shared" si="26"/>
        <v/>
      </c>
      <c r="P105" s="915"/>
      <c r="Q105" s="914" t="str">
        <f t="shared" si="27"/>
        <v/>
      </c>
      <c r="R105" s="915"/>
      <c r="S105" s="914" t="str">
        <f t="shared" si="27"/>
        <v/>
      </c>
      <c r="T105" s="916"/>
      <c r="U105" s="916" t="e">
        <f t="shared" si="28"/>
        <v>#REF!</v>
      </c>
      <c r="V105" s="917" t="e">
        <f t="shared" si="29"/>
        <v>#REF!</v>
      </c>
      <c r="W105" s="918" t="e">
        <f t="shared" si="30"/>
        <v>#REF!</v>
      </c>
      <c r="X105" s="918" t="e">
        <f t="shared" si="31"/>
        <v>#REF!</v>
      </c>
      <c r="Y105" s="919" t="e">
        <f t="shared" si="32"/>
        <v>#REF!</v>
      </c>
      <c r="Z105" s="920" t="e">
        <f t="shared" si="33"/>
        <v>#REF!</v>
      </c>
    </row>
    <row r="106" spans="2:26" ht="27" customHeight="1">
      <c r="B106" s="921" t="str">
        <f>+PRESUPUESTO!B106</f>
        <v>16.5.</v>
      </c>
      <c r="C106" s="924" t="str">
        <f>+PRESUPUESTO!C106</f>
        <v>Suministro e instalación de rejilla aluminio 3 x 2 ". Incluye todos los materiales y trabajos necesrioa para su instalación</v>
      </c>
      <c r="D106" s="923" t="str">
        <f>+PRESUPUESTO!D106</f>
        <v>UN</v>
      </c>
      <c r="E106" s="914" t="e">
        <f>+#REF!</f>
        <v>#REF!</v>
      </c>
      <c r="F106" s="915"/>
      <c r="G106" s="914" t="str">
        <f t="shared" si="22"/>
        <v/>
      </c>
      <c r="H106" s="915"/>
      <c r="I106" s="914" t="str">
        <f t="shared" si="23"/>
        <v/>
      </c>
      <c r="J106" s="915"/>
      <c r="K106" s="914" t="str">
        <f t="shared" si="24"/>
        <v/>
      </c>
      <c r="L106" s="915"/>
      <c r="M106" s="914" t="str">
        <f t="shared" si="25"/>
        <v/>
      </c>
      <c r="N106" s="915"/>
      <c r="O106" s="914" t="str">
        <f t="shared" si="26"/>
        <v/>
      </c>
      <c r="P106" s="915"/>
      <c r="Q106" s="914" t="str">
        <f t="shared" si="27"/>
        <v/>
      </c>
      <c r="R106" s="915"/>
      <c r="S106" s="914" t="str">
        <f t="shared" si="27"/>
        <v/>
      </c>
      <c r="T106" s="916"/>
      <c r="U106" s="916" t="e">
        <f t="shared" si="28"/>
        <v>#REF!</v>
      </c>
      <c r="V106" s="917" t="e">
        <f t="shared" si="29"/>
        <v>#REF!</v>
      </c>
      <c r="W106" s="918" t="e">
        <f t="shared" si="30"/>
        <v>#REF!</v>
      </c>
      <c r="X106" s="918" t="e">
        <f t="shared" si="31"/>
        <v>#REF!</v>
      </c>
      <c r="Y106" s="919" t="e">
        <f t="shared" si="32"/>
        <v>#REF!</v>
      </c>
      <c r="Z106" s="920" t="e">
        <f t="shared" si="33"/>
        <v>#REF!</v>
      </c>
    </row>
    <row r="107" spans="2:26" ht="26.25" customHeight="1">
      <c r="B107" s="921" t="str">
        <f>+PRESUPUESTO!B107</f>
        <v>16.6.</v>
      </c>
      <c r="C107" s="924" t="str">
        <f>+PRESUPUESTO!C107</f>
        <v>Suministro e instalación de rejilla aluminio 4 x 3 ". Incluye todos los materiales y trabajos necesrioa para su instalación</v>
      </c>
      <c r="D107" s="923" t="str">
        <f>+PRESUPUESTO!D107</f>
        <v>UN</v>
      </c>
      <c r="E107" s="914" t="e">
        <f>+#REF!</f>
        <v>#REF!</v>
      </c>
      <c r="F107" s="915"/>
      <c r="G107" s="914" t="str">
        <f t="shared" si="22"/>
        <v/>
      </c>
      <c r="H107" s="915"/>
      <c r="I107" s="914" t="str">
        <f t="shared" si="23"/>
        <v/>
      </c>
      <c r="J107" s="915"/>
      <c r="K107" s="914" t="str">
        <f t="shared" si="24"/>
        <v/>
      </c>
      <c r="L107" s="915"/>
      <c r="M107" s="914" t="str">
        <f t="shared" si="25"/>
        <v/>
      </c>
      <c r="N107" s="915"/>
      <c r="O107" s="914" t="str">
        <f t="shared" si="26"/>
        <v/>
      </c>
      <c r="P107" s="915"/>
      <c r="Q107" s="914" t="str">
        <f t="shared" si="27"/>
        <v/>
      </c>
      <c r="R107" s="915"/>
      <c r="S107" s="914" t="str">
        <f t="shared" si="27"/>
        <v/>
      </c>
      <c r="T107" s="916"/>
      <c r="U107" s="916" t="e">
        <f t="shared" si="28"/>
        <v>#REF!</v>
      </c>
      <c r="V107" s="917" t="e">
        <f t="shared" si="29"/>
        <v>#REF!</v>
      </c>
      <c r="W107" s="918" t="e">
        <f t="shared" si="30"/>
        <v>#REF!</v>
      </c>
      <c r="X107" s="918" t="e">
        <f t="shared" si="31"/>
        <v>#REF!</v>
      </c>
      <c r="Y107" s="919" t="e">
        <f t="shared" si="32"/>
        <v>#REF!</v>
      </c>
      <c r="Z107" s="920" t="e">
        <f t="shared" si="33"/>
        <v>#REF!</v>
      </c>
    </row>
    <row r="108" spans="2:26" ht="26.25" customHeight="1">
      <c r="B108" s="921" t="str">
        <f>+PRESUPUESTO!B108</f>
        <v>16.7.</v>
      </c>
      <c r="C108" s="924" t="str">
        <f>+PRESUPUESTO!C108</f>
        <v xml:space="preserve"> Reinstalación de inodoros, Incluye acople flexible</v>
      </c>
      <c r="D108" s="923" t="str">
        <f>+PRESUPUESTO!D108</f>
        <v>UN</v>
      </c>
      <c r="E108" s="914" t="e">
        <f>+#REF!</f>
        <v>#REF!</v>
      </c>
      <c r="F108" s="915"/>
      <c r="G108" s="914" t="str">
        <f t="shared" si="22"/>
        <v/>
      </c>
      <c r="H108" s="915"/>
      <c r="I108" s="914" t="str">
        <f t="shared" si="23"/>
        <v/>
      </c>
      <c r="J108" s="915"/>
      <c r="K108" s="914" t="str">
        <f t="shared" si="24"/>
        <v/>
      </c>
      <c r="L108" s="915"/>
      <c r="M108" s="914" t="str">
        <f t="shared" si="25"/>
        <v/>
      </c>
      <c r="N108" s="915"/>
      <c r="O108" s="914" t="str">
        <f t="shared" si="26"/>
        <v/>
      </c>
      <c r="P108" s="915"/>
      <c r="Q108" s="914" t="str">
        <f t="shared" si="27"/>
        <v/>
      </c>
      <c r="R108" s="915"/>
      <c r="S108" s="914" t="str">
        <f t="shared" si="27"/>
        <v/>
      </c>
      <c r="T108" s="916"/>
      <c r="U108" s="916" t="e">
        <f t="shared" si="28"/>
        <v>#REF!</v>
      </c>
      <c r="V108" s="917" t="e">
        <f t="shared" si="29"/>
        <v>#REF!</v>
      </c>
      <c r="W108" s="918" t="e">
        <f t="shared" si="30"/>
        <v>#REF!</v>
      </c>
      <c r="X108" s="918" t="e">
        <f t="shared" si="31"/>
        <v>#REF!</v>
      </c>
      <c r="Y108" s="919" t="e">
        <f t="shared" si="32"/>
        <v>#REF!</v>
      </c>
      <c r="Z108" s="920" t="e">
        <f t="shared" si="33"/>
        <v>#REF!</v>
      </c>
    </row>
    <row r="109" spans="2:26" ht="26.25" customHeight="1">
      <c r="B109" s="921" t="str">
        <f>+PRESUPUESTO!B109</f>
        <v>16.8.</v>
      </c>
      <c r="C109" s="924" t="str">
        <f>+PRESUPUESTO!C109</f>
        <v>Reinstalación de lavamanos.  Incluye desague sencillo, sifon tipo botella y acoples flexibles.</v>
      </c>
      <c r="D109" s="923" t="str">
        <f>+PRESUPUESTO!D109</f>
        <v>UN</v>
      </c>
      <c r="E109" s="914" t="e">
        <f>+#REF!</f>
        <v>#REF!</v>
      </c>
      <c r="F109" s="915"/>
      <c r="G109" s="914" t="str">
        <f t="shared" si="22"/>
        <v/>
      </c>
      <c r="H109" s="915"/>
      <c r="I109" s="914" t="str">
        <f t="shared" si="23"/>
        <v/>
      </c>
      <c r="J109" s="915"/>
      <c r="K109" s="914" t="str">
        <f t="shared" si="24"/>
        <v/>
      </c>
      <c r="L109" s="915"/>
      <c r="M109" s="914" t="str">
        <f t="shared" si="25"/>
        <v/>
      </c>
      <c r="N109" s="915"/>
      <c r="O109" s="914" t="str">
        <f t="shared" si="26"/>
        <v/>
      </c>
      <c r="P109" s="915"/>
      <c r="Q109" s="914" t="str">
        <f t="shared" si="27"/>
        <v/>
      </c>
      <c r="R109" s="915"/>
      <c r="S109" s="914" t="str">
        <f t="shared" si="27"/>
        <v/>
      </c>
      <c r="T109" s="916"/>
      <c r="U109" s="916" t="e">
        <f t="shared" si="28"/>
        <v>#REF!</v>
      </c>
      <c r="V109" s="917" t="e">
        <f t="shared" si="29"/>
        <v>#REF!</v>
      </c>
      <c r="W109" s="918" t="e">
        <f t="shared" si="30"/>
        <v>#REF!</v>
      </c>
      <c r="X109" s="918" t="e">
        <f t="shared" si="31"/>
        <v>#REF!</v>
      </c>
      <c r="Y109" s="919" t="e">
        <f t="shared" si="32"/>
        <v>#REF!</v>
      </c>
      <c r="Z109" s="920" t="e">
        <f t="shared" si="33"/>
        <v>#REF!</v>
      </c>
    </row>
    <row r="110" spans="2:26" ht="26.25" customHeight="1">
      <c r="B110" s="921" t="str">
        <f>+PRESUPUESTO!B110</f>
        <v>16.9.</v>
      </c>
      <c r="C110" s="924" t="str">
        <f>+PRESUPUESTO!C110</f>
        <v>Reinstalación de lavamanos quirurgicos. Incluye desague tipo botella y acople flexible</v>
      </c>
      <c r="D110" s="923" t="str">
        <f>+PRESUPUESTO!D110</f>
        <v>UN</v>
      </c>
      <c r="E110" s="914" t="e">
        <f>+#REF!</f>
        <v>#REF!</v>
      </c>
      <c r="F110" s="915"/>
      <c r="G110" s="914" t="str">
        <f t="shared" si="22"/>
        <v/>
      </c>
      <c r="H110" s="915"/>
      <c r="I110" s="914" t="str">
        <f t="shared" si="23"/>
        <v/>
      </c>
      <c r="J110" s="915"/>
      <c r="K110" s="914" t="str">
        <f t="shared" si="24"/>
        <v/>
      </c>
      <c r="L110" s="915"/>
      <c r="M110" s="914" t="str">
        <f t="shared" si="25"/>
        <v/>
      </c>
      <c r="N110" s="915"/>
      <c r="O110" s="914" t="str">
        <f t="shared" si="26"/>
        <v/>
      </c>
      <c r="P110" s="915"/>
      <c r="Q110" s="914" t="str">
        <f t="shared" si="27"/>
        <v/>
      </c>
      <c r="R110" s="915"/>
      <c r="S110" s="914" t="str">
        <f t="shared" si="27"/>
        <v/>
      </c>
      <c r="T110" s="916"/>
      <c r="U110" s="916" t="e">
        <f t="shared" si="28"/>
        <v>#REF!</v>
      </c>
      <c r="V110" s="917" t="e">
        <f t="shared" si="29"/>
        <v>#REF!</v>
      </c>
      <c r="W110" s="918" t="e">
        <f t="shared" si="30"/>
        <v>#REF!</v>
      </c>
      <c r="X110" s="918" t="e">
        <f t="shared" si="31"/>
        <v>#REF!</v>
      </c>
      <c r="Y110" s="919" t="e">
        <f t="shared" si="32"/>
        <v>#REF!</v>
      </c>
      <c r="Z110" s="920" t="e">
        <f t="shared" si="33"/>
        <v>#REF!</v>
      </c>
    </row>
    <row r="111" spans="2:26" s="269" customFormat="1">
      <c r="B111" s="937">
        <f>+PRESUPUESTO!B111</f>
        <v>17</v>
      </c>
      <c r="C111" s="938" t="str">
        <f>+PRESUPUESTO!C111</f>
        <v>MOBILIARIO</v>
      </c>
      <c r="D111" s="939">
        <f>+PRESUPUESTO!D111</f>
        <v>0</v>
      </c>
      <c r="E111" s="940"/>
      <c r="F111" s="940"/>
      <c r="G111" s="940" t="str">
        <f t="shared" si="22"/>
        <v/>
      </c>
      <c r="H111" s="940"/>
      <c r="I111" s="940" t="str">
        <f t="shared" si="23"/>
        <v/>
      </c>
      <c r="J111" s="940"/>
      <c r="K111" s="940" t="str">
        <f t="shared" si="24"/>
        <v/>
      </c>
      <c r="L111" s="940"/>
      <c r="M111" s="940" t="str">
        <f t="shared" si="25"/>
        <v/>
      </c>
      <c r="N111" s="940"/>
      <c r="O111" s="940" t="str">
        <f t="shared" si="26"/>
        <v/>
      </c>
      <c r="P111" s="940"/>
      <c r="Q111" s="940" t="str">
        <f t="shared" si="27"/>
        <v/>
      </c>
      <c r="R111" s="940"/>
      <c r="S111" s="940" t="str">
        <f t="shared" si="27"/>
        <v/>
      </c>
      <c r="T111" s="929"/>
      <c r="U111" s="929"/>
      <c r="V111" s="930"/>
      <c r="W111" s="931"/>
      <c r="X111" s="931"/>
      <c r="Y111" s="932"/>
      <c r="Z111" s="933"/>
    </row>
    <row r="112" spans="2:26" ht="67.5" customHeight="1">
      <c r="B112" s="921" t="str">
        <f>+PRESUPUESTO!B112</f>
        <v>17.1.</v>
      </c>
      <c r="C112" s="924" t="str">
        <f>+PRESUPUESTO!C112</f>
        <v>Suministro e instalación de cajonera metálica en acero Coll Roll cal. 18, dimensiones 48 cm de frente, 48 cm de fondo y 70 cm de altura, dos (2) gavetas y un (1) cajón archivador  correderas extensibles full extensión y con capacidad de carga 80 lb y tope, incluye cerradura frontal que permita asegurar todas las gavetas mediante sistema de trampa (con mínimo dos llaves), con cuatro (4) niveladores regulables y acabado en pintura electrostática color a escoger.</v>
      </c>
      <c r="D112" s="923" t="str">
        <f>+PRESUPUESTO!D112</f>
        <v>ML</v>
      </c>
      <c r="E112" s="914" t="e">
        <f>+#REF!</f>
        <v>#REF!</v>
      </c>
      <c r="F112" s="915"/>
      <c r="G112" s="914" t="str">
        <f t="shared" si="22"/>
        <v/>
      </c>
      <c r="H112" s="915"/>
      <c r="I112" s="914" t="str">
        <f t="shared" si="23"/>
        <v/>
      </c>
      <c r="J112" s="915"/>
      <c r="K112" s="914" t="str">
        <f t="shared" si="24"/>
        <v/>
      </c>
      <c r="L112" s="915">
        <v>397196</v>
      </c>
      <c r="M112" s="914">
        <f t="shared" si="25"/>
        <v>412885</v>
      </c>
      <c r="N112" s="915"/>
      <c r="O112" s="914" t="str">
        <f t="shared" si="26"/>
        <v/>
      </c>
      <c r="P112" s="915"/>
      <c r="Q112" s="914" t="str">
        <f t="shared" si="27"/>
        <v/>
      </c>
      <c r="R112" s="915"/>
      <c r="S112" s="914" t="str">
        <f t="shared" si="27"/>
        <v/>
      </c>
      <c r="T112" s="916" t="e">
        <f t="shared" si="34"/>
        <v>#REF!</v>
      </c>
      <c r="U112" s="916" t="e">
        <f t="shared" si="28"/>
        <v>#REF!</v>
      </c>
      <c r="V112" s="917" t="e">
        <f t="shared" si="29"/>
        <v>#REF!</v>
      </c>
      <c r="W112" s="918" t="e">
        <f t="shared" si="30"/>
        <v>#REF!</v>
      </c>
      <c r="X112" s="918" t="e">
        <f t="shared" si="31"/>
        <v>#REF!</v>
      </c>
      <c r="Y112" s="919" t="e">
        <f t="shared" si="32"/>
        <v>#REF!</v>
      </c>
      <c r="Z112" s="920" t="e">
        <f t="shared" si="33"/>
        <v>#REF!</v>
      </c>
    </row>
    <row r="113" spans="2:26" ht="38.25">
      <c r="B113" s="921" t="str">
        <f>+PRESUPUESTO!B113</f>
        <v>17.2.</v>
      </c>
      <c r="C113" s="924" t="str">
        <f>+PRESUPUESTO!C113</f>
        <v>Suministro e instalación de apoyos a piso (patas)  metálicos para superficies de trabajo de 0.60 m de ancho fabricados  en tubería tubular cuadrada de 2" en "U",   niveladores regulables, acabado en pintura electrostática</v>
      </c>
      <c r="D113" s="923" t="str">
        <f>+PRESUPUESTO!D113</f>
        <v>UN</v>
      </c>
      <c r="E113" s="914" t="e">
        <f>+#REF!</f>
        <v>#REF!</v>
      </c>
      <c r="F113" s="915"/>
      <c r="G113" s="914" t="str">
        <f t="shared" si="22"/>
        <v/>
      </c>
      <c r="H113" s="915"/>
      <c r="I113" s="914" t="str">
        <f t="shared" si="23"/>
        <v/>
      </c>
      <c r="J113" s="915"/>
      <c r="K113" s="914" t="str">
        <f t="shared" si="24"/>
        <v/>
      </c>
      <c r="L113" s="915">
        <v>91048</v>
      </c>
      <c r="M113" s="914">
        <f t="shared" si="25"/>
        <v>94644</v>
      </c>
      <c r="N113" s="915"/>
      <c r="O113" s="914" t="str">
        <f t="shared" si="26"/>
        <v/>
      </c>
      <c r="P113" s="915"/>
      <c r="Q113" s="914" t="str">
        <f t="shared" si="27"/>
        <v/>
      </c>
      <c r="R113" s="915"/>
      <c r="S113" s="914" t="str">
        <f t="shared" si="27"/>
        <v/>
      </c>
      <c r="T113" s="916" t="e">
        <f t="shared" si="34"/>
        <v>#REF!</v>
      </c>
      <c r="U113" s="916" t="e">
        <f t="shared" si="28"/>
        <v>#REF!</v>
      </c>
      <c r="V113" s="917" t="e">
        <f t="shared" si="29"/>
        <v>#REF!</v>
      </c>
      <c r="W113" s="918" t="e">
        <f t="shared" si="30"/>
        <v>#REF!</v>
      </c>
      <c r="X113" s="918" t="e">
        <f t="shared" si="31"/>
        <v>#REF!</v>
      </c>
      <c r="Y113" s="919" t="e">
        <f t="shared" si="32"/>
        <v>#REF!</v>
      </c>
      <c r="Z113" s="920" t="e">
        <f t="shared" si="33"/>
        <v>#REF!</v>
      </c>
    </row>
    <row r="114" spans="2:26" ht="53.25" customHeight="1">
      <c r="B114" s="921" t="str">
        <f>+PRESUPUESTO!B114</f>
        <v>17.3.</v>
      </c>
      <c r="C114" s="924" t="str">
        <f>+PRESUPUESTO!C114</f>
        <v>Suministro e instalacion de lockers metálicos  de 1.80  x 0.63 x 0.30 m  2 filas, 2 columnas fabricados en lámina de acero calibre 24, acabado en  pintura eléctrostática, con gancho ropero, división para zapatera, portacandado, perforado para ventilación, puertas con pin pasante, porta rótulo, sin patas</v>
      </c>
      <c r="D114" s="923" t="str">
        <f>+PRESUPUESTO!D114</f>
        <v>UN</v>
      </c>
      <c r="E114" s="914" t="e">
        <f>+#REF!</f>
        <v>#REF!</v>
      </c>
      <c r="F114" s="915"/>
      <c r="G114" s="914" t="str">
        <f t="shared" si="22"/>
        <v/>
      </c>
      <c r="H114" s="915"/>
      <c r="I114" s="914" t="str">
        <f t="shared" si="23"/>
        <v/>
      </c>
      <c r="J114" s="915"/>
      <c r="K114" s="914" t="str">
        <f t="shared" si="24"/>
        <v/>
      </c>
      <c r="L114" s="915"/>
      <c r="M114" s="914" t="str">
        <f t="shared" si="25"/>
        <v/>
      </c>
      <c r="N114" s="915"/>
      <c r="O114" s="914" t="str">
        <f t="shared" si="26"/>
        <v/>
      </c>
      <c r="P114" s="915"/>
      <c r="Q114" s="914" t="str">
        <f t="shared" si="27"/>
        <v/>
      </c>
      <c r="R114" s="915"/>
      <c r="S114" s="914" t="str">
        <f t="shared" si="27"/>
        <v/>
      </c>
      <c r="T114" s="916"/>
      <c r="U114" s="916" t="e">
        <f t="shared" si="28"/>
        <v>#REF!</v>
      </c>
      <c r="V114" s="917" t="e">
        <f t="shared" si="29"/>
        <v>#REF!</v>
      </c>
      <c r="W114" s="918" t="e">
        <f t="shared" si="30"/>
        <v>#REF!</v>
      </c>
      <c r="X114" s="918" t="e">
        <f t="shared" si="31"/>
        <v>#REF!</v>
      </c>
      <c r="Y114" s="919" t="e">
        <f t="shared" si="32"/>
        <v>#REF!</v>
      </c>
      <c r="Z114" s="920" t="e">
        <f t="shared" si="33"/>
        <v>#REF!</v>
      </c>
    </row>
    <row r="115" spans="2:26" ht="28.5" customHeight="1">
      <c r="B115" s="921" t="str">
        <f>+PRESUPUESTO!B115</f>
        <v xml:space="preserve">17.4. </v>
      </c>
      <c r="C115" s="922" t="str">
        <f>+PRESUPUESTO!C115</f>
        <v>Suministro  e instalación de superficie melamínica de 1.53 x 0.41 m  18 mm color igual o similar al mueble existente con cantos en los cuadro costados</v>
      </c>
      <c r="D115" s="923" t="str">
        <f>+PRESUPUESTO!D115</f>
        <v>UN</v>
      </c>
      <c r="E115" s="914" t="e">
        <f>+#REF!</f>
        <v>#REF!</v>
      </c>
      <c r="F115" s="915"/>
      <c r="G115" s="914" t="str">
        <f t="shared" si="22"/>
        <v/>
      </c>
      <c r="H115" s="915"/>
      <c r="I115" s="914" t="str">
        <f t="shared" si="23"/>
        <v/>
      </c>
      <c r="J115" s="915"/>
      <c r="K115" s="914" t="str">
        <f t="shared" si="24"/>
        <v/>
      </c>
      <c r="L115" s="915"/>
      <c r="M115" s="914" t="str">
        <f t="shared" si="25"/>
        <v/>
      </c>
      <c r="N115" s="915"/>
      <c r="O115" s="914" t="str">
        <f t="shared" si="26"/>
        <v/>
      </c>
      <c r="P115" s="915"/>
      <c r="Q115" s="914" t="str">
        <f t="shared" si="27"/>
        <v/>
      </c>
      <c r="R115" s="915"/>
      <c r="S115" s="914" t="str">
        <f t="shared" si="27"/>
        <v/>
      </c>
      <c r="T115" s="916"/>
      <c r="U115" s="916" t="e">
        <f t="shared" si="28"/>
        <v>#REF!</v>
      </c>
      <c r="V115" s="917" t="e">
        <f t="shared" si="29"/>
        <v>#REF!</v>
      </c>
      <c r="W115" s="918" t="e">
        <f t="shared" si="30"/>
        <v>#REF!</v>
      </c>
      <c r="X115" s="918" t="e">
        <f t="shared" si="31"/>
        <v>#REF!</v>
      </c>
      <c r="Y115" s="919" t="e">
        <f t="shared" si="32"/>
        <v>#REF!</v>
      </c>
      <c r="Z115" s="920" t="e">
        <f t="shared" si="33"/>
        <v>#REF!</v>
      </c>
    </row>
    <row r="116" spans="2:26" s="269" customFormat="1">
      <c r="B116" s="937">
        <f>+PRESUPUESTO!B116</f>
        <v>18</v>
      </c>
      <c r="C116" s="938" t="str">
        <f>+PRESUPUESTO!C116</f>
        <v>EQUIPOS</v>
      </c>
      <c r="D116" s="939">
        <f>+PRESUPUESTO!D116</f>
        <v>0</v>
      </c>
      <c r="E116" s="940"/>
      <c r="F116" s="940"/>
      <c r="G116" s="940" t="str">
        <f t="shared" si="22"/>
        <v/>
      </c>
      <c r="H116" s="940"/>
      <c r="I116" s="940" t="str">
        <f t="shared" si="23"/>
        <v/>
      </c>
      <c r="J116" s="940"/>
      <c r="K116" s="940" t="str">
        <f t="shared" si="24"/>
        <v/>
      </c>
      <c r="L116" s="940"/>
      <c r="M116" s="940" t="str">
        <f t="shared" si="25"/>
        <v/>
      </c>
      <c r="N116" s="940"/>
      <c r="O116" s="940" t="str">
        <f t="shared" si="26"/>
        <v/>
      </c>
      <c r="P116" s="940"/>
      <c r="Q116" s="940" t="str">
        <f t="shared" si="27"/>
        <v/>
      </c>
      <c r="R116" s="940"/>
      <c r="S116" s="940" t="str">
        <f t="shared" si="27"/>
        <v/>
      </c>
      <c r="T116" s="929"/>
      <c r="U116" s="929"/>
      <c r="V116" s="930"/>
      <c r="W116" s="931"/>
      <c r="X116" s="931"/>
      <c r="Y116" s="932"/>
      <c r="Z116" s="933"/>
    </row>
    <row r="117" spans="2:26" ht="51">
      <c r="B117" s="921" t="str">
        <f>+PRESUPUESTO!B117</f>
        <v>18.1.</v>
      </c>
      <c r="C117" s="922" t="str">
        <f>+PRESUPUESTO!C117</f>
        <v xml:space="preserve">Suministro e instalación de bomba centrífuga tipo caracol modelo 15H-3wt descarga 1 1/2" acoplada a motor de 3 hp ,  mantenimiento y calibracion equipo de suministro de agua conformado por dos motores de 3p con bombas centrífigas de caracol descarga de 1 1/2", tanque de presion de 200 lts diafragma, tablero de control IHM. </v>
      </c>
      <c r="D117" s="923" t="str">
        <f>+PRESUPUESTO!D117</f>
        <v>UN</v>
      </c>
      <c r="E117" s="914" t="e">
        <f>+#REF!</f>
        <v>#REF!</v>
      </c>
      <c r="F117" s="915"/>
      <c r="G117" s="914" t="str">
        <f t="shared" si="22"/>
        <v/>
      </c>
      <c r="H117" s="915"/>
      <c r="I117" s="914" t="str">
        <f t="shared" si="23"/>
        <v/>
      </c>
      <c r="J117" s="915"/>
      <c r="K117" s="914" t="str">
        <f t="shared" si="24"/>
        <v/>
      </c>
      <c r="L117" s="915"/>
      <c r="M117" s="914" t="str">
        <f t="shared" si="25"/>
        <v/>
      </c>
      <c r="N117" s="915"/>
      <c r="O117" s="914" t="str">
        <f t="shared" si="26"/>
        <v/>
      </c>
      <c r="P117" s="915"/>
      <c r="Q117" s="914" t="str">
        <f t="shared" si="27"/>
        <v/>
      </c>
      <c r="R117" s="915"/>
      <c r="S117" s="914" t="str">
        <f t="shared" si="27"/>
        <v/>
      </c>
      <c r="T117" s="916"/>
      <c r="U117" s="916" t="e">
        <f t="shared" si="28"/>
        <v>#REF!</v>
      </c>
      <c r="V117" s="917" t="e">
        <f t="shared" si="29"/>
        <v>#REF!</v>
      </c>
      <c r="W117" s="918" t="e">
        <f t="shared" si="30"/>
        <v>#REF!</v>
      </c>
      <c r="X117" s="918" t="e">
        <f t="shared" si="31"/>
        <v>#REF!</v>
      </c>
      <c r="Y117" s="919" t="e">
        <f t="shared" si="32"/>
        <v>#REF!</v>
      </c>
      <c r="Z117" s="920" t="e">
        <f t="shared" si="33"/>
        <v>#REF!</v>
      </c>
    </row>
    <row r="118" spans="2:26" ht="25.5">
      <c r="B118" s="921" t="str">
        <f>+PRESUPUESTO!B118</f>
        <v>18.2.</v>
      </c>
      <c r="C118" s="922" t="str">
        <f>+PRESUPUESTO!C118</f>
        <v>Mantenimiento y calibracion de sistema de eyector compuesto por dos bombas sumergibles con descarga de 2" acopladas a motor electrico de 1" y tablero de control electrico IHM</v>
      </c>
      <c r="D118" s="923" t="str">
        <f>+PRESUPUESTO!D118</f>
        <v>UN</v>
      </c>
      <c r="E118" s="914" t="e">
        <f>+#REF!</f>
        <v>#REF!</v>
      </c>
      <c r="F118" s="915"/>
      <c r="G118" s="914" t="str">
        <f t="shared" si="22"/>
        <v/>
      </c>
      <c r="H118" s="915"/>
      <c r="I118" s="914" t="str">
        <f t="shared" si="23"/>
        <v/>
      </c>
      <c r="J118" s="915"/>
      <c r="K118" s="914" t="str">
        <f t="shared" si="24"/>
        <v/>
      </c>
      <c r="L118" s="915"/>
      <c r="M118" s="914" t="str">
        <f t="shared" si="25"/>
        <v/>
      </c>
      <c r="N118" s="915"/>
      <c r="O118" s="914" t="str">
        <f t="shared" si="26"/>
        <v/>
      </c>
      <c r="P118" s="915"/>
      <c r="Q118" s="914" t="str">
        <f t="shared" si="27"/>
        <v/>
      </c>
      <c r="R118" s="915"/>
      <c r="S118" s="914" t="str">
        <f t="shared" si="27"/>
        <v/>
      </c>
      <c r="T118" s="916"/>
      <c r="U118" s="916" t="e">
        <f t="shared" si="28"/>
        <v>#REF!</v>
      </c>
      <c r="V118" s="917" t="e">
        <f t="shared" si="29"/>
        <v>#REF!</v>
      </c>
      <c r="W118" s="918" t="e">
        <f t="shared" si="30"/>
        <v>#REF!</v>
      </c>
      <c r="X118" s="918" t="e">
        <f t="shared" si="31"/>
        <v>#REF!</v>
      </c>
      <c r="Y118" s="919" t="e">
        <f t="shared" si="32"/>
        <v>#REF!</v>
      </c>
      <c r="Z118" s="920" t="e">
        <f t="shared" si="33"/>
        <v>#REF!</v>
      </c>
    </row>
    <row r="119" spans="2:26">
      <c r="B119" s="265"/>
      <c r="C119" s="266"/>
      <c r="D119" s="267"/>
      <c r="E119" s="268"/>
      <c r="F119" s="268"/>
      <c r="G119" s="268"/>
      <c r="H119" s="268"/>
      <c r="I119" s="268"/>
      <c r="J119" s="268"/>
      <c r="K119" s="268"/>
      <c r="L119" s="268"/>
      <c r="M119" s="268"/>
      <c r="N119" s="268"/>
      <c r="O119" s="268"/>
      <c r="P119" s="268"/>
      <c r="Q119" s="268"/>
      <c r="R119" s="268"/>
      <c r="S119" s="268"/>
      <c r="T119" s="268"/>
      <c r="U119" s="268"/>
      <c r="V119" s="268"/>
      <c r="W119" s="268"/>
      <c r="X119" s="268"/>
      <c r="Y119" s="268"/>
      <c r="Z119" s="268"/>
    </row>
    <row r="120" spans="2:26">
      <c r="B120" s="265"/>
      <c r="C120" s="266"/>
      <c r="D120" s="267"/>
      <c r="E120" s="268"/>
      <c r="F120" s="268"/>
      <c r="G120" s="268"/>
      <c r="H120" s="268"/>
      <c r="I120" s="268"/>
      <c r="J120" s="268"/>
      <c r="K120" s="268"/>
      <c r="L120" s="268"/>
      <c r="M120" s="268"/>
      <c r="N120" s="268"/>
      <c r="O120" s="268"/>
      <c r="P120" s="268"/>
      <c r="Q120" s="268"/>
      <c r="R120" s="268"/>
      <c r="S120" s="268"/>
      <c r="T120" s="268"/>
      <c r="U120" s="268"/>
      <c r="V120" s="268"/>
      <c r="W120" s="268"/>
      <c r="X120" s="268"/>
      <c r="Y120" s="268"/>
      <c r="Z120" s="268"/>
    </row>
    <row r="122" spans="2:26" ht="30.75" customHeight="1">
      <c r="C122" s="941"/>
      <c r="E122" s="233" t="s">
        <v>1037</v>
      </c>
    </row>
  </sheetData>
  <mergeCells count="10">
    <mergeCell ref="B2:X2"/>
    <mergeCell ref="B3:X3"/>
    <mergeCell ref="B4:X4"/>
    <mergeCell ref="F6:G6"/>
    <mergeCell ref="H6:I6"/>
    <mergeCell ref="J6:K6"/>
    <mergeCell ref="L6:M6"/>
    <mergeCell ref="N6:O6"/>
    <mergeCell ref="P6:Q6"/>
    <mergeCell ref="R6:S6"/>
  </mergeCells>
  <conditionalFormatting sqref="Y9:Y11">
    <cfRule type="colorScale" priority="1">
      <colorScale>
        <cfvo type="percent" val="#REF!&lt;30"/>
        <cfvo type="percent" val="#REF!&gt;30"/>
        <color theme="4" tint="0.79998168889431442"/>
        <color theme="9" tint="0.39997558519241921"/>
      </colorScale>
    </cfRule>
  </conditionalFormatting>
  <conditionalFormatting sqref="Y91">
    <cfRule type="colorScale" priority="3">
      <colorScale>
        <cfvo type="percent" val="#REF!&lt;30"/>
        <cfvo type="percent" val="#REF!&gt;30"/>
        <color theme="4" tint="0.79998168889431442"/>
        <color theme="9" tint="0.39997558519241921"/>
      </colorScale>
    </cfRule>
  </conditionalFormatting>
  <conditionalFormatting sqref="Y92:Y107 Y12:Y90 Y111:Y118">
    <cfRule type="colorScale" priority="4">
      <colorScale>
        <cfvo type="percent" val="#REF!&lt;30"/>
        <cfvo type="percent" val="#REF!&gt;30"/>
        <color theme="4" tint="0.79998168889431442"/>
        <color theme="9" tint="0.39997558519241921"/>
      </colorScale>
    </cfRule>
  </conditionalFormatting>
  <conditionalFormatting sqref="Y108:Y110">
    <cfRule type="colorScale" priority="2">
      <colorScale>
        <cfvo type="percent" val="#REF!&lt;30"/>
        <cfvo type="percent" val="#REF!&gt;30"/>
        <color theme="4" tint="0.79998168889431442"/>
        <color theme="9" tint="0.39997558519241921"/>
      </colorScale>
    </cfRule>
  </conditionalFormatting>
  <printOptions horizontalCentered="1"/>
  <pageMargins left="0" right="0" top="0.19685039370078741" bottom="0.19685039370078741" header="0.11811023622047245" footer="0.11811023622047245"/>
  <pageSetup paperSize="14" scale="34" fitToHeight="5" orientation="landscape" r:id="rId1"/>
  <colBreaks count="1" manualBreakCount="1">
    <brk id="26" max="1048575" man="1"/>
  </col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59999389629810485"/>
  </sheetPr>
  <dimension ref="B1:N255"/>
  <sheetViews>
    <sheetView topLeftCell="C10" zoomScale="90" zoomScaleNormal="90" workbookViewId="0">
      <pane xSplit="4" ySplit="3" topLeftCell="G13" activePane="bottomRight" state="frozen"/>
      <selection pane="topRight" activeCell="B9" sqref="B9:F71"/>
      <selection pane="bottomLeft" activeCell="B9" sqref="B9:F71"/>
      <selection pane="bottomRight" activeCell="H100" sqref="H100"/>
    </sheetView>
  </sheetViews>
  <sheetFormatPr baseColWidth="10" defaultColWidth="11.42578125" defaultRowHeight="15"/>
  <cols>
    <col min="1" max="1" width="3.7109375" style="350" customWidth="1"/>
    <col min="2" max="2" width="2" style="350" customWidth="1"/>
    <col min="3" max="3" width="13" style="596" customWidth="1"/>
    <col min="4" max="4" width="10.85546875" style="350" hidden="1" customWidth="1"/>
    <col min="5" max="5" width="12.42578125" style="362" hidden="1" customWidth="1"/>
    <col min="6" max="6" width="76.140625" style="452" customWidth="1"/>
    <col min="7" max="7" width="8.42578125" style="350" customWidth="1"/>
    <col min="8" max="8" width="12.42578125" style="363" customWidth="1"/>
    <col min="9" max="9" width="18.85546875" style="315" customWidth="1"/>
    <col min="10" max="10" width="26" style="320" customWidth="1"/>
    <col min="11" max="11" width="14.42578125" style="350" bestFit="1" customWidth="1"/>
    <col min="12" max="12" width="11.42578125" style="350"/>
    <col min="13" max="13" width="17.7109375" style="350" customWidth="1"/>
    <col min="14" max="14" width="17.7109375" style="350" bestFit="1" customWidth="1"/>
    <col min="15" max="16384" width="11.42578125" style="350"/>
  </cols>
  <sheetData>
    <row r="1" spans="2:11" thickBot="1">
      <c r="C1" s="593"/>
      <c r="E1" s="350"/>
      <c r="H1" s="350"/>
      <c r="I1" s="350"/>
      <c r="J1" s="350"/>
    </row>
    <row r="2" spans="2:11" ht="15.75" thickTop="1">
      <c r="B2" s="364"/>
      <c r="C2" s="594"/>
      <c r="D2" s="351"/>
      <c r="E2" s="365"/>
      <c r="F2" s="453"/>
      <c r="G2" s="351"/>
      <c r="H2" s="366"/>
      <c r="I2" s="367"/>
      <c r="J2" s="368"/>
    </row>
    <row r="3" spans="2:11" ht="27" customHeight="1">
      <c r="B3" s="369"/>
      <c r="C3" s="1138" t="s">
        <v>127</v>
      </c>
      <c r="D3" s="1139"/>
      <c r="E3" s="1139"/>
    </row>
    <row r="4" spans="2:11">
      <c r="B4" s="369"/>
      <c r="C4" s="370" t="s">
        <v>128</v>
      </c>
      <c r="D4" s="371" t="s">
        <v>129</v>
      </c>
      <c r="E4" s="372" t="s">
        <v>130</v>
      </c>
    </row>
    <row r="5" spans="2:11">
      <c r="B5" s="369"/>
      <c r="C5" s="1140"/>
      <c r="D5" s="1140"/>
      <c r="E5" s="1140"/>
      <c r="F5" s="1140"/>
      <c r="G5" s="1140"/>
      <c r="H5" s="1140"/>
      <c r="I5" s="1140"/>
      <c r="J5" s="1140"/>
    </row>
    <row r="6" spans="2:11" ht="15.75" thickBot="1">
      <c r="B6" s="369"/>
      <c r="C6" s="1141" t="s">
        <v>131</v>
      </c>
      <c r="D6" s="1141"/>
      <c r="E6" s="1141"/>
      <c r="F6" s="1141"/>
      <c r="G6" s="1141"/>
      <c r="H6" s="1141"/>
      <c r="I6" s="1141"/>
      <c r="J6" s="1141"/>
    </row>
    <row r="7" spans="2:11" s="352" customFormat="1" ht="14.25">
      <c r="B7" s="373"/>
      <c r="C7" s="1188" t="s">
        <v>132</v>
      </c>
      <c r="D7" s="1189"/>
      <c r="E7" s="1189"/>
      <c r="F7" s="1189"/>
      <c r="G7" s="1189"/>
      <c r="H7" s="1189"/>
      <c r="I7" s="1189"/>
      <c r="J7" s="1190"/>
    </row>
    <row r="8" spans="2:11" ht="33.75" customHeight="1">
      <c r="B8" s="374"/>
      <c r="C8" s="1191"/>
      <c r="D8" s="1192"/>
      <c r="E8" s="1192"/>
      <c r="F8" s="1192"/>
      <c r="G8" s="1192"/>
      <c r="H8" s="1192"/>
      <c r="I8" s="1192"/>
      <c r="J8" s="1193"/>
    </row>
    <row r="9" spans="2:11" ht="42.75" customHeight="1">
      <c r="B9" s="374"/>
      <c r="C9" s="1194" t="s">
        <v>133</v>
      </c>
      <c r="D9" s="1195"/>
      <c r="E9" s="1195"/>
      <c r="F9" s="1195"/>
      <c r="G9" s="1195"/>
      <c r="H9" s="1195"/>
      <c r="I9" s="1195"/>
      <c r="J9" s="1196"/>
    </row>
    <row r="10" spans="2:11" ht="30" customHeight="1" thickBot="1">
      <c r="B10" s="369"/>
      <c r="C10" s="1135"/>
      <c r="D10" s="1136"/>
      <c r="E10" s="1136"/>
      <c r="F10" s="1136"/>
      <c r="G10" s="1136"/>
      <c r="H10" s="1136"/>
      <c r="I10" s="1136"/>
      <c r="J10" s="1137"/>
    </row>
    <row r="11" spans="2:11" ht="43.5" customHeight="1" thickBot="1">
      <c r="B11" s="369"/>
      <c r="C11" s="392" t="s">
        <v>134</v>
      </c>
      <c r="D11" s="393" t="s">
        <v>135</v>
      </c>
      <c r="E11" s="398" t="s">
        <v>1038</v>
      </c>
      <c r="F11" s="394" t="s">
        <v>3</v>
      </c>
      <c r="G11" s="395" t="s">
        <v>137</v>
      </c>
      <c r="H11" s="396" t="s">
        <v>87</v>
      </c>
      <c r="I11" s="397" t="s">
        <v>6</v>
      </c>
      <c r="J11" s="391" t="s">
        <v>1039</v>
      </c>
    </row>
    <row r="12" spans="2:11" ht="24.95" customHeight="1" thickBot="1">
      <c r="B12" s="369"/>
      <c r="C12" s="344"/>
      <c r="D12" s="345"/>
      <c r="E12" s="345"/>
      <c r="F12" s="345" t="s">
        <v>142</v>
      </c>
      <c r="G12" s="345"/>
      <c r="H12" s="346"/>
      <c r="I12" s="343"/>
      <c r="J12" s="347"/>
    </row>
    <row r="13" spans="2:11" s="352" customFormat="1" ht="57" customHeight="1">
      <c r="B13" s="375"/>
      <c r="C13" s="303">
        <v>1.1000000000000001</v>
      </c>
      <c r="D13" s="341"/>
      <c r="E13" s="342"/>
      <c r="F13" s="353" t="s">
        <v>1040</v>
      </c>
      <c r="G13" s="376" t="s">
        <v>145</v>
      </c>
      <c r="H13" s="377">
        <v>70</v>
      </c>
      <c r="I13" s="378" t="e">
        <f>+#REF!</f>
        <v>#REF!</v>
      </c>
      <c r="J13" s="379" t="e">
        <f>+I13*H13</f>
        <v>#REF!</v>
      </c>
      <c r="K13" s="352" t="e" cm="1">
        <f t="array" ref="K13">EXACT(F13,#REF!)</f>
        <v>#REF!</v>
      </c>
    </row>
    <row r="14" spans="2:11" s="352" customFormat="1" ht="42.75">
      <c r="B14" s="375"/>
      <c r="C14" s="638">
        <v>1.2</v>
      </c>
      <c r="D14" s="403"/>
      <c r="E14" s="792"/>
      <c r="F14" s="793" t="s">
        <v>1041</v>
      </c>
      <c r="G14" s="404" t="s">
        <v>117</v>
      </c>
      <c r="H14" s="794">
        <v>18</v>
      </c>
      <c r="I14" s="942" t="e">
        <f>+#REF!</f>
        <v>#REF!</v>
      </c>
      <c r="J14" s="623" t="e">
        <f t="shared" ref="J14:J26" si="0">+I14*H14</f>
        <v>#REF!</v>
      </c>
      <c r="K14" s="352" t="e" cm="1">
        <f t="array" ref="K14">EXACT(F14,#REF!)</f>
        <v>#REF!</v>
      </c>
    </row>
    <row r="15" spans="2:11" s="352" customFormat="1" ht="28.5">
      <c r="B15" s="375"/>
      <c r="C15" s="638">
        <v>1.3</v>
      </c>
      <c r="D15" s="403"/>
      <c r="E15" s="792"/>
      <c r="F15" s="793" t="s">
        <v>1042</v>
      </c>
      <c r="G15" s="404" t="s">
        <v>145</v>
      </c>
      <c r="H15" s="794">
        <v>20</v>
      </c>
      <c r="I15" s="942" t="e">
        <f>+#REF!</f>
        <v>#REF!</v>
      </c>
      <c r="J15" s="623" t="e">
        <f t="shared" si="0"/>
        <v>#REF!</v>
      </c>
      <c r="K15" s="352" t="e" cm="1">
        <f t="array" ref="K15">EXACT(F15,#REF!)</f>
        <v>#REF!</v>
      </c>
    </row>
    <row r="16" spans="2:11" s="352" customFormat="1" ht="42.75">
      <c r="B16" s="375"/>
      <c r="C16" s="638">
        <v>1.4</v>
      </c>
      <c r="D16" s="403"/>
      <c r="E16" s="792"/>
      <c r="F16" s="793" t="s">
        <v>1043</v>
      </c>
      <c r="G16" s="404" t="s">
        <v>145</v>
      </c>
      <c r="H16" s="794">
        <v>95</v>
      </c>
      <c r="I16" s="942" t="e">
        <f>+#REF!</f>
        <v>#REF!</v>
      </c>
      <c r="J16" s="623" t="e">
        <f t="shared" si="0"/>
        <v>#REF!</v>
      </c>
      <c r="K16" s="352" t="e" cm="1">
        <f t="array" ref="K16">EXACT(F16,#REF!)</f>
        <v>#REF!</v>
      </c>
    </row>
    <row r="17" spans="2:11" s="352" customFormat="1" ht="28.5">
      <c r="B17" s="375"/>
      <c r="C17" s="638">
        <f>+C16+0.1</f>
        <v>1.5</v>
      </c>
      <c r="D17" s="403"/>
      <c r="E17" s="792"/>
      <c r="F17" s="793" t="s">
        <v>1044</v>
      </c>
      <c r="G17" s="404" t="s">
        <v>154</v>
      </c>
      <c r="H17" s="794">
        <v>15</v>
      </c>
      <c r="I17" s="942" t="e">
        <f>+#REF!</f>
        <v>#REF!</v>
      </c>
      <c r="J17" s="623" t="e">
        <f t="shared" si="0"/>
        <v>#REF!</v>
      </c>
      <c r="K17" s="352" t="e" cm="1">
        <f t="array" ref="K17">EXACT(F17,#REF!)</f>
        <v>#REF!</v>
      </c>
    </row>
    <row r="18" spans="2:11" ht="75.75" customHeight="1">
      <c r="B18" s="369"/>
      <c r="C18" s="638">
        <f t="shared" ref="C18:C20" si="1">+C17+0.1</f>
        <v>1.6</v>
      </c>
      <c r="D18" s="403"/>
      <c r="E18" s="792"/>
      <c r="F18" s="793" t="s">
        <v>1045</v>
      </c>
      <c r="G18" s="404" t="s">
        <v>145</v>
      </c>
      <c r="H18" s="943">
        <v>70</v>
      </c>
      <c r="I18" s="942" t="e">
        <f>+#REF!</f>
        <v>#REF!</v>
      </c>
      <c r="J18" s="623" t="e">
        <f t="shared" si="0"/>
        <v>#REF!</v>
      </c>
      <c r="K18" s="350" t="e" cm="1">
        <f t="array" ref="K18">EXACT(F18,#REF!)</f>
        <v>#REF!</v>
      </c>
    </row>
    <row r="19" spans="2:11" ht="40.5" customHeight="1">
      <c r="B19" s="369"/>
      <c r="C19" s="638">
        <f t="shared" si="1"/>
        <v>1.7000000000000002</v>
      </c>
      <c r="D19" s="403"/>
      <c r="E19" s="792"/>
      <c r="F19" s="793" t="s">
        <v>1046</v>
      </c>
      <c r="G19" s="404" t="s">
        <v>154</v>
      </c>
      <c r="H19" s="943">
        <v>35</v>
      </c>
      <c r="I19" s="942" t="e">
        <f>+#REF!</f>
        <v>#REF!</v>
      </c>
      <c r="J19" s="623" t="e">
        <f t="shared" si="0"/>
        <v>#REF!</v>
      </c>
      <c r="K19" s="350" t="e" cm="1">
        <f t="array" ref="K19">EXACT(F19,#REF!)</f>
        <v>#REF!</v>
      </c>
    </row>
    <row r="20" spans="2:11" ht="89.25" customHeight="1">
      <c r="B20" s="369"/>
      <c r="C20" s="638">
        <f t="shared" si="1"/>
        <v>1.8000000000000003</v>
      </c>
      <c r="D20" s="403"/>
      <c r="E20" s="792"/>
      <c r="F20" s="793" t="s">
        <v>1047</v>
      </c>
      <c r="G20" s="806" t="s">
        <v>117</v>
      </c>
      <c r="H20" s="1065">
        <v>4</v>
      </c>
      <c r="I20" s="942" t="e">
        <f>+#REF!</f>
        <v>#REF!</v>
      </c>
      <c r="J20" s="623" t="e">
        <f t="shared" si="0"/>
        <v>#REF!</v>
      </c>
      <c r="K20" s="350" t="e" cm="1">
        <f t="array" ref="K20">EXACT(F20,#REF!)</f>
        <v>#REF!</v>
      </c>
    </row>
    <row r="21" spans="2:11" ht="34.5" customHeight="1">
      <c r="B21" s="369"/>
      <c r="C21" s="638">
        <v>1.9</v>
      </c>
      <c r="D21" s="1066"/>
      <c r="E21" s="1067"/>
      <c r="F21" s="1068" t="s">
        <v>1048</v>
      </c>
      <c r="G21" s="806" t="s">
        <v>117</v>
      </c>
      <c r="H21" s="1065">
        <v>20</v>
      </c>
      <c r="I21" s="1069" t="e">
        <f>+#REF!</f>
        <v>#REF!</v>
      </c>
      <c r="J21" s="623" t="e">
        <f t="shared" si="0"/>
        <v>#REF!</v>
      </c>
      <c r="K21" s="350" t="e" cm="1">
        <f t="array" ref="K21">EXACT(F21,#REF!)</f>
        <v>#REF!</v>
      </c>
    </row>
    <row r="22" spans="2:11" ht="43.5" customHeight="1">
      <c r="B22" s="369"/>
      <c r="C22" s="944">
        <v>1.1000000000000001</v>
      </c>
      <c r="D22" s="403"/>
      <c r="E22" s="792"/>
      <c r="F22" s="793" t="s">
        <v>1049</v>
      </c>
      <c r="G22" s="806" t="s">
        <v>145</v>
      </c>
      <c r="H22" s="446">
        <v>310</v>
      </c>
      <c r="I22" s="447" t="e">
        <f>#REF!</f>
        <v>#REF!</v>
      </c>
      <c r="J22" s="623" t="e">
        <f t="shared" si="0"/>
        <v>#REF!</v>
      </c>
      <c r="K22" s="350" t="e" cm="1">
        <f t="array" ref="K22">EXACT(F22,#REF!)</f>
        <v>#REF!</v>
      </c>
    </row>
    <row r="23" spans="2:11" ht="44.25" customHeight="1">
      <c r="B23" s="369"/>
      <c r="C23" s="944">
        <v>1.1100000000000001</v>
      </c>
      <c r="D23" s="403"/>
      <c r="E23" s="792"/>
      <c r="F23" s="793" t="s">
        <v>1050</v>
      </c>
      <c r="G23" s="806" t="s">
        <v>145</v>
      </c>
      <c r="H23" s="446">
        <v>60</v>
      </c>
      <c r="I23" s="447" t="e">
        <f>#REF!</f>
        <v>#REF!</v>
      </c>
      <c r="J23" s="623" t="e">
        <f t="shared" si="0"/>
        <v>#REF!</v>
      </c>
      <c r="K23" s="350" t="e" cm="1">
        <f t="array" ref="K23">EXACT(F23,#REF!)</f>
        <v>#REF!</v>
      </c>
    </row>
    <row r="24" spans="2:11" ht="84" customHeight="1">
      <c r="B24" s="369"/>
      <c r="C24" s="944">
        <v>1.1200000000000001</v>
      </c>
      <c r="D24" s="403"/>
      <c r="E24" s="792"/>
      <c r="F24" s="793" t="s">
        <v>1051</v>
      </c>
      <c r="G24" s="806" t="s">
        <v>145</v>
      </c>
      <c r="H24" s="446">
        <v>35</v>
      </c>
      <c r="I24" s="447" t="e">
        <f>#REF!</f>
        <v>#REF!</v>
      </c>
      <c r="J24" s="623" t="e">
        <f t="shared" si="0"/>
        <v>#REF!</v>
      </c>
      <c r="K24" s="350" t="e" cm="1">
        <f t="array" ref="K24">EXACT(F24,#REF!)</f>
        <v>#REF!</v>
      </c>
    </row>
    <row r="25" spans="2:11" ht="32.25" customHeight="1">
      <c r="B25" s="369"/>
      <c r="C25" s="944">
        <v>1.1299999999999999</v>
      </c>
      <c r="D25" s="403"/>
      <c r="E25" s="792"/>
      <c r="F25" s="793" t="s">
        <v>1052</v>
      </c>
      <c r="G25" s="806" t="s">
        <v>145</v>
      </c>
      <c r="H25" s="446">
        <v>40</v>
      </c>
      <c r="I25" s="447" t="e">
        <f>#REF!</f>
        <v>#REF!</v>
      </c>
      <c r="J25" s="623" t="e">
        <f t="shared" si="0"/>
        <v>#REF!</v>
      </c>
      <c r="K25" s="350" t="e" cm="1">
        <f t="array" ref="K25">EXACT(F25,#REF!)</f>
        <v>#REF!</v>
      </c>
    </row>
    <row r="26" spans="2:11" ht="28.5">
      <c r="B26" s="369"/>
      <c r="C26" s="944">
        <v>1.1399999999999999</v>
      </c>
      <c r="D26" s="403"/>
      <c r="E26" s="792"/>
      <c r="F26" s="793" t="s">
        <v>1053</v>
      </c>
      <c r="G26" s="806" t="s">
        <v>145</v>
      </c>
      <c r="H26" s="446">
        <f>+(0.6*0.6)*20</f>
        <v>7.1999999999999993</v>
      </c>
      <c r="I26" s="447" t="e">
        <f>#REF!</f>
        <v>#REF!</v>
      </c>
      <c r="J26" s="623" t="e">
        <f t="shared" si="0"/>
        <v>#REF!</v>
      </c>
      <c r="K26" s="350" t="e" cm="1">
        <f t="array" ref="K26">EXACT(F26,#REF!)</f>
        <v>#REF!</v>
      </c>
    </row>
    <row r="27" spans="2:11" ht="20.100000000000001" customHeight="1" thickBot="1">
      <c r="B27" s="369"/>
      <c r="C27" s="1070"/>
      <c r="D27" s="1070"/>
      <c r="E27" s="1070"/>
      <c r="F27" s="601"/>
      <c r="G27" s="601"/>
      <c r="H27" s="380"/>
      <c r="I27" s="381" t="s">
        <v>1054</v>
      </c>
      <c r="J27" s="382" t="e">
        <f>+SUBTOTAL(9,J13:J26)</f>
        <v>#REF!</v>
      </c>
    </row>
    <row r="28" spans="2:11" ht="24.95" customHeight="1" thickBot="1">
      <c r="B28" s="369"/>
      <c r="C28" s="309" t="s">
        <v>173</v>
      </c>
      <c r="D28" s="316"/>
      <c r="E28" s="317"/>
      <c r="F28" s="354" t="s">
        <v>174</v>
      </c>
      <c r="G28" s="317"/>
      <c r="H28" s="318"/>
      <c r="I28" s="383"/>
      <c r="J28" s="319"/>
    </row>
    <row r="29" spans="2:11" ht="45" customHeight="1">
      <c r="B29" s="369"/>
      <c r="C29" s="303">
        <v>2.1</v>
      </c>
      <c r="D29" s="341"/>
      <c r="E29" s="342"/>
      <c r="F29" s="353" t="s">
        <v>1055</v>
      </c>
      <c r="G29" s="384" t="s">
        <v>117</v>
      </c>
      <c r="H29" s="385">
        <v>4</v>
      </c>
      <c r="I29" s="378" t="e">
        <f>+#REF!</f>
        <v>#REF!</v>
      </c>
      <c r="J29" s="379" t="e">
        <f t="shared" ref="J29:J34" si="2">+I29*H29</f>
        <v>#REF!</v>
      </c>
    </row>
    <row r="30" spans="2:11" ht="46.5" customHeight="1">
      <c r="B30" s="369"/>
      <c r="C30" s="638">
        <v>2.2000000000000002</v>
      </c>
      <c r="D30" s="403"/>
      <c r="E30" s="792"/>
      <c r="F30" s="793" t="s">
        <v>1056</v>
      </c>
      <c r="G30" s="806" t="s">
        <v>154</v>
      </c>
      <c r="H30" s="1071">
        <v>20</v>
      </c>
      <c r="I30" s="386" t="e">
        <f>+#REF!</f>
        <v>#REF!</v>
      </c>
      <c r="J30" s="387" t="e">
        <f t="shared" si="2"/>
        <v>#REF!</v>
      </c>
    </row>
    <row r="31" spans="2:11" ht="42.75">
      <c r="B31" s="369"/>
      <c r="C31" s="638">
        <v>2.2999999999999998</v>
      </c>
      <c r="D31" s="403"/>
      <c r="E31" s="792"/>
      <c r="F31" s="793" t="s">
        <v>1057</v>
      </c>
      <c r="G31" s="806" t="s">
        <v>117</v>
      </c>
      <c r="H31" s="1071">
        <v>4</v>
      </c>
      <c r="I31" s="386" t="e">
        <f>+#REF!</f>
        <v>#REF!</v>
      </c>
      <c r="J31" s="387" t="e">
        <f t="shared" si="2"/>
        <v>#REF!</v>
      </c>
    </row>
    <row r="32" spans="2:11" ht="42.75">
      <c r="B32" s="369"/>
      <c r="C32" s="638">
        <v>2.4</v>
      </c>
      <c r="D32" s="403"/>
      <c r="E32" s="792"/>
      <c r="F32" s="793" t="s">
        <v>1058</v>
      </c>
      <c r="G32" s="806" t="s">
        <v>154</v>
      </c>
      <c r="H32" s="1071">
        <v>15</v>
      </c>
      <c r="I32" s="386" t="e">
        <f>+#REF!</f>
        <v>#REF!</v>
      </c>
      <c r="J32" s="387" t="e">
        <f t="shared" si="2"/>
        <v>#REF!</v>
      </c>
    </row>
    <row r="33" spans="2:11" ht="30" customHeight="1">
      <c r="B33" s="369"/>
      <c r="C33" s="638">
        <v>2.5</v>
      </c>
      <c r="D33" s="403"/>
      <c r="E33" s="792"/>
      <c r="F33" s="793" t="s">
        <v>1059</v>
      </c>
      <c r="G33" s="806" t="s">
        <v>117</v>
      </c>
      <c r="H33" s="1071">
        <v>4</v>
      </c>
      <c r="I33" s="386" t="e">
        <f>+#REF!</f>
        <v>#REF!</v>
      </c>
      <c r="J33" s="387" t="e">
        <f t="shared" si="2"/>
        <v>#REF!</v>
      </c>
    </row>
    <row r="34" spans="2:11" ht="45" customHeight="1">
      <c r="B34" s="369"/>
      <c r="C34" s="638">
        <v>2.6</v>
      </c>
      <c r="D34" s="403"/>
      <c r="E34" s="792"/>
      <c r="F34" s="793" t="s">
        <v>1060</v>
      </c>
      <c r="G34" s="806" t="s">
        <v>137</v>
      </c>
      <c r="H34" s="1071">
        <v>18</v>
      </c>
      <c r="I34" s="386" t="e">
        <f>#REF!</f>
        <v>#REF!</v>
      </c>
      <c r="J34" s="387" t="e">
        <f t="shared" si="2"/>
        <v>#REF!</v>
      </c>
    </row>
    <row r="35" spans="2:11" ht="20.100000000000001" customHeight="1" thickBot="1">
      <c r="B35" s="369"/>
      <c r="C35" s="945"/>
      <c r="D35" s="946"/>
      <c r="E35" s="946"/>
      <c r="F35" s="946"/>
      <c r="G35" s="947"/>
      <c r="H35" s="948"/>
      <c r="I35" s="949" t="s">
        <v>1054</v>
      </c>
      <c r="J35" s="949" t="e">
        <f>+SUBTOTAL(9,J29:J34)</f>
        <v>#REF!</v>
      </c>
    </row>
    <row r="36" spans="2:11" ht="24.95" customHeight="1" thickBot="1">
      <c r="B36" s="369"/>
      <c r="C36" s="309" t="s">
        <v>187</v>
      </c>
      <c r="D36" s="310"/>
      <c r="E36" s="310"/>
      <c r="F36" s="354" t="s">
        <v>505</v>
      </c>
      <c r="G36" s="310"/>
      <c r="H36" s="314"/>
      <c r="I36" s="383"/>
      <c r="J36" s="312"/>
    </row>
    <row r="37" spans="2:11" ht="30" customHeight="1">
      <c r="B37" s="369"/>
      <c r="C37" s="303">
        <v>3.1</v>
      </c>
      <c r="D37" s="302"/>
      <c r="E37" s="298"/>
      <c r="F37" s="355" t="s">
        <v>1061</v>
      </c>
      <c r="G37" s="332" t="s">
        <v>145</v>
      </c>
      <c r="H37" s="326">
        <v>87</v>
      </c>
      <c r="I37" s="386" t="e">
        <f>+#REF!</f>
        <v>#REF!</v>
      </c>
      <c r="J37" s="339" t="e">
        <f t="shared" ref="J37:J39" si="3">+I37*H37</f>
        <v>#REF!</v>
      </c>
    </row>
    <row r="38" spans="2:11" ht="75.75" customHeight="1">
      <c r="B38" s="369"/>
      <c r="C38" s="638">
        <v>3.2</v>
      </c>
      <c r="D38" s="407"/>
      <c r="E38" s="950"/>
      <c r="F38" s="793" t="s">
        <v>1062</v>
      </c>
      <c r="G38" s="806" t="s">
        <v>117</v>
      </c>
      <c r="H38" s="797">
        <v>20</v>
      </c>
      <c r="I38" s="386" t="e">
        <f>+#REF!</f>
        <v>#REF!</v>
      </c>
      <c r="J38" s="951" t="e">
        <f t="shared" si="3"/>
        <v>#REF!</v>
      </c>
    </row>
    <row r="39" spans="2:11" ht="65.25" customHeight="1">
      <c r="B39" s="369"/>
      <c r="C39" s="638">
        <v>3.3</v>
      </c>
      <c r="D39" s="407"/>
      <c r="E39" s="950"/>
      <c r="F39" s="793" t="s">
        <v>1063</v>
      </c>
      <c r="G39" s="808" t="s">
        <v>154</v>
      </c>
      <c r="H39" s="797">
        <f>14*0.7</f>
        <v>9.7999999999999989</v>
      </c>
      <c r="I39" s="386" t="e">
        <f>+#REF!</f>
        <v>#REF!</v>
      </c>
      <c r="J39" s="951" t="e">
        <f t="shared" si="3"/>
        <v>#REF!</v>
      </c>
    </row>
    <row r="40" spans="2:11" ht="20.100000000000001" customHeight="1" thickBot="1">
      <c r="B40" s="369"/>
      <c r="C40" s="945"/>
      <c r="D40" s="946"/>
      <c r="E40" s="946"/>
      <c r="F40" s="946"/>
      <c r="G40" s="947"/>
      <c r="H40" s="1072"/>
      <c r="I40" s="405" t="s">
        <v>1054</v>
      </c>
      <c r="J40" s="405" t="e">
        <f>+SUBTOTAL(9,J37:J39)</f>
        <v>#REF!</v>
      </c>
    </row>
    <row r="41" spans="2:11" ht="24.95" customHeight="1" thickBot="1">
      <c r="B41" s="369"/>
      <c r="C41" s="306" t="s">
        <v>194</v>
      </c>
      <c r="D41" s="300"/>
      <c r="E41" s="300"/>
      <c r="F41" s="354" t="s">
        <v>506</v>
      </c>
      <c r="G41" s="310"/>
      <c r="H41" s="314"/>
      <c r="I41" s="383"/>
      <c r="J41" s="312"/>
    </row>
    <row r="42" spans="2:11" s="352" customFormat="1" ht="105.75" customHeight="1">
      <c r="B42" s="375"/>
      <c r="C42" s="638">
        <v>4.0999999999999996</v>
      </c>
      <c r="D42" s="403"/>
      <c r="E42" s="792"/>
      <c r="F42" s="809" t="s">
        <v>1064</v>
      </c>
      <c r="G42" s="796" t="s">
        <v>154</v>
      </c>
      <c r="H42" s="797">
        <v>26</v>
      </c>
      <c r="I42" s="386" t="e">
        <f>+#REF!</f>
        <v>#REF!</v>
      </c>
      <c r="J42" s="952" t="e">
        <f t="shared" ref="J42:J43" si="4">+I42*H42</f>
        <v>#REF!</v>
      </c>
      <c r="K42" s="350"/>
    </row>
    <row r="43" spans="2:11" ht="27.75" customHeight="1">
      <c r="B43" s="369"/>
      <c r="C43" s="638">
        <v>4.2</v>
      </c>
      <c r="D43" s="406"/>
      <c r="E43" s="796"/>
      <c r="F43" s="809" t="s">
        <v>1065</v>
      </c>
      <c r="G43" s="796" t="s">
        <v>145</v>
      </c>
      <c r="H43" s="797">
        <f>6.9*6.5</f>
        <v>44.85</v>
      </c>
      <c r="I43" s="386" t="e">
        <f>+#REF!</f>
        <v>#REF!</v>
      </c>
      <c r="J43" s="952" t="e">
        <f t="shared" si="4"/>
        <v>#REF!</v>
      </c>
    </row>
    <row r="44" spans="2:11" ht="42" customHeight="1">
      <c r="B44" s="369"/>
      <c r="C44" s="638">
        <v>4.3</v>
      </c>
      <c r="D44" s="406"/>
      <c r="E44" s="796"/>
      <c r="F44" s="811" t="s">
        <v>1066</v>
      </c>
      <c r="G44" s="806" t="s">
        <v>145</v>
      </c>
      <c r="H44" s="797">
        <f>+H43</f>
        <v>44.85</v>
      </c>
      <c r="I44" s="386" t="e">
        <f>+#REF!</f>
        <v>#REF!</v>
      </c>
      <c r="J44" s="953" t="e">
        <f>+H44*I44</f>
        <v>#REF!</v>
      </c>
    </row>
    <row r="45" spans="2:11" ht="30" customHeight="1">
      <c r="B45" s="369"/>
      <c r="C45" s="638">
        <v>4.4000000000000004</v>
      </c>
      <c r="D45" s="406"/>
      <c r="E45" s="796"/>
      <c r="F45" s="811" t="s">
        <v>696</v>
      </c>
      <c r="G45" s="806" t="s">
        <v>154</v>
      </c>
      <c r="H45" s="797">
        <f>6.9+6.5+6.9+6.5</f>
        <v>26.8</v>
      </c>
      <c r="I45" s="386" t="e">
        <f>+#REF!</f>
        <v>#REF!</v>
      </c>
      <c r="J45" s="953" t="e">
        <f t="shared" ref="J45:J47" si="5">+I45*H45</f>
        <v>#REF!</v>
      </c>
    </row>
    <row r="46" spans="2:11" ht="27" customHeight="1">
      <c r="B46" s="369"/>
      <c r="C46" s="638">
        <v>4.5</v>
      </c>
      <c r="D46" s="1073"/>
      <c r="E46" s="1074"/>
      <c r="F46" s="809" t="s">
        <v>1067</v>
      </c>
      <c r="G46" s="806" t="s">
        <v>145</v>
      </c>
      <c r="H46" s="797">
        <f>+H44</f>
        <v>44.85</v>
      </c>
      <c r="I46" s="386" t="e">
        <f>#REF!</f>
        <v>#REF!</v>
      </c>
      <c r="J46" s="953" t="e">
        <f t="shared" si="5"/>
        <v>#REF!</v>
      </c>
    </row>
    <row r="47" spans="2:11" ht="45.75" customHeight="1">
      <c r="B47" s="369"/>
      <c r="C47" s="638">
        <v>4.5999999999999996</v>
      </c>
      <c r="D47" s="1073"/>
      <c r="E47" s="1074"/>
      <c r="F47" s="809" t="s">
        <v>1068</v>
      </c>
      <c r="G47" s="806" t="s">
        <v>145</v>
      </c>
      <c r="H47" s="797">
        <v>15.6</v>
      </c>
      <c r="I47" s="386" t="e">
        <f>#REF!</f>
        <v>#REF!</v>
      </c>
      <c r="J47" s="953" t="e">
        <f t="shared" si="5"/>
        <v>#REF!</v>
      </c>
    </row>
    <row r="48" spans="2:11" ht="20.100000000000001" customHeight="1" thickBot="1">
      <c r="B48" s="369"/>
      <c r="C48" s="602"/>
      <c r="D48" s="1075"/>
      <c r="E48" s="1075"/>
      <c r="F48" s="1075"/>
      <c r="G48" s="1076"/>
      <c r="H48" s="1077"/>
      <c r="I48" s="1078" t="s">
        <v>1054</v>
      </c>
      <c r="J48" s="1078" t="e">
        <f>+SUBTOTAL(9,J42:J47)</f>
        <v>#REF!</v>
      </c>
    </row>
    <row r="49" spans="2:11" ht="24.95" customHeight="1" thickBot="1">
      <c r="B49" s="369"/>
      <c r="C49" s="306" t="s">
        <v>206</v>
      </c>
      <c r="D49" s="300"/>
      <c r="E49" s="300"/>
      <c r="F49" s="356" t="s">
        <v>508</v>
      </c>
      <c r="G49" s="310"/>
      <c r="H49" s="314"/>
      <c r="I49" s="383"/>
      <c r="J49" s="312"/>
    </row>
    <row r="50" spans="2:11" ht="71.25">
      <c r="B50" s="369"/>
      <c r="C50" s="303">
        <v>5.0999999999999996</v>
      </c>
      <c r="D50" s="406"/>
      <c r="E50" s="796"/>
      <c r="F50" s="355" t="s">
        <v>1069</v>
      </c>
      <c r="G50" s="332" t="s">
        <v>145</v>
      </c>
      <c r="H50" s="326">
        <v>70</v>
      </c>
      <c r="I50" s="386" t="e">
        <f>+#REF!</f>
        <v>#REF!</v>
      </c>
      <c r="J50" s="321" t="e">
        <f t="shared" ref="J50:J52" si="6">+I50*H50</f>
        <v>#REF!</v>
      </c>
    </row>
    <row r="51" spans="2:11" ht="42.75">
      <c r="B51" s="369"/>
      <c r="C51" s="638">
        <v>5.2</v>
      </c>
      <c r="D51" s="406"/>
      <c r="E51" s="796"/>
      <c r="F51" s="793" t="s">
        <v>1070</v>
      </c>
      <c r="G51" s="806" t="s">
        <v>117</v>
      </c>
      <c r="H51" s="797">
        <v>20</v>
      </c>
      <c r="I51" s="386" t="e">
        <f>+#REF!</f>
        <v>#REF!</v>
      </c>
      <c r="J51" s="954" t="e">
        <f t="shared" si="6"/>
        <v>#REF!</v>
      </c>
    </row>
    <row r="52" spans="2:11" ht="90.75" customHeight="1">
      <c r="B52" s="369"/>
      <c r="C52" s="638">
        <v>5.3</v>
      </c>
      <c r="D52" s="406"/>
      <c r="E52" s="796"/>
      <c r="F52" s="793" t="s">
        <v>1071</v>
      </c>
      <c r="G52" s="796" t="s">
        <v>145</v>
      </c>
      <c r="H52" s="797">
        <v>44.85</v>
      </c>
      <c r="I52" s="386" t="e">
        <f>+#REF!</f>
        <v>#REF!</v>
      </c>
      <c r="J52" s="954" t="e">
        <f t="shared" si="6"/>
        <v>#REF!</v>
      </c>
    </row>
    <row r="53" spans="2:11" ht="20.100000000000001" customHeight="1" thickBot="1">
      <c r="B53" s="369"/>
      <c r="C53" s="945"/>
      <c r="D53" s="946"/>
      <c r="E53" s="946"/>
      <c r="F53" s="946"/>
      <c r="G53" s="947"/>
      <c r="H53" s="1077"/>
      <c r="I53" s="408" t="s">
        <v>1054</v>
      </c>
      <c r="J53" s="408" t="e">
        <f>+SUBTOTAL(9,J50:J52)</f>
        <v>#REF!</v>
      </c>
    </row>
    <row r="54" spans="2:11" ht="24.95" customHeight="1" thickBot="1">
      <c r="B54" s="369"/>
      <c r="C54" s="309" t="s">
        <v>213</v>
      </c>
      <c r="D54" s="340"/>
      <c r="E54" s="329"/>
      <c r="F54" s="356" t="s">
        <v>509</v>
      </c>
      <c r="G54" s="329"/>
      <c r="H54" s="330"/>
      <c r="I54" s="383"/>
      <c r="J54" s="338"/>
    </row>
    <row r="55" spans="2:11" ht="71.25">
      <c r="B55" s="369"/>
      <c r="C55" s="305">
        <v>6.1</v>
      </c>
      <c r="D55" s="302"/>
      <c r="E55" s="298"/>
      <c r="F55" s="454" t="s">
        <v>1072</v>
      </c>
      <c r="G55" s="332" t="s">
        <v>145</v>
      </c>
      <c r="H55" s="326">
        <v>88.2</v>
      </c>
      <c r="I55" s="386" t="e">
        <f>+#REF!</f>
        <v>#REF!</v>
      </c>
      <c r="J55" s="321" t="e">
        <f t="shared" ref="J55:J61" si="7">+I55*H55</f>
        <v>#REF!</v>
      </c>
    </row>
    <row r="56" spans="2:11" ht="112.5" customHeight="1">
      <c r="B56" s="369"/>
      <c r="C56" s="647">
        <v>6.2</v>
      </c>
      <c r="D56" s="406"/>
      <c r="E56" s="796"/>
      <c r="F56" s="809" t="s">
        <v>1073</v>
      </c>
      <c r="G56" s="796" t="s">
        <v>154</v>
      </c>
      <c r="H56" s="797">
        <v>15</v>
      </c>
      <c r="I56" s="386" t="e">
        <f>+#REF!</f>
        <v>#REF!</v>
      </c>
      <c r="J56" s="954" t="e">
        <f t="shared" si="7"/>
        <v>#REF!</v>
      </c>
    </row>
    <row r="57" spans="2:11" ht="47.25" customHeight="1">
      <c r="B57" s="369"/>
      <c r="C57" s="638">
        <v>6.3</v>
      </c>
      <c r="D57" s="406"/>
      <c r="E57" s="796"/>
      <c r="F57" s="809" t="s">
        <v>1074</v>
      </c>
      <c r="G57" s="796" t="s">
        <v>145</v>
      </c>
      <c r="H57" s="797">
        <v>450</v>
      </c>
      <c r="I57" s="386" t="e">
        <f>+#REF!</f>
        <v>#REF!</v>
      </c>
      <c r="J57" s="954" t="e">
        <f t="shared" si="7"/>
        <v>#REF!</v>
      </c>
    </row>
    <row r="58" spans="2:11" ht="75.75" customHeight="1">
      <c r="B58" s="369"/>
      <c r="C58" s="647">
        <v>6.4</v>
      </c>
      <c r="D58" s="406"/>
      <c r="E58" s="796"/>
      <c r="F58" s="809" t="s">
        <v>1075</v>
      </c>
      <c r="G58" s="796" t="s">
        <v>145</v>
      </c>
      <c r="H58" s="797">
        <v>3</v>
      </c>
      <c r="I58" s="386" t="e">
        <f>+#REF!</f>
        <v>#REF!</v>
      </c>
      <c r="J58" s="954" t="e">
        <f t="shared" si="7"/>
        <v>#REF!</v>
      </c>
    </row>
    <row r="59" spans="2:11" ht="33" customHeight="1">
      <c r="B59" s="369"/>
      <c r="C59" s="647">
        <v>6.5</v>
      </c>
      <c r="D59" s="406"/>
      <c r="E59" s="796"/>
      <c r="F59" s="809" t="s">
        <v>1076</v>
      </c>
      <c r="G59" s="796" t="s">
        <v>145</v>
      </c>
      <c r="H59" s="797">
        <v>450</v>
      </c>
      <c r="I59" s="386" t="e">
        <f>+#REF!</f>
        <v>#REF!</v>
      </c>
      <c r="J59" s="954" t="e">
        <f t="shared" si="7"/>
        <v>#REF!</v>
      </c>
    </row>
    <row r="60" spans="2:11" ht="49.5" customHeight="1">
      <c r="B60" s="369"/>
      <c r="C60" s="647">
        <v>6.6</v>
      </c>
      <c r="D60" s="406"/>
      <c r="E60" s="796"/>
      <c r="F60" s="809" t="s">
        <v>1077</v>
      </c>
      <c r="G60" s="796" t="s">
        <v>154</v>
      </c>
      <c r="H60" s="797">
        <v>45</v>
      </c>
      <c r="I60" s="386" t="e">
        <f>+#REF!</f>
        <v>#REF!</v>
      </c>
      <c r="J60" s="954" t="e">
        <f t="shared" si="7"/>
        <v>#REF!</v>
      </c>
    </row>
    <row r="61" spans="2:11" ht="27.75" customHeight="1">
      <c r="B61" s="369"/>
      <c r="C61" s="647">
        <v>6.7</v>
      </c>
      <c r="D61" s="406"/>
      <c r="E61" s="796"/>
      <c r="F61" s="809" t="s">
        <v>1078</v>
      </c>
      <c r="G61" s="796" t="s">
        <v>145</v>
      </c>
      <c r="H61" s="797">
        <v>80</v>
      </c>
      <c r="I61" s="386" t="e">
        <f>+#REF!</f>
        <v>#REF!</v>
      </c>
      <c r="J61" s="954" t="e">
        <f t="shared" si="7"/>
        <v>#REF!</v>
      </c>
    </row>
    <row r="62" spans="2:11" s="352" customFormat="1" ht="48" customHeight="1">
      <c r="B62" s="375"/>
      <c r="C62" s="638">
        <v>6.8</v>
      </c>
      <c r="D62" s="806"/>
      <c r="E62" s="806"/>
      <c r="F62" s="955" t="s">
        <v>1079</v>
      </c>
      <c r="G62" s="806" t="s">
        <v>145</v>
      </c>
      <c r="H62" s="1072">
        <v>310</v>
      </c>
      <c r="I62" s="386" t="e">
        <f>#REF!</f>
        <v>#REF!</v>
      </c>
      <c r="J62" s="956" t="e">
        <f t="shared" ref="J62:J63" si="8">+I62*H62</f>
        <v>#REF!</v>
      </c>
      <c r="K62" s="350"/>
    </row>
    <row r="63" spans="2:11" s="352" customFormat="1" ht="71.25" customHeight="1">
      <c r="B63" s="375"/>
      <c r="C63" s="638">
        <v>6.9</v>
      </c>
      <c r="D63" s="806"/>
      <c r="E63" s="806"/>
      <c r="F63" s="955" t="s">
        <v>1080</v>
      </c>
      <c r="G63" s="806" t="s">
        <v>145</v>
      </c>
      <c r="H63" s="1072">
        <v>15</v>
      </c>
      <c r="I63" s="386" t="e">
        <f>#REF!</f>
        <v>#REF!</v>
      </c>
      <c r="J63" s="956" t="e">
        <f t="shared" si="8"/>
        <v>#REF!</v>
      </c>
      <c r="K63" s="350"/>
    </row>
    <row r="64" spans="2:11" ht="20.100000000000001" customHeight="1" thickBot="1">
      <c r="B64" s="369"/>
      <c r="C64" s="945"/>
      <c r="D64" s="946"/>
      <c r="E64" s="946"/>
      <c r="F64" s="946"/>
      <c r="G64" s="947"/>
      <c r="H64" s="1077"/>
      <c r="I64" s="1079" t="s">
        <v>1054</v>
      </c>
      <c r="J64" s="1079" t="e">
        <f>+SUBTOTAL(9,J55:J63)</f>
        <v>#REF!</v>
      </c>
    </row>
    <row r="65" spans="2:11" ht="24.95" customHeight="1" thickBot="1">
      <c r="B65" s="369"/>
      <c r="C65" s="309" t="s">
        <v>232</v>
      </c>
      <c r="D65" s="335"/>
      <c r="E65" s="335"/>
      <c r="F65" s="357" t="s">
        <v>510</v>
      </c>
      <c r="G65" s="335"/>
      <c r="H65" s="336"/>
      <c r="I65" s="383"/>
      <c r="J65" s="337"/>
    </row>
    <row r="66" spans="2:11" ht="73.5" customHeight="1">
      <c r="B66" s="369"/>
      <c r="C66" s="638">
        <v>7.1</v>
      </c>
      <c r="D66" s="409"/>
      <c r="E66" s="799"/>
      <c r="F66" s="800" t="s">
        <v>1081</v>
      </c>
      <c r="G66" s="796" t="s">
        <v>117</v>
      </c>
      <c r="H66" s="797">
        <v>3</v>
      </c>
      <c r="I66" s="386" t="e">
        <f>+#REF!</f>
        <v>#REF!</v>
      </c>
      <c r="J66" s="957" t="e">
        <f t="shared" ref="J66:J72" si="9">+I66*H66</f>
        <v>#REF!</v>
      </c>
    </row>
    <row r="67" spans="2:11" ht="87" customHeight="1">
      <c r="B67" s="369"/>
      <c r="C67" s="638">
        <v>7.2</v>
      </c>
      <c r="D67" s="409"/>
      <c r="E67" s="799"/>
      <c r="F67" s="800" t="s">
        <v>1082</v>
      </c>
      <c r="G67" s="796" t="s">
        <v>117</v>
      </c>
      <c r="H67" s="797">
        <v>4</v>
      </c>
      <c r="I67" s="386" t="e">
        <f>+#REF!</f>
        <v>#REF!</v>
      </c>
      <c r="J67" s="957" t="e">
        <f t="shared" si="9"/>
        <v>#REF!</v>
      </c>
    </row>
    <row r="68" spans="2:11" ht="80.25" customHeight="1">
      <c r="B68" s="369"/>
      <c r="C68" s="638">
        <v>7.3</v>
      </c>
      <c r="D68" s="409"/>
      <c r="E68" s="799"/>
      <c r="F68" s="801" t="s">
        <v>1083</v>
      </c>
      <c r="G68" s="796" t="s">
        <v>117</v>
      </c>
      <c r="H68" s="797">
        <v>8</v>
      </c>
      <c r="I68" s="386" t="e">
        <f>+#REF!</f>
        <v>#REF!</v>
      </c>
      <c r="J68" s="957" t="e">
        <f t="shared" si="9"/>
        <v>#REF!</v>
      </c>
    </row>
    <row r="69" spans="2:11" ht="44.25" customHeight="1">
      <c r="B69" s="369"/>
      <c r="C69" s="638">
        <v>7.4</v>
      </c>
      <c r="D69" s="409"/>
      <c r="E69" s="799"/>
      <c r="F69" s="793" t="s">
        <v>1084</v>
      </c>
      <c r="G69" s="796" t="s">
        <v>117</v>
      </c>
      <c r="H69" s="797">
        <v>9</v>
      </c>
      <c r="I69" s="386" t="e">
        <f>+#REF!</f>
        <v>#REF!</v>
      </c>
      <c r="J69" s="957" t="e">
        <f t="shared" si="9"/>
        <v>#REF!</v>
      </c>
    </row>
    <row r="70" spans="2:11" ht="30" customHeight="1">
      <c r="B70" s="369"/>
      <c r="C70" s="647">
        <v>7.5</v>
      </c>
      <c r="D70" s="406"/>
      <c r="E70" s="796"/>
      <c r="F70" s="802" t="s">
        <v>1085</v>
      </c>
      <c r="G70" s="796" t="s">
        <v>117</v>
      </c>
      <c r="H70" s="797">
        <v>16</v>
      </c>
      <c r="I70" s="386" t="e">
        <f>+#REF!</f>
        <v>#REF!</v>
      </c>
      <c r="J70" s="957" t="e">
        <f t="shared" si="9"/>
        <v>#REF!</v>
      </c>
    </row>
    <row r="71" spans="2:11" ht="105" customHeight="1">
      <c r="B71" s="369"/>
      <c r="C71" s="647">
        <v>7.6</v>
      </c>
      <c r="D71" s="406"/>
      <c r="E71" s="796"/>
      <c r="F71" s="802" t="s">
        <v>1086</v>
      </c>
      <c r="G71" s="796" t="s">
        <v>117</v>
      </c>
      <c r="H71" s="797">
        <v>5</v>
      </c>
      <c r="I71" s="386" t="e">
        <f>#REF!</f>
        <v>#REF!</v>
      </c>
      <c r="J71" s="957" t="e">
        <f t="shared" si="9"/>
        <v>#REF!</v>
      </c>
      <c r="K71" s="352"/>
    </row>
    <row r="72" spans="2:11" ht="45.75" customHeight="1">
      <c r="B72" s="369"/>
      <c r="C72" s="647">
        <v>7.7</v>
      </c>
      <c r="D72" s="406"/>
      <c r="E72" s="796"/>
      <c r="F72" s="802" t="s">
        <v>1087</v>
      </c>
      <c r="G72" s="796" t="s">
        <v>117</v>
      </c>
      <c r="H72" s="797">
        <v>37</v>
      </c>
      <c r="I72" s="386" t="e">
        <f>#REF!</f>
        <v>#REF!</v>
      </c>
      <c r="J72" s="957" t="e">
        <f t="shared" si="9"/>
        <v>#REF!</v>
      </c>
      <c r="K72" s="352"/>
    </row>
    <row r="73" spans="2:11" ht="20.100000000000001" customHeight="1" thickBot="1">
      <c r="B73" s="369"/>
      <c r="C73" s="945"/>
      <c r="D73" s="946"/>
      <c r="E73" s="946"/>
      <c r="F73" s="946"/>
      <c r="G73" s="947"/>
      <c r="H73" s="1077"/>
      <c r="I73" s="1080" t="s">
        <v>1054</v>
      </c>
      <c r="J73" s="1080" t="e">
        <f>+SUBTOTAL(9,J66:J72)</f>
        <v>#REF!</v>
      </c>
      <c r="K73" s="352"/>
    </row>
    <row r="74" spans="2:11" ht="24.95" customHeight="1" thickBot="1">
      <c r="B74" s="369"/>
      <c r="C74" s="309" t="s">
        <v>240</v>
      </c>
      <c r="D74" s="335"/>
      <c r="E74" s="335"/>
      <c r="F74" s="359" t="s">
        <v>511</v>
      </c>
      <c r="G74" s="335"/>
      <c r="H74" s="336"/>
      <c r="I74" s="383"/>
      <c r="J74" s="337"/>
      <c r="K74" s="352"/>
    </row>
    <row r="75" spans="2:11" ht="57" customHeight="1">
      <c r="B75" s="369"/>
      <c r="C75" s="638">
        <v>8.1</v>
      </c>
      <c r="D75" s="403"/>
      <c r="E75" s="792"/>
      <c r="F75" s="802" t="s">
        <v>1088</v>
      </c>
      <c r="G75" s="796" t="s">
        <v>145</v>
      </c>
      <c r="H75" s="797">
        <v>16</v>
      </c>
      <c r="I75" s="386" t="e">
        <f>+#REF!</f>
        <v>#REF!</v>
      </c>
      <c r="J75" s="958" t="e">
        <f t="shared" ref="J75:J79" si="10">+I75*H75</f>
        <v>#REF!</v>
      </c>
    </row>
    <row r="76" spans="2:11" ht="71.25">
      <c r="B76" s="369"/>
      <c r="C76" s="638">
        <v>8.1999999999999993</v>
      </c>
      <c r="D76" s="403"/>
      <c r="E76" s="792"/>
      <c r="F76" s="793" t="s">
        <v>1089</v>
      </c>
      <c r="G76" s="796" t="s">
        <v>154</v>
      </c>
      <c r="H76" s="797">
        <v>7</v>
      </c>
      <c r="I76" s="386" t="e">
        <f>+#REF!</f>
        <v>#REF!</v>
      </c>
      <c r="J76" s="958" t="e">
        <f t="shared" si="10"/>
        <v>#REF!</v>
      </c>
    </row>
    <row r="77" spans="2:11" ht="71.25" customHeight="1">
      <c r="B77" s="369"/>
      <c r="C77" s="638">
        <v>8.3000000000000007</v>
      </c>
      <c r="D77" s="403"/>
      <c r="E77" s="792"/>
      <c r="F77" s="793" t="s">
        <v>1090</v>
      </c>
      <c r="G77" s="796" t="s">
        <v>145</v>
      </c>
      <c r="H77" s="943">
        <v>8</v>
      </c>
      <c r="I77" s="386" t="e">
        <f>+#REF!</f>
        <v>#REF!</v>
      </c>
      <c r="J77" s="958" t="e">
        <f t="shared" si="10"/>
        <v>#REF!</v>
      </c>
    </row>
    <row r="78" spans="2:11" ht="64.5" customHeight="1">
      <c r="B78" s="369"/>
      <c r="C78" s="638">
        <v>8.4</v>
      </c>
      <c r="D78" s="403"/>
      <c r="E78" s="792"/>
      <c r="F78" s="793" t="s">
        <v>1091</v>
      </c>
      <c r="G78" s="796" t="s">
        <v>117</v>
      </c>
      <c r="H78" s="943">
        <v>4</v>
      </c>
      <c r="I78" s="386" t="e">
        <f>+#REF!</f>
        <v>#REF!</v>
      </c>
      <c r="J78" s="958" t="e">
        <f t="shared" si="10"/>
        <v>#REF!</v>
      </c>
    </row>
    <row r="79" spans="2:11" ht="82.5" customHeight="1">
      <c r="B79" s="369"/>
      <c r="C79" s="638">
        <v>8.5</v>
      </c>
      <c r="D79" s="403"/>
      <c r="E79" s="792"/>
      <c r="F79" s="802" t="s">
        <v>1092</v>
      </c>
      <c r="G79" s="796" t="s">
        <v>154</v>
      </c>
      <c r="H79" s="943">
        <v>5</v>
      </c>
      <c r="I79" s="386" t="e">
        <f>+#REF!</f>
        <v>#REF!</v>
      </c>
      <c r="J79" s="958" t="e">
        <f t="shared" si="10"/>
        <v>#REF!</v>
      </c>
    </row>
    <row r="80" spans="2:11" ht="20.100000000000001" customHeight="1" thickBot="1">
      <c r="B80" s="369"/>
      <c r="C80" s="1185"/>
      <c r="D80" s="1186"/>
      <c r="E80" s="1186"/>
      <c r="F80" s="1186"/>
      <c r="G80" s="1187"/>
      <c r="H80" s="1077"/>
      <c r="I80" s="1079" t="s">
        <v>1054</v>
      </c>
      <c r="J80" s="1079" t="e">
        <f>+SUBTOTAL(9,J75:J79)</f>
        <v>#REF!</v>
      </c>
    </row>
    <row r="81" spans="2:10" ht="24.95" customHeight="1" thickBot="1">
      <c r="B81" s="369"/>
      <c r="C81" s="309" t="s">
        <v>246</v>
      </c>
      <c r="D81" s="333"/>
      <c r="E81" s="334"/>
      <c r="F81" s="356" t="s">
        <v>512</v>
      </c>
      <c r="G81" s="329"/>
      <c r="H81" s="330"/>
      <c r="I81" s="383"/>
      <c r="J81" s="331"/>
    </row>
    <row r="82" spans="2:10" ht="51.75" customHeight="1">
      <c r="B82" s="388"/>
      <c r="C82" s="304">
        <v>9.1</v>
      </c>
      <c r="D82" s="448"/>
      <c r="E82" s="299"/>
      <c r="F82" s="355" t="s">
        <v>1093</v>
      </c>
      <c r="G82" s="332" t="s">
        <v>145</v>
      </c>
      <c r="H82" s="326">
        <v>95</v>
      </c>
      <c r="I82" s="386" t="e">
        <f>+#REF!</f>
        <v>#REF!</v>
      </c>
      <c r="J82" s="321" t="e">
        <f t="shared" ref="J82:J84" si="11">+I82*H82</f>
        <v>#REF!</v>
      </c>
    </row>
    <row r="83" spans="2:10" ht="84" customHeight="1">
      <c r="B83" s="369"/>
      <c r="C83" s="638">
        <v>9.1999999999999993</v>
      </c>
      <c r="D83" s="448"/>
      <c r="E83" s="299"/>
      <c r="F83" s="793" t="s">
        <v>1094</v>
      </c>
      <c r="G83" s="796" t="s">
        <v>145</v>
      </c>
      <c r="H83" s="797">
        <v>95</v>
      </c>
      <c r="I83" s="386" t="e">
        <f>+#REF!</f>
        <v>#REF!</v>
      </c>
      <c r="J83" s="954" t="e">
        <f t="shared" si="11"/>
        <v>#REF!</v>
      </c>
    </row>
    <row r="84" spans="2:10" ht="56.25" customHeight="1">
      <c r="B84" s="369"/>
      <c r="C84" s="638">
        <v>9.3000000000000007</v>
      </c>
      <c r="D84" s="448"/>
      <c r="E84" s="299"/>
      <c r="F84" s="804" t="s">
        <v>1095</v>
      </c>
      <c r="G84" s="796" t="s">
        <v>145</v>
      </c>
      <c r="H84" s="797">
        <v>2500</v>
      </c>
      <c r="I84" s="386" t="e">
        <f>+#REF!</f>
        <v>#REF!</v>
      </c>
      <c r="J84" s="954" t="e">
        <f t="shared" si="11"/>
        <v>#REF!</v>
      </c>
    </row>
    <row r="85" spans="2:10" ht="20.100000000000001" customHeight="1" thickBot="1">
      <c r="B85" s="369"/>
      <c r="C85" s="945"/>
      <c r="D85" s="946"/>
      <c r="E85" s="946"/>
      <c r="F85" s="946"/>
      <c r="G85" s="947"/>
      <c r="H85" s="1077"/>
      <c r="I85" s="1079" t="s">
        <v>1054</v>
      </c>
      <c r="J85" s="1079" t="e">
        <f>+SUBTOTAL(9,J82:J84)</f>
        <v>#REF!</v>
      </c>
    </row>
    <row r="86" spans="2:10" ht="24.95" customHeight="1" thickBot="1">
      <c r="B86" s="369"/>
      <c r="C86" s="309" t="s">
        <v>250</v>
      </c>
      <c r="D86" s="327"/>
      <c r="E86" s="328"/>
      <c r="F86" s="360" t="s">
        <v>513</v>
      </c>
      <c r="G86" s="329"/>
      <c r="H86" s="330"/>
      <c r="I86" s="383"/>
      <c r="J86" s="331"/>
    </row>
    <row r="87" spans="2:10" ht="64.5" customHeight="1">
      <c r="B87" s="369"/>
      <c r="C87" s="304">
        <v>10.1</v>
      </c>
      <c r="D87" s="324"/>
      <c r="E87" s="325"/>
      <c r="F87" s="455" t="s">
        <v>1096</v>
      </c>
      <c r="G87" s="322" t="s">
        <v>145</v>
      </c>
      <c r="H87" s="326">
        <v>8.5</v>
      </c>
      <c r="I87" s="386" t="e">
        <f>+#REF!</f>
        <v>#REF!</v>
      </c>
      <c r="J87" s="323" t="e">
        <f t="shared" ref="J87:J95" si="12">+I87*H87</f>
        <v>#REF!</v>
      </c>
    </row>
    <row r="88" spans="2:10" ht="51" customHeight="1">
      <c r="B88" s="369"/>
      <c r="C88" s="638">
        <v>10.199999999999999</v>
      </c>
      <c r="D88" s="410"/>
      <c r="E88" s="959"/>
      <c r="F88" s="811" t="s">
        <v>1097</v>
      </c>
      <c r="G88" s="806" t="s">
        <v>154</v>
      </c>
      <c r="H88" s="797">
        <v>6.6</v>
      </c>
      <c r="I88" s="386" t="e">
        <f>+#REF!</f>
        <v>#REF!</v>
      </c>
      <c r="J88" s="807" t="e">
        <f t="shared" si="12"/>
        <v>#REF!</v>
      </c>
    </row>
    <row r="89" spans="2:10" ht="42.75">
      <c r="B89" s="369"/>
      <c r="C89" s="638">
        <v>10.3</v>
      </c>
      <c r="D89" s="410"/>
      <c r="E89" s="959"/>
      <c r="F89" s="811" t="s">
        <v>1098</v>
      </c>
      <c r="G89" s="806" t="s">
        <v>117</v>
      </c>
      <c r="H89" s="797">
        <v>5</v>
      </c>
      <c r="I89" s="386" t="e">
        <f>+#REF!</f>
        <v>#REF!</v>
      </c>
      <c r="J89" s="807" t="e">
        <f t="shared" si="12"/>
        <v>#REF!</v>
      </c>
    </row>
    <row r="90" spans="2:10" ht="87" customHeight="1">
      <c r="B90" s="369"/>
      <c r="C90" s="638">
        <v>10.4</v>
      </c>
      <c r="D90" s="409"/>
      <c r="E90" s="799"/>
      <c r="F90" s="809" t="s">
        <v>1099</v>
      </c>
      <c r="G90" s="796" t="s">
        <v>154</v>
      </c>
      <c r="H90" s="960">
        <v>35</v>
      </c>
      <c r="I90" s="386" t="e">
        <f>+#REF!</f>
        <v>#REF!</v>
      </c>
      <c r="J90" s="807" t="e">
        <f t="shared" si="12"/>
        <v>#REF!</v>
      </c>
    </row>
    <row r="91" spans="2:10" ht="60" customHeight="1">
      <c r="B91" s="369"/>
      <c r="C91" s="638">
        <v>10.5</v>
      </c>
      <c r="D91" s="409"/>
      <c r="E91" s="799"/>
      <c r="F91" s="809" t="s">
        <v>1100</v>
      </c>
      <c r="G91" s="806" t="s">
        <v>117</v>
      </c>
      <c r="H91" s="960">
        <v>12</v>
      </c>
      <c r="I91" s="386" t="e">
        <f>+#REF!</f>
        <v>#REF!</v>
      </c>
      <c r="J91" s="807" t="e">
        <f t="shared" si="12"/>
        <v>#REF!</v>
      </c>
    </row>
    <row r="92" spans="2:10" ht="57" customHeight="1">
      <c r="B92" s="369"/>
      <c r="C92" s="638">
        <v>10.6</v>
      </c>
      <c r="D92" s="409"/>
      <c r="E92" s="799"/>
      <c r="F92" s="809" t="s">
        <v>1101</v>
      </c>
      <c r="G92" s="806" t="s">
        <v>117</v>
      </c>
      <c r="H92" s="960">
        <v>4</v>
      </c>
      <c r="I92" s="386" t="e">
        <f>+#REF!</f>
        <v>#REF!</v>
      </c>
      <c r="J92" s="807" t="e">
        <f t="shared" si="12"/>
        <v>#REF!</v>
      </c>
    </row>
    <row r="93" spans="2:10" ht="56.25" customHeight="1">
      <c r="B93" s="369"/>
      <c r="C93" s="638">
        <v>10.7</v>
      </c>
      <c r="D93" s="409"/>
      <c r="E93" s="799"/>
      <c r="F93" s="809" t="s">
        <v>1102</v>
      </c>
      <c r="G93" s="806" t="s">
        <v>117</v>
      </c>
      <c r="H93" s="960">
        <v>2</v>
      </c>
      <c r="I93" s="386" t="e">
        <f>+#REF!</f>
        <v>#REF!</v>
      </c>
      <c r="J93" s="961" t="e">
        <f t="shared" si="12"/>
        <v>#REF!</v>
      </c>
    </row>
    <row r="94" spans="2:10" ht="57">
      <c r="B94" s="369"/>
      <c r="C94" s="638">
        <v>10.8</v>
      </c>
      <c r="D94" s="409"/>
      <c r="E94" s="799"/>
      <c r="F94" s="809" t="s">
        <v>1103</v>
      </c>
      <c r="G94" s="806" t="s">
        <v>117</v>
      </c>
      <c r="H94" s="960">
        <v>14</v>
      </c>
      <c r="I94" s="386" t="e">
        <f>+#REF!</f>
        <v>#REF!</v>
      </c>
      <c r="J94" s="961" t="e">
        <f t="shared" si="12"/>
        <v>#REF!</v>
      </c>
    </row>
    <row r="95" spans="2:10" ht="82.5" customHeight="1">
      <c r="B95" s="369"/>
      <c r="C95" s="638">
        <v>10.9</v>
      </c>
      <c r="D95" s="409"/>
      <c r="E95" s="799"/>
      <c r="F95" s="793" t="s">
        <v>1104</v>
      </c>
      <c r="G95" s="806" t="s">
        <v>117</v>
      </c>
      <c r="H95" s="962">
        <v>4</v>
      </c>
      <c r="I95" s="386" t="e">
        <f>+#REF!</f>
        <v>#REF!</v>
      </c>
      <c r="J95" s="961" t="e">
        <f t="shared" si="12"/>
        <v>#REF!</v>
      </c>
    </row>
    <row r="96" spans="2:10" ht="20.100000000000001" customHeight="1" thickBot="1">
      <c r="B96" s="369"/>
      <c r="C96" s="963"/>
      <c r="D96" s="964"/>
      <c r="E96" s="964"/>
      <c r="F96" s="964"/>
      <c r="G96" s="965"/>
      <c r="H96" s="1081"/>
      <c r="I96" s="1079" t="s">
        <v>1054</v>
      </c>
      <c r="J96" s="1079" t="e">
        <f>+SUBTOTAL(9,J87:J95)</f>
        <v>#REF!</v>
      </c>
    </row>
    <row r="97" spans="2:14" s="389" customFormat="1" ht="24.95" customHeight="1" thickBot="1">
      <c r="B97" s="390"/>
      <c r="C97" s="612"/>
      <c r="D97" s="613"/>
      <c r="E97" s="613"/>
      <c r="F97" s="613"/>
      <c r="G97" s="613"/>
      <c r="H97" s="613"/>
      <c r="I97" s="614" t="s">
        <v>1105</v>
      </c>
      <c r="J97" s="600" t="e">
        <f>+J96+J85+J80+J73+J64+J53+J48+J40+J35+J27</f>
        <v>#REF!</v>
      </c>
      <c r="K97" s="350"/>
    </row>
    <row r="98" spans="2:14" s="389" customFormat="1" ht="24.95" customHeight="1" thickBot="1">
      <c r="B98" s="390"/>
      <c r="C98" s="344" t="s">
        <v>269</v>
      </c>
      <c r="D98" s="345"/>
      <c r="E98" s="345"/>
      <c r="F98" s="345" t="s">
        <v>514</v>
      </c>
      <c r="G98" s="345"/>
      <c r="H98" s="346"/>
      <c r="I98" s="343"/>
      <c r="J98" s="347"/>
      <c r="K98" s="350"/>
    </row>
    <row r="99" spans="2:14" s="389" customFormat="1" ht="24.95" customHeight="1">
      <c r="B99" s="390"/>
      <c r="C99" s="344"/>
      <c r="D99" s="345"/>
      <c r="E99" s="345"/>
      <c r="F99" s="345" t="s">
        <v>515</v>
      </c>
      <c r="G99" s="345"/>
      <c r="H99" s="346"/>
      <c r="I99" s="343"/>
      <c r="J99" s="347"/>
      <c r="K99" s="350"/>
    </row>
    <row r="100" spans="2:14" s="389" customFormat="1" ht="152.25" customHeight="1">
      <c r="B100" s="390"/>
      <c r="C100" s="622">
        <v>11.1</v>
      </c>
      <c r="D100" s="806"/>
      <c r="E100" s="806"/>
      <c r="F100" s="455" t="s">
        <v>516</v>
      </c>
      <c r="G100" s="807" t="s">
        <v>272</v>
      </c>
      <c r="H100" s="1072">
        <f>+'PRESUPUESTO ELECTROMECANICO'!D11</f>
        <v>1</v>
      </c>
      <c r="I100" s="386" t="e">
        <f>+#REF!</f>
        <v>#REF!</v>
      </c>
      <c r="J100" s="956" t="e">
        <f>+H100*I100</f>
        <v>#REF!</v>
      </c>
      <c r="K100" s="350"/>
      <c r="N100" s="616"/>
    </row>
    <row r="101" spans="2:14" s="389" customFormat="1" ht="154.5" customHeight="1">
      <c r="B101" s="390"/>
      <c r="C101" s="622">
        <v>11.2</v>
      </c>
      <c r="D101" s="806"/>
      <c r="E101" s="806"/>
      <c r="F101" s="455" t="s">
        <v>517</v>
      </c>
      <c r="G101" s="807" t="s">
        <v>275</v>
      </c>
      <c r="H101" s="1072">
        <f>+'PRESUPUESTO ELECTROMECANICO'!D12</f>
        <v>2</v>
      </c>
      <c r="I101" s="386" t="e">
        <f>+#REF!</f>
        <v>#REF!</v>
      </c>
      <c r="J101" s="956" t="e">
        <f t="shared" ref="J101:J158" si="13">+H101*I101</f>
        <v>#REF!</v>
      </c>
      <c r="K101" s="350"/>
      <c r="N101" s="616"/>
    </row>
    <row r="102" spans="2:14" s="389" customFormat="1" ht="85.5" customHeight="1">
      <c r="B102" s="390"/>
      <c r="C102" s="622">
        <v>11.3</v>
      </c>
      <c r="D102" s="806"/>
      <c r="E102" s="806"/>
      <c r="F102" s="455" t="s">
        <v>518</v>
      </c>
      <c r="G102" s="807" t="s">
        <v>275</v>
      </c>
      <c r="H102" s="1072">
        <f>+'PRESUPUESTO ELECTROMECANICO'!D13</f>
        <v>5</v>
      </c>
      <c r="I102" s="386" t="e">
        <f>+#REF!</f>
        <v>#REF!</v>
      </c>
      <c r="J102" s="956" t="e">
        <f t="shared" si="13"/>
        <v>#REF!</v>
      </c>
      <c r="K102" s="350"/>
      <c r="N102" s="616"/>
    </row>
    <row r="103" spans="2:14" s="389" customFormat="1" ht="87" customHeight="1">
      <c r="B103" s="390"/>
      <c r="C103" s="622">
        <v>11.4</v>
      </c>
      <c r="D103" s="806"/>
      <c r="E103" s="806"/>
      <c r="F103" s="455" t="s">
        <v>1106</v>
      </c>
      <c r="G103" s="807" t="s">
        <v>275</v>
      </c>
      <c r="H103" s="1072">
        <f>+'PRESUPUESTO ELECTROMECANICO'!D14</f>
        <v>6</v>
      </c>
      <c r="I103" s="386" t="e">
        <f>+#REF!</f>
        <v>#REF!</v>
      </c>
      <c r="J103" s="956" t="e">
        <f t="shared" si="13"/>
        <v>#REF!</v>
      </c>
      <c r="K103" s="350"/>
      <c r="N103" s="617"/>
    </row>
    <row r="104" spans="2:14" s="389" customFormat="1" ht="69.75" customHeight="1">
      <c r="B104" s="390"/>
      <c r="C104" s="622">
        <v>11.5</v>
      </c>
      <c r="D104" s="806"/>
      <c r="E104" s="806"/>
      <c r="F104" s="455" t="s">
        <v>520</v>
      </c>
      <c r="G104" s="807" t="s">
        <v>275</v>
      </c>
      <c r="H104" s="1072">
        <f>+'PRESUPUESTO ELECTROMECANICO'!D15</f>
        <v>6</v>
      </c>
      <c r="I104" s="386" t="e">
        <f>+#REF!</f>
        <v>#REF!</v>
      </c>
      <c r="J104" s="956" t="e">
        <f t="shared" si="13"/>
        <v>#REF!</v>
      </c>
      <c r="K104" s="350"/>
    </row>
    <row r="105" spans="2:14" s="389" customFormat="1" ht="67.5" customHeight="1">
      <c r="B105" s="390"/>
      <c r="C105" s="622">
        <v>11.6</v>
      </c>
      <c r="D105" s="806"/>
      <c r="E105" s="806"/>
      <c r="F105" s="455" t="s">
        <v>521</v>
      </c>
      <c r="G105" s="807" t="s">
        <v>275</v>
      </c>
      <c r="H105" s="1072">
        <f>+'PRESUPUESTO ELECTROMECANICO'!D16</f>
        <v>9</v>
      </c>
      <c r="I105" s="386" t="e">
        <f>+#REF!</f>
        <v>#REF!</v>
      </c>
      <c r="J105" s="956" t="e">
        <f t="shared" si="13"/>
        <v>#REF!</v>
      </c>
      <c r="K105" s="350"/>
    </row>
    <row r="106" spans="2:14" s="389" customFormat="1" ht="80.25" customHeight="1">
      <c r="B106" s="390"/>
      <c r="C106" s="622">
        <v>11.7</v>
      </c>
      <c r="D106" s="806"/>
      <c r="E106" s="806"/>
      <c r="F106" s="455" t="s">
        <v>522</v>
      </c>
      <c r="G106" s="807" t="s">
        <v>95</v>
      </c>
      <c r="H106" s="1072">
        <f>+'PRESUPUESTO ELECTROMECANICO'!D17</f>
        <v>4</v>
      </c>
      <c r="I106" s="386" t="e">
        <f>+#REF!</f>
        <v>#REF!</v>
      </c>
      <c r="J106" s="956" t="e">
        <f t="shared" si="13"/>
        <v>#REF!</v>
      </c>
      <c r="K106" s="350"/>
    </row>
    <row r="107" spans="2:14" s="389" customFormat="1" ht="74.25" customHeight="1">
      <c r="B107" s="390"/>
      <c r="C107" s="622">
        <v>11.8</v>
      </c>
      <c r="D107" s="806"/>
      <c r="E107" s="806"/>
      <c r="F107" s="455" t="s">
        <v>523</v>
      </c>
      <c r="G107" s="807" t="s">
        <v>275</v>
      </c>
      <c r="H107" s="1072">
        <f>+'PRESUPUESTO ELECTROMECANICO'!D18</f>
        <v>3</v>
      </c>
      <c r="I107" s="386" t="e">
        <f>+#REF!</f>
        <v>#REF!</v>
      </c>
      <c r="J107" s="956" t="e">
        <f t="shared" si="13"/>
        <v>#REF!</v>
      </c>
      <c r="K107" s="350"/>
    </row>
    <row r="108" spans="2:14" s="389" customFormat="1" ht="69.75" customHeight="1">
      <c r="B108" s="390"/>
      <c r="C108" s="622">
        <v>11.9</v>
      </c>
      <c r="D108" s="806"/>
      <c r="E108" s="806"/>
      <c r="F108" s="455" t="s">
        <v>524</v>
      </c>
      <c r="G108" s="807" t="s">
        <v>275</v>
      </c>
      <c r="H108" s="1072">
        <f>+'PRESUPUESTO ELECTROMECANICO'!D19</f>
        <v>4</v>
      </c>
      <c r="I108" s="386" t="e">
        <f>+#REF!</f>
        <v>#REF!</v>
      </c>
      <c r="J108" s="956" t="e">
        <f t="shared" si="13"/>
        <v>#REF!</v>
      </c>
      <c r="K108" s="350"/>
    </row>
    <row r="109" spans="2:14" s="389" customFormat="1" ht="81" customHeight="1">
      <c r="B109" s="390"/>
      <c r="C109" s="624">
        <v>11.1</v>
      </c>
      <c r="D109" s="806"/>
      <c r="E109" s="806"/>
      <c r="F109" s="455" t="s">
        <v>525</v>
      </c>
      <c r="G109" s="807" t="s">
        <v>275</v>
      </c>
      <c r="H109" s="1072">
        <f>+'PRESUPUESTO ELECTROMECANICO'!D20</f>
        <v>3</v>
      </c>
      <c r="I109" s="386" t="e">
        <f>+#REF!</f>
        <v>#REF!</v>
      </c>
      <c r="J109" s="956" t="e">
        <f t="shared" si="13"/>
        <v>#REF!</v>
      </c>
      <c r="K109" s="350"/>
    </row>
    <row r="110" spans="2:14" s="389" customFormat="1" ht="76.5" customHeight="1">
      <c r="B110" s="390"/>
      <c r="C110" s="624">
        <v>11.11</v>
      </c>
      <c r="D110" s="806"/>
      <c r="E110" s="806"/>
      <c r="F110" s="455" t="s">
        <v>526</v>
      </c>
      <c r="G110" s="807" t="s">
        <v>275</v>
      </c>
      <c r="H110" s="1072">
        <f>+'PRESUPUESTO ELECTROMECANICO'!D21</f>
        <v>2</v>
      </c>
      <c r="I110" s="386" t="e">
        <f>+#REF!</f>
        <v>#REF!</v>
      </c>
      <c r="J110" s="956" t="e">
        <f t="shared" si="13"/>
        <v>#REF!</v>
      </c>
      <c r="K110" s="350"/>
    </row>
    <row r="111" spans="2:14" s="389" customFormat="1" ht="99" customHeight="1">
      <c r="B111" s="390"/>
      <c r="C111" s="624">
        <v>11.12</v>
      </c>
      <c r="D111" s="806"/>
      <c r="E111" s="806"/>
      <c r="F111" s="455" t="s">
        <v>527</v>
      </c>
      <c r="G111" s="807" t="s">
        <v>95</v>
      </c>
      <c r="H111" s="1072">
        <f>+'PRESUPUESTO ELECTROMECANICO'!D22</f>
        <v>15</v>
      </c>
      <c r="I111" s="386" t="e">
        <f>+#REF!</f>
        <v>#REF!</v>
      </c>
      <c r="J111" s="956" t="e">
        <f t="shared" si="13"/>
        <v>#REF!</v>
      </c>
      <c r="K111" s="350"/>
    </row>
    <row r="112" spans="2:14" s="389" customFormat="1" ht="123" customHeight="1">
      <c r="B112" s="390"/>
      <c r="C112" s="624">
        <v>11.13</v>
      </c>
      <c r="D112" s="806"/>
      <c r="E112" s="806"/>
      <c r="F112" s="455" t="s">
        <v>528</v>
      </c>
      <c r="G112" s="807" t="s">
        <v>275</v>
      </c>
      <c r="H112" s="1072">
        <f>+'PRESUPUESTO ELECTROMECANICO'!D23</f>
        <v>4</v>
      </c>
      <c r="I112" s="386" t="e">
        <f>+#REF!</f>
        <v>#REF!</v>
      </c>
      <c r="J112" s="956" t="e">
        <f t="shared" si="13"/>
        <v>#REF!</v>
      </c>
      <c r="K112" s="350"/>
    </row>
    <row r="113" spans="2:11" s="389" customFormat="1" ht="54" customHeight="1">
      <c r="B113" s="390"/>
      <c r="C113" s="624">
        <v>11.14</v>
      </c>
      <c r="D113" s="806"/>
      <c r="E113" s="806"/>
      <c r="F113" s="455" t="s">
        <v>529</v>
      </c>
      <c r="G113" s="807" t="s">
        <v>275</v>
      </c>
      <c r="H113" s="1072">
        <f>+'PRESUPUESTO ELECTROMECANICO'!D24</f>
        <v>10</v>
      </c>
      <c r="I113" s="386" t="e">
        <f>+#REF!</f>
        <v>#REF!</v>
      </c>
      <c r="J113" s="956" t="e">
        <f t="shared" si="13"/>
        <v>#REF!</v>
      </c>
      <c r="K113" s="350"/>
    </row>
    <row r="114" spans="2:11" s="389" customFormat="1" ht="50.25" customHeight="1">
      <c r="B114" s="390"/>
      <c r="C114" s="624">
        <v>11.15</v>
      </c>
      <c r="D114" s="806"/>
      <c r="E114" s="806"/>
      <c r="F114" s="455" t="s">
        <v>530</v>
      </c>
      <c r="G114" s="807" t="s">
        <v>275</v>
      </c>
      <c r="H114" s="1072">
        <f>+'PRESUPUESTO ELECTROMECANICO'!D25</f>
        <v>6</v>
      </c>
      <c r="I114" s="386" t="e">
        <f>+#REF!</f>
        <v>#REF!</v>
      </c>
      <c r="J114" s="956" t="e">
        <f t="shared" si="13"/>
        <v>#REF!</v>
      </c>
      <c r="K114" s="350"/>
    </row>
    <row r="115" spans="2:11" s="389" customFormat="1" ht="66.75" customHeight="1">
      <c r="B115" s="390"/>
      <c r="C115" s="624">
        <v>11.16</v>
      </c>
      <c r="D115" s="806"/>
      <c r="E115" s="806"/>
      <c r="F115" s="455" t="s">
        <v>531</v>
      </c>
      <c r="G115" s="807" t="s">
        <v>275</v>
      </c>
      <c r="H115" s="1072">
        <f>+'PRESUPUESTO ELECTROMECANICO'!D26</f>
        <v>98</v>
      </c>
      <c r="I115" s="386" t="e">
        <f>+#REF!</f>
        <v>#REF!</v>
      </c>
      <c r="J115" s="956" t="e">
        <f t="shared" si="13"/>
        <v>#REF!</v>
      </c>
      <c r="K115" s="350"/>
    </row>
    <row r="116" spans="2:11" s="389" customFormat="1" ht="75" customHeight="1">
      <c r="B116" s="390"/>
      <c r="C116" s="624">
        <v>11.17</v>
      </c>
      <c r="D116" s="806"/>
      <c r="E116" s="806"/>
      <c r="F116" s="455" t="s">
        <v>532</v>
      </c>
      <c r="G116" s="807" t="s">
        <v>275</v>
      </c>
      <c r="H116" s="1072">
        <f>+'PRESUPUESTO ELECTROMECANICO'!D27</f>
        <v>31</v>
      </c>
      <c r="I116" s="386" t="e">
        <f>+#REF!</f>
        <v>#REF!</v>
      </c>
      <c r="J116" s="956" t="e">
        <f t="shared" si="13"/>
        <v>#REF!</v>
      </c>
      <c r="K116" s="350"/>
    </row>
    <row r="117" spans="2:11" s="389" customFormat="1" ht="65.25" customHeight="1">
      <c r="B117" s="390"/>
      <c r="C117" s="624">
        <v>11.18</v>
      </c>
      <c r="D117" s="806"/>
      <c r="E117" s="806"/>
      <c r="F117" s="455" t="s">
        <v>533</v>
      </c>
      <c r="G117" s="807" t="s">
        <v>275</v>
      </c>
      <c r="H117" s="1072">
        <f>+'PRESUPUESTO ELECTROMECANICO'!D28</f>
        <v>32</v>
      </c>
      <c r="I117" s="386" t="e">
        <f>+#REF!</f>
        <v>#REF!</v>
      </c>
      <c r="J117" s="956" t="e">
        <f t="shared" si="13"/>
        <v>#REF!</v>
      </c>
      <c r="K117" s="350"/>
    </row>
    <row r="118" spans="2:11" s="389" customFormat="1" ht="108" customHeight="1">
      <c r="B118" s="390"/>
      <c r="C118" s="624">
        <v>11.19</v>
      </c>
      <c r="D118" s="806"/>
      <c r="E118" s="806"/>
      <c r="F118" s="455" t="s">
        <v>534</v>
      </c>
      <c r="G118" s="807" t="s">
        <v>275</v>
      </c>
      <c r="H118" s="1072">
        <f>+'PRESUPUESTO ELECTROMECANICO'!D29</f>
        <v>95</v>
      </c>
      <c r="I118" s="386" t="e">
        <f>+#REF!</f>
        <v>#REF!</v>
      </c>
      <c r="J118" s="956" t="e">
        <f t="shared" si="13"/>
        <v>#REF!</v>
      </c>
      <c r="K118" s="350"/>
    </row>
    <row r="119" spans="2:11" s="389" customFormat="1" ht="161.25" customHeight="1">
      <c r="B119" s="390"/>
      <c r="C119" s="624">
        <v>11.2</v>
      </c>
      <c r="D119" s="806"/>
      <c r="E119" s="806"/>
      <c r="F119" s="455" t="s">
        <v>535</v>
      </c>
      <c r="G119" s="807" t="s">
        <v>275</v>
      </c>
      <c r="H119" s="1072">
        <f>+'PRESUPUESTO ELECTROMECANICO'!D30</f>
        <v>6</v>
      </c>
      <c r="I119" s="386" t="e">
        <f>+#REF!</f>
        <v>#REF!</v>
      </c>
      <c r="J119" s="956" t="e">
        <f t="shared" si="13"/>
        <v>#REF!</v>
      </c>
      <c r="K119" s="350"/>
    </row>
    <row r="120" spans="2:11" s="389" customFormat="1" ht="94.5" customHeight="1">
      <c r="B120" s="390"/>
      <c r="C120" s="624">
        <v>11.21</v>
      </c>
      <c r="D120" s="806"/>
      <c r="E120" s="806"/>
      <c r="F120" s="455" t="s">
        <v>536</v>
      </c>
      <c r="G120" s="807" t="s">
        <v>275</v>
      </c>
      <c r="H120" s="1072">
        <f>+'PRESUPUESTO ELECTROMECANICO'!D31</f>
        <v>5</v>
      </c>
      <c r="I120" s="386" t="e">
        <f>+#REF!</f>
        <v>#REF!</v>
      </c>
      <c r="J120" s="956" t="e">
        <f t="shared" si="13"/>
        <v>#REF!</v>
      </c>
      <c r="K120" s="350"/>
    </row>
    <row r="121" spans="2:11" s="389" customFormat="1" ht="111" customHeight="1">
      <c r="B121" s="390"/>
      <c r="C121" s="624">
        <v>11.22</v>
      </c>
      <c r="D121" s="806"/>
      <c r="E121" s="806"/>
      <c r="F121" s="455" t="s">
        <v>537</v>
      </c>
      <c r="G121" s="807" t="s">
        <v>275</v>
      </c>
      <c r="H121" s="1072">
        <f>+'PRESUPUESTO ELECTROMECANICO'!D32</f>
        <v>6</v>
      </c>
      <c r="I121" s="386" t="e">
        <f>+#REF!</f>
        <v>#REF!</v>
      </c>
      <c r="J121" s="956" t="e">
        <f t="shared" si="13"/>
        <v>#REF!</v>
      </c>
      <c r="K121" s="350"/>
    </row>
    <row r="122" spans="2:11" s="389" customFormat="1" ht="87.75" customHeight="1">
      <c r="B122" s="390"/>
      <c r="C122" s="624">
        <v>11.23</v>
      </c>
      <c r="D122" s="806"/>
      <c r="E122" s="806"/>
      <c r="F122" s="455" t="s">
        <v>538</v>
      </c>
      <c r="G122" s="807" t="s">
        <v>275</v>
      </c>
      <c r="H122" s="1072">
        <f>+'PRESUPUESTO ELECTROMECANICO'!D33</f>
        <v>15</v>
      </c>
      <c r="I122" s="386" t="e">
        <f>+#REF!</f>
        <v>#REF!</v>
      </c>
      <c r="J122" s="956" t="e">
        <f t="shared" si="13"/>
        <v>#REF!</v>
      </c>
      <c r="K122" s="350"/>
    </row>
    <row r="123" spans="2:11" s="389" customFormat="1" ht="99" customHeight="1">
      <c r="B123" s="390"/>
      <c r="C123" s="624">
        <v>11.24</v>
      </c>
      <c r="D123" s="806"/>
      <c r="E123" s="806"/>
      <c r="F123" s="455" t="s">
        <v>539</v>
      </c>
      <c r="G123" s="807" t="s">
        <v>275</v>
      </c>
      <c r="H123" s="1072">
        <f>+'PRESUPUESTO ELECTROMECANICO'!D34</f>
        <v>13</v>
      </c>
      <c r="I123" s="386" t="e">
        <f>+#REF!</f>
        <v>#REF!</v>
      </c>
      <c r="J123" s="956" t="e">
        <f t="shared" si="13"/>
        <v>#REF!</v>
      </c>
      <c r="K123" s="350"/>
    </row>
    <row r="124" spans="2:11" s="389" customFormat="1" ht="126" customHeight="1">
      <c r="B124" s="390"/>
      <c r="C124" s="624">
        <v>11.25</v>
      </c>
      <c r="D124" s="806"/>
      <c r="E124" s="806"/>
      <c r="F124" s="455" t="s">
        <v>540</v>
      </c>
      <c r="G124" s="807" t="s">
        <v>275</v>
      </c>
      <c r="H124" s="1072">
        <f>+'PRESUPUESTO ELECTROMECANICO'!D35</f>
        <v>24</v>
      </c>
      <c r="I124" s="386" t="e">
        <f>+#REF!</f>
        <v>#REF!</v>
      </c>
      <c r="J124" s="956" t="e">
        <f t="shared" si="13"/>
        <v>#REF!</v>
      </c>
      <c r="K124" s="350"/>
    </row>
    <row r="125" spans="2:11" s="389" customFormat="1" ht="96" customHeight="1">
      <c r="B125" s="390"/>
      <c r="C125" s="624">
        <v>11.26</v>
      </c>
      <c r="D125" s="806"/>
      <c r="E125" s="806"/>
      <c r="F125" s="455" t="s">
        <v>541</v>
      </c>
      <c r="G125" s="807" t="s">
        <v>275</v>
      </c>
      <c r="H125" s="1072">
        <f>+'PRESUPUESTO ELECTROMECANICO'!D36</f>
        <v>12</v>
      </c>
      <c r="I125" s="386" t="e">
        <f>+#REF!</f>
        <v>#REF!</v>
      </c>
      <c r="J125" s="956" t="e">
        <f t="shared" si="13"/>
        <v>#REF!</v>
      </c>
      <c r="K125" s="350"/>
    </row>
    <row r="126" spans="2:11" s="389" customFormat="1" ht="120" customHeight="1">
      <c r="B126" s="390"/>
      <c r="C126" s="624">
        <v>11.27</v>
      </c>
      <c r="D126" s="806"/>
      <c r="E126" s="806"/>
      <c r="F126" s="455" t="s">
        <v>542</v>
      </c>
      <c r="G126" s="807" t="s">
        <v>275</v>
      </c>
      <c r="H126" s="1072">
        <f>+'PRESUPUESTO ELECTROMECANICO'!D37</f>
        <v>47</v>
      </c>
      <c r="I126" s="386" t="e">
        <f>+#REF!</f>
        <v>#REF!</v>
      </c>
      <c r="J126" s="956" t="e">
        <f t="shared" si="13"/>
        <v>#REF!</v>
      </c>
      <c r="K126" s="350"/>
    </row>
    <row r="127" spans="2:11" s="389" customFormat="1" ht="118.5" customHeight="1">
      <c r="B127" s="390"/>
      <c r="C127" s="624">
        <v>11.28</v>
      </c>
      <c r="D127" s="806"/>
      <c r="E127" s="806"/>
      <c r="F127" s="455" t="s">
        <v>543</v>
      </c>
      <c r="G127" s="807" t="s">
        <v>275</v>
      </c>
      <c r="H127" s="1072">
        <f>+'PRESUPUESTO ELECTROMECANICO'!D38</f>
        <v>24</v>
      </c>
      <c r="I127" s="386" t="e">
        <f>+#REF!</f>
        <v>#REF!</v>
      </c>
      <c r="J127" s="956" t="e">
        <f t="shared" si="13"/>
        <v>#REF!</v>
      </c>
      <c r="K127" s="350"/>
    </row>
    <row r="128" spans="2:11" s="389" customFormat="1" ht="101.25" customHeight="1">
      <c r="B128" s="390"/>
      <c r="C128" s="624">
        <v>11.29</v>
      </c>
      <c r="D128" s="806"/>
      <c r="E128" s="806"/>
      <c r="F128" s="455" t="s">
        <v>544</v>
      </c>
      <c r="G128" s="807" t="s">
        <v>154</v>
      </c>
      <c r="H128" s="1072">
        <f>+'PRESUPUESTO ELECTROMECANICO'!D39</f>
        <v>17</v>
      </c>
      <c r="I128" s="386" t="e">
        <f>+#REF!</f>
        <v>#REF!</v>
      </c>
      <c r="J128" s="956" t="e">
        <f t="shared" si="13"/>
        <v>#REF!</v>
      </c>
      <c r="K128" s="350"/>
    </row>
    <row r="129" spans="2:11" s="389" customFormat="1" ht="96.75" customHeight="1">
      <c r="B129" s="390"/>
      <c r="C129" s="624">
        <v>11.3</v>
      </c>
      <c r="D129" s="806"/>
      <c r="E129" s="806"/>
      <c r="F129" s="455" t="s">
        <v>545</v>
      </c>
      <c r="G129" s="807" t="s">
        <v>154</v>
      </c>
      <c r="H129" s="1072">
        <f>+'PRESUPUESTO ELECTROMECANICO'!D40</f>
        <v>37</v>
      </c>
      <c r="I129" s="386" t="e">
        <f>+#REF!</f>
        <v>#REF!</v>
      </c>
      <c r="J129" s="956" t="e">
        <f t="shared" si="13"/>
        <v>#REF!</v>
      </c>
      <c r="K129" s="350"/>
    </row>
    <row r="130" spans="2:11" s="389" customFormat="1" ht="84" customHeight="1">
      <c r="B130" s="390"/>
      <c r="C130" s="624">
        <v>11.31</v>
      </c>
      <c r="D130" s="806"/>
      <c r="E130" s="806"/>
      <c r="F130" s="455" t="s">
        <v>546</v>
      </c>
      <c r="G130" s="807" t="s">
        <v>154</v>
      </c>
      <c r="H130" s="1072">
        <f>+'PRESUPUESTO ELECTROMECANICO'!D41</f>
        <v>9</v>
      </c>
      <c r="I130" s="386" t="e">
        <f>+#REF!</f>
        <v>#REF!</v>
      </c>
      <c r="J130" s="956" t="e">
        <f t="shared" si="13"/>
        <v>#REF!</v>
      </c>
      <c r="K130" s="350"/>
    </row>
    <row r="131" spans="2:11" s="389" customFormat="1" ht="90.75" customHeight="1">
      <c r="B131" s="390"/>
      <c r="C131" s="624">
        <v>11.32</v>
      </c>
      <c r="D131" s="806"/>
      <c r="E131" s="806"/>
      <c r="F131" s="455" t="s">
        <v>547</v>
      </c>
      <c r="G131" s="807" t="s">
        <v>154</v>
      </c>
      <c r="H131" s="1072">
        <f>+'PRESUPUESTO ELECTROMECANICO'!D42</f>
        <v>12</v>
      </c>
      <c r="I131" s="386" t="e">
        <f>+#REF!</f>
        <v>#REF!</v>
      </c>
      <c r="J131" s="956" t="e">
        <f t="shared" si="13"/>
        <v>#REF!</v>
      </c>
      <c r="K131" s="350"/>
    </row>
    <row r="132" spans="2:11" s="389" customFormat="1" ht="60.75" customHeight="1">
      <c r="B132" s="390"/>
      <c r="C132" s="624">
        <v>11.33</v>
      </c>
      <c r="D132" s="806"/>
      <c r="E132" s="806"/>
      <c r="F132" s="455" t="s">
        <v>548</v>
      </c>
      <c r="G132" s="807" t="s">
        <v>275</v>
      </c>
      <c r="H132" s="1072">
        <f>+'PRESUPUESTO ELECTROMECANICO'!D43</f>
        <v>8</v>
      </c>
      <c r="I132" s="386" t="e">
        <f>+#REF!</f>
        <v>#REF!</v>
      </c>
      <c r="J132" s="956" t="e">
        <f t="shared" si="13"/>
        <v>#REF!</v>
      </c>
      <c r="K132" s="350"/>
    </row>
    <row r="133" spans="2:11" s="389" customFormat="1" ht="60" customHeight="1">
      <c r="B133" s="390"/>
      <c r="C133" s="624">
        <v>11.34</v>
      </c>
      <c r="D133" s="806"/>
      <c r="E133" s="806"/>
      <c r="F133" s="455" t="s">
        <v>549</v>
      </c>
      <c r="G133" s="807" t="s">
        <v>275</v>
      </c>
      <c r="H133" s="1072">
        <f>+'PRESUPUESTO ELECTROMECANICO'!D44</f>
        <v>11</v>
      </c>
      <c r="I133" s="386" t="e">
        <f>+#REF!</f>
        <v>#REF!</v>
      </c>
      <c r="J133" s="956" t="e">
        <f t="shared" si="13"/>
        <v>#REF!</v>
      </c>
      <c r="K133" s="350"/>
    </row>
    <row r="134" spans="2:11" s="389" customFormat="1" ht="68.25" customHeight="1">
      <c r="B134" s="390"/>
      <c r="C134" s="624">
        <v>11.35</v>
      </c>
      <c r="D134" s="806"/>
      <c r="E134" s="806"/>
      <c r="F134" s="455" t="s">
        <v>550</v>
      </c>
      <c r="G134" s="807" t="s">
        <v>154</v>
      </c>
      <c r="H134" s="1072">
        <f>+'PRESUPUESTO ELECTROMECANICO'!D45</f>
        <v>31</v>
      </c>
      <c r="I134" s="386" t="e">
        <f>+#REF!</f>
        <v>#REF!</v>
      </c>
      <c r="J134" s="956" t="e">
        <f t="shared" si="13"/>
        <v>#REF!</v>
      </c>
      <c r="K134" s="350"/>
    </row>
    <row r="135" spans="2:11" s="389" customFormat="1" ht="69.75" customHeight="1">
      <c r="B135" s="390"/>
      <c r="C135" s="624">
        <v>11.36</v>
      </c>
      <c r="D135" s="806"/>
      <c r="E135" s="806"/>
      <c r="F135" s="455" t="s">
        <v>551</v>
      </c>
      <c r="G135" s="807" t="s">
        <v>154</v>
      </c>
      <c r="H135" s="1072">
        <f>+'PRESUPUESTO ELECTROMECANICO'!D46</f>
        <v>56</v>
      </c>
      <c r="I135" s="386" t="e">
        <f>+#REF!</f>
        <v>#REF!</v>
      </c>
      <c r="J135" s="956" t="e">
        <f t="shared" si="13"/>
        <v>#REF!</v>
      </c>
      <c r="K135" s="350"/>
    </row>
    <row r="136" spans="2:11" s="389" customFormat="1" ht="93.75" customHeight="1">
      <c r="B136" s="390"/>
      <c r="C136" s="624">
        <v>11.37</v>
      </c>
      <c r="D136" s="806"/>
      <c r="E136" s="806"/>
      <c r="F136" s="455" t="s">
        <v>552</v>
      </c>
      <c r="G136" s="807" t="s">
        <v>154</v>
      </c>
      <c r="H136" s="1072">
        <f>+'PRESUPUESTO ELECTROMECANICO'!D47</f>
        <v>18</v>
      </c>
      <c r="I136" s="386" t="e">
        <f>+#REF!</f>
        <v>#REF!</v>
      </c>
      <c r="J136" s="956" t="e">
        <f t="shared" si="13"/>
        <v>#REF!</v>
      </c>
      <c r="K136" s="350"/>
    </row>
    <row r="137" spans="2:11" s="389" customFormat="1" ht="24.95" customHeight="1" thickBot="1">
      <c r="B137" s="390"/>
      <c r="C137" s="624"/>
      <c r="D137" s="806"/>
      <c r="E137" s="806"/>
      <c r="F137" s="591"/>
      <c r="G137" s="966"/>
      <c r="H137" s="1082"/>
      <c r="I137" s="592" t="s">
        <v>1054</v>
      </c>
      <c r="J137" s="967" t="e">
        <f>SUM(J100:J136)</f>
        <v>#REF!</v>
      </c>
      <c r="K137" s="350"/>
    </row>
    <row r="138" spans="2:11" s="389" customFormat="1" ht="24.95" customHeight="1" thickBot="1">
      <c r="B138" s="390"/>
      <c r="C138" s="344"/>
      <c r="D138" s="345"/>
      <c r="E138" s="345"/>
      <c r="F138" s="345" t="s">
        <v>553</v>
      </c>
      <c r="G138" s="345"/>
      <c r="H138" s="346"/>
      <c r="I138" s="343"/>
      <c r="J138" s="347"/>
      <c r="K138" s="350"/>
    </row>
    <row r="139" spans="2:11" s="389" customFormat="1" ht="24.95" customHeight="1">
      <c r="B139" s="390"/>
      <c r="C139" s="344" t="s">
        <v>554</v>
      </c>
      <c r="D139" s="345"/>
      <c r="E139" s="345"/>
      <c r="F139" s="345" t="s">
        <v>555</v>
      </c>
      <c r="G139" s="345"/>
      <c r="H139" s="346"/>
      <c r="I139" s="343"/>
      <c r="J139" s="347"/>
      <c r="K139" s="350"/>
    </row>
    <row r="140" spans="2:11" s="389" customFormat="1" ht="111.75" customHeight="1">
      <c r="B140" s="390"/>
      <c r="C140" s="622">
        <v>12.1</v>
      </c>
      <c r="D140" s="806"/>
      <c r="E140" s="806"/>
      <c r="F140" s="455" t="s">
        <v>556</v>
      </c>
      <c r="G140" s="807" t="s">
        <v>275</v>
      </c>
      <c r="H140" s="1072">
        <f>+'PRESUPUESTO ELECTROMECANICO'!D51</f>
        <v>12</v>
      </c>
      <c r="I140" s="386" t="e">
        <f>+#REF!</f>
        <v>#REF!</v>
      </c>
      <c r="J140" s="956" t="e">
        <f t="shared" si="13"/>
        <v>#REF!</v>
      </c>
      <c r="K140" s="350"/>
    </row>
    <row r="141" spans="2:11" s="389" customFormat="1" ht="55.5" customHeight="1">
      <c r="B141" s="390"/>
      <c r="C141" s="622">
        <v>12.2</v>
      </c>
      <c r="D141" s="806"/>
      <c r="E141" s="806"/>
      <c r="F141" s="455" t="s">
        <v>557</v>
      </c>
      <c r="G141" s="807" t="s">
        <v>275</v>
      </c>
      <c r="H141" s="1072">
        <f>+'PRESUPUESTO ELECTROMECANICO'!D52</f>
        <v>34</v>
      </c>
      <c r="I141" s="386" t="e">
        <f>+#REF!</f>
        <v>#REF!</v>
      </c>
      <c r="J141" s="956" t="e">
        <f t="shared" si="13"/>
        <v>#REF!</v>
      </c>
      <c r="K141" s="350"/>
    </row>
    <row r="142" spans="2:11" s="389" customFormat="1" ht="84" customHeight="1">
      <c r="B142" s="390"/>
      <c r="C142" s="622">
        <v>12.3</v>
      </c>
      <c r="D142" s="806"/>
      <c r="E142" s="806"/>
      <c r="F142" s="455" t="s">
        <v>558</v>
      </c>
      <c r="G142" s="807" t="s">
        <v>275</v>
      </c>
      <c r="H142" s="1072">
        <f>+'PRESUPUESTO ELECTROMECANICO'!D53</f>
        <v>12</v>
      </c>
      <c r="I142" s="386" t="e">
        <f>+#REF!</f>
        <v>#REF!</v>
      </c>
      <c r="J142" s="956" t="e">
        <f t="shared" si="13"/>
        <v>#REF!</v>
      </c>
      <c r="K142" s="350"/>
    </row>
    <row r="143" spans="2:11" s="389" customFormat="1" ht="59.25" customHeight="1">
      <c r="B143" s="390"/>
      <c r="C143" s="622">
        <v>12.4</v>
      </c>
      <c r="D143" s="806"/>
      <c r="E143" s="806"/>
      <c r="F143" s="455" t="s">
        <v>559</v>
      </c>
      <c r="G143" s="807" t="s">
        <v>275</v>
      </c>
      <c r="H143" s="1072">
        <f>+'PRESUPUESTO ELECTROMECANICO'!D54</f>
        <v>43</v>
      </c>
      <c r="I143" s="386" t="e">
        <f>+#REF!</f>
        <v>#REF!</v>
      </c>
      <c r="J143" s="956" t="e">
        <f t="shared" si="13"/>
        <v>#REF!</v>
      </c>
      <c r="K143" s="350"/>
    </row>
    <row r="144" spans="2:11" s="389" customFormat="1" ht="67.5" customHeight="1">
      <c r="B144" s="390"/>
      <c r="C144" s="622">
        <v>12.5</v>
      </c>
      <c r="D144" s="806"/>
      <c r="E144" s="806"/>
      <c r="F144" s="455" t="s">
        <v>560</v>
      </c>
      <c r="G144" s="807" t="s">
        <v>275</v>
      </c>
      <c r="H144" s="1072">
        <f>+'PRESUPUESTO ELECTROMECANICO'!D55</f>
        <v>4</v>
      </c>
      <c r="I144" s="386" t="e">
        <f>+#REF!</f>
        <v>#REF!</v>
      </c>
      <c r="J144" s="956" t="e">
        <f t="shared" si="13"/>
        <v>#REF!</v>
      </c>
      <c r="K144" s="350"/>
    </row>
    <row r="145" spans="2:11" s="389" customFormat="1" ht="87" customHeight="1">
      <c r="B145" s="390"/>
      <c r="C145" s="622">
        <v>12.6</v>
      </c>
      <c r="D145" s="806"/>
      <c r="E145" s="806"/>
      <c r="F145" s="455" t="s">
        <v>561</v>
      </c>
      <c r="G145" s="807" t="s">
        <v>275</v>
      </c>
      <c r="H145" s="1072">
        <f>+'PRESUPUESTO ELECTROMECANICO'!D56</f>
        <v>2</v>
      </c>
      <c r="I145" s="386" t="e">
        <f>+#REF!</f>
        <v>#REF!</v>
      </c>
      <c r="J145" s="956" t="e">
        <f t="shared" si="13"/>
        <v>#REF!</v>
      </c>
      <c r="K145" s="350"/>
    </row>
    <row r="146" spans="2:11" s="389" customFormat="1" ht="52.5" customHeight="1">
      <c r="B146" s="390"/>
      <c r="C146" s="622">
        <v>12.7</v>
      </c>
      <c r="D146" s="806"/>
      <c r="E146" s="806"/>
      <c r="F146" s="455" t="s">
        <v>562</v>
      </c>
      <c r="G146" s="807" t="s">
        <v>95</v>
      </c>
      <c r="H146" s="1072">
        <f>+'PRESUPUESTO ELECTROMECANICO'!D57</f>
        <v>2</v>
      </c>
      <c r="I146" s="386" t="e">
        <f>+#REF!</f>
        <v>#REF!</v>
      </c>
      <c r="J146" s="956" t="e">
        <f t="shared" si="13"/>
        <v>#REF!</v>
      </c>
      <c r="K146" s="350"/>
    </row>
    <row r="147" spans="2:11" s="389" customFormat="1" ht="61.5" customHeight="1">
      <c r="B147" s="390"/>
      <c r="C147" s="622">
        <v>12.8</v>
      </c>
      <c r="D147" s="806"/>
      <c r="E147" s="806"/>
      <c r="F147" s="455" t="s">
        <v>563</v>
      </c>
      <c r="G147" s="807" t="s">
        <v>154</v>
      </c>
      <c r="H147" s="1072">
        <f>+'PRESUPUESTO ELECTROMECANICO'!D58</f>
        <v>98</v>
      </c>
      <c r="I147" s="386" t="e">
        <f>+#REF!</f>
        <v>#REF!</v>
      </c>
      <c r="J147" s="956" t="e">
        <f t="shared" si="13"/>
        <v>#REF!</v>
      </c>
      <c r="K147" s="350"/>
    </row>
    <row r="148" spans="2:11" s="389" customFormat="1" ht="79.5" customHeight="1">
      <c r="B148" s="390"/>
      <c r="C148" s="622">
        <v>12.9</v>
      </c>
      <c r="D148" s="806"/>
      <c r="E148" s="806"/>
      <c r="F148" s="455" t="s">
        <v>564</v>
      </c>
      <c r="G148" s="807" t="s">
        <v>154</v>
      </c>
      <c r="H148" s="1072">
        <f>+'PRESUPUESTO ELECTROMECANICO'!D59</f>
        <v>56</v>
      </c>
      <c r="I148" s="386" t="e">
        <f>+#REF!</f>
        <v>#REF!</v>
      </c>
      <c r="J148" s="956" t="e">
        <f t="shared" si="13"/>
        <v>#REF!</v>
      </c>
      <c r="K148" s="350"/>
    </row>
    <row r="149" spans="2:11" s="389" customFormat="1" ht="45.75" customHeight="1">
      <c r="B149" s="390"/>
      <c r="C149" s="624">
        <v>12.1</v>
      </c>
      <c r="D149" s="806"/>
      <c r="E149" s="806"/>
      <c r="F149" s="455" t="s">
        <v>565</v>
      </c>
      <c r="G149" s="807" t="s">
        <v>275</v>
      </c>
      <c r="H149" s="1072">
        <f>+'PRESUPUESTO ELECTROMECANICO'!D60</f>
        <v>2</v>
      </c>
      <c r="I149" s="386" t="e">
        <f>+#REF!</f>
        <v>#REF!</v>
      </c>
      <c r="J149" s="956" t="e">
        <f t="shared" si="13"/>
        <v>#REF!</v>
      </c>
      <c r="K149" s="350"/>
    </row>
    <row r="150" spans="2:11" s="389" customFormat="1" ht="74.25" customHeight="1">
      <c r="B150" s="390"/>
      <c r="C150" s="624">
        <v>12.11</v>
      </c>
      <c r="D150" s="806"/>
      <c r="E150" s="806"/>
      <c r="F150" s="455" t="s">
        <v>566</v>
      </c>
      <c r="G150" s="807" t="s">
        <v>272</v>
      </c>
      <c r="H150" s="1072">
        <f>+'PRESUPUESTO ELECTROMECANICO'!D61</f>
        <v>1</v>
      </c>
      <c r="I150" s="386" t="e">
        <f>+#REF!</f>
        <v>#REF!</v>
      </c>
      <c r="J150" s="956" t="e">
        <f t="shared" si="13"/>
        <v>#REF!</v>
      </c>
      <c r="K150" s="350"/>
    </row>
    <row r="151" spans="2:11" s="389" customFormat="1" ht="24.95" customHeight="1" thickBot="1">
      <c r="B151" s="390"/>
      <c r="C151" s="624"/>
      <c r="D151" s="806"/>
      <c r="E151" s="806"/>
      <c r="F151" s="591"/>
      <c r="G151" s="966"/>
      <c r="H151" s="1082"/>
      <c r="I151" s="592" t="s">
        <v>1054</v>
      </c>
      <c r="J151" s="967" t="e">
        <f>SUM(J140:J150)</f>
        <v>#REF!</v>
      </c>
      <c r="K151" s="350"/>
    </row>
    <row r="152" spans="2:11" s="389" customFormat="1" ht="24.95" customHeight="1">
      <c r="B152" s="390"/>
      <c r="C152" s="606">
        <v>13</v>
      </c>
      <c r="D152" s="607"/>
      <c r="E152" s="607"/>
      <c r="F152" s="607" t="s">
        <v>1107</v>
      </c>
      <c r="G152" s="607"/>
      <c r="H152" s="608"/>
      <c r="I152" s="603"/>
      <c r="J152" s="609"/>
      <c r="K152" s="350"/>
    </row>
    <row r="153" spans="2:11" s="389" customFormat="1" ht="94.5" customHeight="1">
      <c r="B153" s="390"/>
      <c r="C153" s="604">
        <v>13.1</v>
      </c>
      <c r="D153" s="322"/>
      <c r="E153" s="322"/>
      <c r="F153" s="455" t="s">
        <v>569</v>
      </c>
      <c r="G153" s="605" t="s">
        <v>275</v>
      </c>
      <c r="H153" s="589">
        <f>+'PRESUPUESTO ELECTROMECANICO'!D64</f>
        <v>4</v>
      </c>
      <c r="I153" s="386" t="e">
        <f>+#REF!</f>
        <v>#REF!</v>
      </c>
      <c r="J153" s="968" t="e">
        <f t="shared" si="13"/>
        <v>#REF!</v>
      </c>
      <c r="K153" s="350"/>
    </row>
    <row r="154" spans="2:11" s="389" customFormat="1" ht="156.75" customHeight="1">
      <c r="B154" s="390"/>
      <c r="C154" s="622">
        <v>13.2</v>
      </c>
      <c r="D154" s="806"/>
      <c r="E154" s="806"/>
      <c r="F154" s="455" t="s">
        <v>570</v>
      </c>
      <c r="G154" s="807" t="s">
        <v>154</v>
      </c>
      <c r="H154" s="1072">
        <f>+'PRESUPUESTO ELECTROMECANICO'!D65</f>
        <v>2</v>
      </c>
      <c r="I154" s="386" t="e">
        <f>+#REF!</f>
        <v>#REF!</v>
      </c>
      <c r="J154" s="956" t="e">
        <f t="shared" si="13"/>
        <v>#REF!</v>
      </c>
      <c r="K154" s="350"/>
    </row>
    <row r="155" spans="2:11" s="389" customFormat="1" ht="168" customHeight="1">
      <c r="B155" s="390"/>
      <c r="C155" s="622">
        <v>13.3</v>
      </c>
      <c r="D155" s="806"/>
      <c r="E155" s="806"/>
      <c r="F155" s="455" t="s">
        <v>571</v>
      </c>
      <c r="G155" s="807" t="s">
        <v>275</v>
      </c>
      <c r="H155" s="1072">
        <f>+'PRESUPUESTO ELECTROMECANICO'!D66</f>
        <v>2</v>
      </c>
      <c r="I155" s="386" t="e">
        <f>+#REF!</f>
        <v>#REF!</v>
      </c>
      <c r="J155" s="956" t="e">
        <f t="shared" si="13"/>
        <v>#REF!</v>
      </c>
      <c r="K155" s="350"/>
    </row>
    <row r="156" spans="2:11" s="389" customFormat="1" ht="174" customHeight="1">
      <c r="B156" s="390"/>
      <c r="C156" s="622">
        <v>13.4</v>
      </c>
      <c r="D156" s="806"/>
      <c r="E156" s="806"/>
      <c r="F156" s="455" t="s">
        <v>572</v>
      </c>
      <c r="G156" s="807" t="s">
        <v>275</v>
      </c>
      <c r="H156" s="1072">
        <f>+'PRESUPUESTO ELECTROMECANICO'!D67</f>
        <v>2</v>
      </c>
      <c r="I156" s="386" t="e">
        <f>+#REF!</f>
        <v>#REF!</v>
      </c>
      <c r="J156" s="956" t="e">
        <f t="shared" si="13"/>
        <v>#REF!</v>
      </c>
      <c r="K156" s="350"/>
    </row>
    <row r="157" spans="2:11" s="389" customFormat="1" ht="80.25" customHeight="1">
      <c r="B157" s="390"/>
      <c r="C157" s="622">
        <v>13.5</v>
      </c>
      <c r="D157" s="806"/>
      <c r="E157" s="806"/>
      <c r="F157" s="455" t="s">
        <v>573</v>
      </c>
      <c r="G157" s="807" t="s">
        <v>275</v>
      </c>
      <c r="H157" s="1072">
        <f>+'PRESUPUESTO ELECTROMECANICO'!D68</f>
        <v>2</v>
      </c>
      <c r="I157" s="386" t="e">
        <f>+#REF!</f>
        <v>#REF!</v>
      </c>
      <c r="J157" s="956" t="e">
        <f t="shared" si="13"/>
        <v>#REF!</v>
      </c>
      <c r="K157" s="350"/>
    </row>
    <row r="158" spans="2:11" s="389" customFormat="1" ht="379.5" customHeight="1">
      <c r="B158" s="390"/>
      <c r="C158" s="622">
        <v>13.6</v>
      </c>
      <c r="D158" s="806"/>
      <c r="E158" s="806"/>
      <c r="F158" s="455" t="s">
        <v>574</v>
      </c>
      <c r="G158" s="807" t="s">
        <v>275</v>
      </c>
      <c r="H158" s="1072">
        <f>+'PRESUPUESTO ELECTROMECANICO'!D69</f>
        <v>1</v>
      </c>
      <c r="I158" s="386" t="e">
        <f>+#REF!</f>
        <v>#REF!</v>
      </c>
      <c r="J158" s="956" t="e">
        <f t="shared" si="13"/>
        <v>#REF!</v>
      </c>
      <c r="K158" s="350"/>
    </row>
    <row r="159" spans="2:11" s="389" customFormat="1" ht="24.95" customHeight="1">
      <c r="B159" s="390"/>
      <c r="C159" s="624"/>
      <c r="D159" s="806"/>
      <c r="E159" s="806"/>
      <c r="F159" s="591"/>
      <c r="G159" s="806"/>
      <c r="H159" s="1072"/>
      <c r="I159" s="592" t="s">
        <v>1054</v>
      </c>
      <c r="J159" s="967" t="e">
        <f>SUM(J153:J158)</f>
        <v>#REF!</v>
      </c>
      <c r="K159" s="350"/>
    </row>
    <row r="160" spans="2:11" s="389" customFormat="1" ht="24.95" customHeight="1" thickBot="1">
      <c r="B160" s="390"/>
      <c r="C160" s="969"/>
      <c r="D160" s="970"/>
      <c r="E160" s="970"/>
      <c r="F160" s="971" t="s">
        <v>1108</v>
      </c>
      <c r="G160" s="970"/>
      <c r="H160" s="1083"/>
      <c r="I160" s="610"/>
      <c r="J160" s="972" t="e">
        <f>+J159+J151+J137</f>
        <v>#REF!</v>
      </c>
      <c r="K160" s="350"/>
    </row>
    <row r="161" spans="2:11" s="389" customFormat="1" ht="24.95" customHeight="1" thickBot="1">
      <c r="B161" s="390"/>
      <c r="C161" s="344" t="s">
        <v>379</v>
      </c>
      <c r="D161" s="345"/>
      <c r="E161" s="345"/>
      <c r="F161" s="345" t="s">
        <v>575</v>
      </c>
      <c r="G161" s="345"/>
      <c r="H161" s="346"/>
      <c r="I161" s="343"/>
      <c r="J161" s="347"/>
      <c r="K161" s="350"/>
    </row>
    <row r="162" spans="2:11" s="389" customFormat="1" ht="24.95" customHeight="1">
      <c r="B162" s="390"/>
      <c r="C162" s="344">
        <v>14</v>
      </c>
      <c r="D162" s="345"/>
      <c r="E162" s="345"/>
      <c r="F162" s="345" t="s">
        <v>576</v>
      </c>
      <c r="G162" s="345"/>
      <c r="H162" s="346"/>
      <c r="I162" s="343"/>
      <c r="J162" s="347"/>
      <c r="K162" s="350"/>
    </row>
    <row r="163" spans="2:11" s="389" customFormat="1" ht="285" customHeight="1">
      <c r="B163" s="390"/>
      <c r="C163" s="622">
        <v>14.1</v>
      </c>
      <c r="D163" s="806"/>
      <c r="E163" s="806"/>
      <c r="F163" s="455" t="s">
        <v>577</v>
      </c>
      <c r="G163" s="807" t="s">
        <v>275</v>
      </c>
      <c r="H163" s="1072">
        <v>1</v>
      </c>
      <c r="I163" s="386" t="e">
        <f>+#REF!</f>
        <v>#REF!</v>
      </c>
      <c r="J163" s="956" t="e">
        <f>+H163*I163</f>
        <v>#REF!</v>
      </c>
      <c r="K163" s="350"/>
    </row>
    <row r="164" spans="2:11" s="389" customFormat="1" ht="68.25" customHeight="1">
      <c r="B164" s="390"/>
      <c r="C164" s="622">
        <v>14.2</v>
      </c>
      <c r="D164" s="806"/>
      <c r="E164" s="806"/>
      <c r="F164" s="455" t="s">
        <v>578</v>
      </c>
      <c r="G164" s="807" t="s">
        <v>145</v>
      </c>
      <c r="H164" s="1072">
        <v>60</v>
      </c>
      <c r="I164" s="386" t="e">
        <f>+#REF!</f>
        <v>#REF!</v>
      </c>
      <c r="J164" s="956" t="e">
        <f t="shared" ref="J164:J227" si="14">+H164*I164</f>
        <v>#REF!</v>
      </c>
      <c r="K164" s="350"/>
    </row>
    <row r="165" spans="2:11" s="389" customFormat="1" ht="78.75" customHeight="1">
      <c r="B165" s="390"/>
      <c r="C165" s="622">
        <v>14.3</v>
      </c>
      <c r="D165" s="806"/>
      <c r="E165" s="806"/>
      <c r="F165" s="455" t="s">
        <v>579</v>
      </c>
      <c r="G165" s="807" t="s">
        <v>275</v>
      </c>
      <c r="H165" s="1072">
        <v>1</v>
      </c>
      <c r="I165" s="386" t="e">
        <f>+#REF!</f>
        <v>#REF!</v>
      </c>
      <c r="J165" s="956" t="e">
        <f t="shared" si="14"/>
        <v>#REF!</v>
      </c>
      <c r="K165" s="350"/>
    </row>
    <row r="166" spans="2:11" s="389" customFormat="1" ht="81" customHeight="1">
      <c r="B166" s="390"/>
      <c r="C166" s="622">
        <v>14.4</v>
      </c>
      <c r="D166" s="806"/>
      <c r="E166" s="806"/>
      <c r="F166" s="455" t="s">
        <v>580</v>
      </c>
      <c r="G166" s="807" t="s">
        <v>154</v>
      </c>
      <c r="H166" s="1072">
        <v>5</v>
      </c>
      <c r="I166" s="386" t="e">
        <f>+#REF!</f>
        <v>#REF!</v>
      </c>
      <c r="J166" s="956" t="e">
        <f t="shared" si="14"/>
        <v>#REF!</v>
      </c>
      <c r="K166" s="350"/>
    </row>
    <row r="167" spans="2:11" s="389" customFormat="1" ht="65.25" customHeight="1">
      <c r="B167" s="390"/>
      <c r="C167" s="622">
        <v>14.5</v>
      </c>
      <c r="D167" s="806"/>
      <c r="E167" s="806"/>
      <c r="F167" s="455" t="s">
        <v>581</v>
      </c>
      <c r="G167" s="807" t="s">
        <v>145</v>
      </c>
      <c r="H167" s="1072">
        <v>9.5299999999999994</v>
      </c>
      <c r="I167" s="386" t="e">
        <f>+#REF!</f>
        <v>#REF!</v>
      </c>
      <c r="J167" s="956" t="e">
        <f t="shared" si="14"/>
        <v>#REF!</v>
      </c>
      <c r="K167" s="350"/>
    </row>
    <row r="168" spans="2:11" s="389" customFormat="1" ht="65.25" customHeight="1">
      <c r="B168" s="390"/>
      <c r="C168" s="622">
        <v>14.6</v>
      </c>
      <c r="D168" s="806"/>
      <c r="E168" s="806"/>
      <c r="F168" s="455" t="s">
        <v>582</v>
      </c>
      <c r="G168" s="807" t="s">
        <v>145</v>
      </c>
      <c r="H168" s="1072">
        <v>97.27</v>
      </c>
      <c r="I168" s="386" t="e">
        <f>+#REF!</f>
        <v>#REF!</v>
      </c>
      <c r="J168" s="956" t="e">
        <f t="shared" si="14"/>
        <v>#REF!</v>
      </c>
      <c r="K168" s="350"/>
    </row>
    <row r="169" spans="2:11" s="389" customFormat="1" ht="65.25" customHeight="1">
      <c r="B169" s="390"/>
      <c r="C169" s="622">
        <v>14.7</v>
      </c>
      <c r="D169" s="806"/>
      <c r="E169" s="806"/>
      <c r="F169" s="455" t="s">
        <v>583</v>
      </c>
      <c r="G169" s="807" t="s">
        <v>145</v>
      </c>
      <c r="H169" s="1072">
        <v>5.77</v>
      </c>
      <c r="I169" s="386" t="e">
        <f>+#REF!</f>
        <v>#REF!</v>
      </c>
      <c r="J169" s="956" t="e">
        <f t="shared" si="14"/>
        <v>#REF!</v>
      </c>
      <c r="K169" s="350"/>
    </row>
    <row r="170" spans="2:11" s="389" customFormat="1" ht="52.5" customHeight="1">
      <c r="B170" s="390"/>
      <c r="C170" s="622">
        <v>14.8</v>
      </c>
      <c r="D170" s="806"/>
      <c r="E170" s="806"/>
      <c r="F170" s="455" t="s">
        <v>584</v>
      </c>
      <c r="G170" s="807" t="s">
        <v>275</v>
      </c>
      <c r="H170" s="1072">
        <v>1</v>
      </c>
      <c r="I170" s="386" t="e">
        <f>+#REF!</f>
        <v>#REF!</v>
      </c>
      <c r="J170" s="956" t="e">
        <f t="shared" si="14"/>
        <v>#REF!</v>
      </c>
      <c r="K170" s="350"/>
    </row>
    <row r="171" spans="2:11" s="389" customFormat="1" ht="49.5" customHeight="1">
      <c r="B171" s="390"/>
      <c r="C171" s="622">
        <v>14.9</v>
      </c>
      <c r="D171" s="806"/>
      <c r="E171" s="806"/>
      <c r="F171" s="455" t="s">
        <v>585</v>
      </c>
      <c r="G171" s="807" t="s">
        <v>275</v>
      </c>
      <c r="H171" s="1072">
        <v>3</v>
      </c>
      <c r="I171" s="386" t="e">
        <f>+#REF!</f>
        <v>#REF!</v>
      </c>
      <c r="J171" s="956" t="e">
        <f t="shared" si="14"/>
        <v>#REF!</v>
      </c>
      <c r="K171" s="350"/>
    </row>
    <row r="172" spans="2:11" s="389" customFormat="1" ht="54" customHeight="1">
      <c r="B172" s="390"/>
      <c r="C172" s="624">
        <v>14.1</v>
      </c>
      <c r="D172" s="806"/>
      <c r="E172" s="806"/>
      <c r="F172" s="455" t="s">
        <v>586</v>
      </c>
      <c r="G172" s="807" t="s">
        <v>275</v>
      </c>
      <c r="H172" s="1072">
        <v>2</v>
      </c>
      <c r="I172" s="386" t="e">
        <f>+#REF!</f>
        <v>#REF!</v>
      </c>
      <c r="J172" s="956" t="e">
        <f t="shared" si="14"/>
        <v>#REF!</v>
      </c>
      <c r="K172" s="350"/>
    </row>
    <row r="173" spans="2:11" s="389" customFormat="1" ht="51.75" customHeight="1">
      <c r="B173" s="390"/>
      <c r="C173" s="624">
        <v>14.11</v>
      </c>
      <c r="D173" s="806"/>
      <c r="E173" s="806"/>
      <c r="F173" s="455" t="s">
        <v>587</v>
      </c>
      <c r="G173" s="807" t="s">
        <v>275</v>
      </c>
      <c r="H173" s="1072">
        <v>3</v>
      </c>
      <c r="I173" s="386" t="e">
        <f>+#REF!</f>
        <v>#REF!</v>
      </c>
      <c r="J173" s="956" t="e">
        <f t="shared" si="14"/>
        <v>#REF!</v>
      </c>
      <c r="K173" s="350"/>
    </row>
    <row r="174" spans="2:11" s="389" customFormat="1" ht="60" customHeight="1">
      <c r="B174" s="390"/>
      <c r="C174" s="624">
        <v>14.12</v>
      </c>
      <c r="D174" s="806"/>
      <c r="E174" s="806"/>
      <c r="F174" s="455" t="s">
        <v>588</v>
      </c>
      <c r="G174" s="807" t="s">
        <v>275</v>
      </c>
      <c r="H174" s="1072">
        <v>1</v>
      </c>
      <c r="I174" s="386" t="e">
        <f>+#REF!</f>
        <v>#REF!</v>
      </c>
      <c r="J174" s="956" t="e">
        <f t="shared" si="14"/>
        <v>#REF!</v>
      </c>
      <c r="K174" s="350"/>
    </row>
    <row r="175" spans="2:11" s="389" customFormat="1" ht="55.5" customHeight="1">
      <c r="B175" s="390"/>
      <c r="C175" s="624">
        <v>14.13</v>
      </c>
      <c r="D175" s="806"/>
      <c r="E175" s="806"/>
      <c r="F175" s="455" t="s">
        <v>589</v>
      </c>
      <c r="G175" s="807" t="s">
        <v>275</v>
      </c>
      <c r="H175" s="1072">
        <v>2</v>
      </c>
      <c r="I175" s="386" t="e">
        <f>+#REF!</f>
        <v>#REF!</v>
      </c>
      <c r="J175" s="956" t="e">
        <f t="shared" si="14"/>
        <v>#REF!</v>
      </c>
      <c r="K175" s="350"/>
    </row>
    <row r="176" spans="2:11" s="389" customFormat="1" ht="53.25" customHeight="1">
      <c r="B176" s="390"/>
      <c r="C176" s="624">
        <v>14.14</v>
      </c>
      <c r="D176" s="806"/>
      <c r="E176" s="806"/>
      <c r="F176" s="455" t="s">
        <v>590</v>
      </c>
      <c r="G176" s="807" t="s">
        <v>275</v>
      </c>
      <c r="H176" s="1072">
        <v>1</v>
      </c>
      <c r="I176" s="386" t="e">
        <f>+#REF!</f>
        <v>#REF!</v>
      </c>
      <c r="J176" s="956" t="e">
        <f t="shared" si="14"/>
        <v>#REF!</v>
      </c>
      <c r="K176" s="350"/>
    </row>
    <row r="177" spans="2:11" s="389" customFormat="1" ht="53.25" customHeight="1">
      <c r="B177" s="390"/>
      <c r="C177" s="624">
        <v>14.15</v>
      </c>
      <c r="D177" s="806"/>
      <c r="E177" s="806"/>
      <c r="F177" s="455" t="s">
        <v>591</v>
      </c>
      <c r="G177" s="807" t="s">
        <v>275</v>
      </c>
      <c r="H177" s="1072">
        <v>5</v>
      </c>
      <c r="I177" s="386" t="e">
        <f>+#REF!</f>
        <v>#REF!</v>
      </c>
      <c r="J177" s="956" t="e">
        <f t="shared" si="14"/>
        <v>#REF!</v>
      </c>
      <c r="K177" s="350"/>
    </row>
    <row r="178" spans="2:11" s="389" customFormat="1" ht="54.75" customHeight="1">
      <c r="B178" s="390"/>
      <c r="C178" s="624">
        <v>14.16</v>
      </c>
      <c r="D178" s="806"/>
      <c r="E178" s="806"/>
      <c r="F178" s="455" t="s">
        <v>592</v>
      </c>
      <c r="G178" s="807" t="s">
        <v>275</v>
      </c>
      <c r="H178" s="1072">
        <v>2</v>
      </c>
      <c r="I178" s="386" t="e">
        <f>+#REF!</f>
        <v>#REF!</v>
      </c>
      <c r="J178" s="956" t="e">
        <f t="shared" si="14"/>
        <v>#REF!</v>
      </c>
      <c r="K178" s="350"/>
    </row>
    <row r="179" spans="2:11" s="389" customFormat="1" ht="50.25" customHeight="1">
      <c r="B179" s="390"/>
      <c r="C179" s="624">
        <v>14.17</v>
      </c>
      <c r="D179" s="806"/>
      <c r="E179" s="806"/>
      <c r="F179" s="455" t="s">
        <v>593</v>
      </c>
      <c r="G179" s="807" t="s">
        <v>275</v>
      </c>
      <c r="H179" s="1072">
        <v>4</v>
      </c>
      <c r="I179" s="386" t="e">
        <f>+#REF!</f>
        <v>#REF!</v>
      </c>
      <c r="J179" s="956" t="e">
        <f t="shared" si="14"/>
        <v>#REF!</v>
      </c>
      <c r="K179" s="350"/>
    </row>
    <row r="180" spans="2:11" s="389" customFormat="1" ht="71.25" customHeight="1">
      <c r="B180" s="390"/>
      <c r="C180" s="624">
        <v>14.18</v>
      </c>
      <c r="D180" s="806"/>
      <c r="E180" s="806"/>
      <c r="F180" s="455" t="s">
        <v>594</v>
      </c>
      <c r="G180" s="807" t="s">
        <v>275</v>
      </c>
      <c r="H180" s="1072">
        <v>2</v>
      </c>
      <c r="I180" s="386" t="e">
        <f>+#REF!</f>
        <v>#REF!</v>
      </c>
      <c r="J180" s="956" t="e">
        <f t="shared" si="14"/>
        <v>#REF!</v>
      </c>
      <c r="K180" s="350"/>
    </row>
    <row r="181" spans="2:11" s="389" customFormat="1" ht="138.75" customHeight="1">
      <c r="B181" s="390"/>
      <c r="C181" s="624">
        <v>14.19</v>
      </c>
      <c r="D181" s="806"/>
      <c r="E181" s="806"/>
      <c r="F181" s="455" t="s">
        <v>595</v>
      </c>
      <c r="G181" s="807" t="s">
        <v>275</v>
      </c>
      <c r="H181" s="1072">
        <v>2</v>
      </c>
      <c r="I181" s="386" t="e">
        <f>+#REF!</f>
        <v>#REF!</v>
      </c>
      <c r="J181" s="956" t="e">
        <f t="shared" si="14"/>
        <v>#REF!</v>
      </c>
      <c r="K181" s="350"/>
    </row>
    <row r="182" spans="2:11" s="389" customFormat="1" ht="138" customHeight="1">
      <c r="B182" s="390"/>
      <c r="C182" s="624">
        <v>14.2</v>
      </c>
      <c r="D182" s="806"/>
      <c r="E182" s="806"/>
      <c r="F182" s="455" t="s">
        <v>596</v>
      </c>
      <c r="G182" s="807" t="s">
        <v>275</v>
      </c>
      <c r="H182" s="1072">
        <v>1</v>
      </c>
      <c r="I182" s="386" t="e">
        <f>+#REF!</f>
        <v>#REF!</v>
      </c>
      <c r="J182" s="956" t="e">
        <f t="shared" si="14"/>
        <v>#REF!</v>
      </c>
      <c r="K182" s="350"/>
    </row>
    <row r="183" spans="2:11" s="389" customFormat="1" ht="24.95" customHeight="1">
      <c r="B183" s="390"/>
      <c r="C183" s="622"/>
      <c r="D183" s="806"/>
      <c r="E183" s="806"/>
      <c r="F183" s="591"/>
      <c r="G183" s="966"/>
      <c r="H183" s="1082"/>
      <c r="I183" s="592" t="s">
        <v>1054</v>
      </c>
      <c r="J183" s="967" t="e">
        <f>SUM(J163:J182)</f>
        <v>#REF!</v>
      </c>
      <c r="K183" s="350"/>
    </row>
    <row r="184" spans="2:11" s="389" customFormat="1" ht="24.95" customHeight="1">
      <c r="B184" s="390"/>
      <c r="C184" s="973">
        <v>15</v>
      </c>
      <c r="D184" s="810"/>
      <c r="E184" s="810"/>
      <c r="F184" s="611" t="s">
        <v>597</v>
      </c>
      <c r="G184" s="974"/>
      <c r="H184" s="1084"/>
      <c r="I184" s="975"/>
      <c r="J184" s="976"/>
      <c r="K184" s="350"/>
    </row>
    <row r="185" spans="2:11" s="389" customFormat="1" ht="373.5" customHeight="1">
      <c r="B185" s="390"/>
      <c r="C185" s="622">
        <v>15.1</v>
      </c>
      <c r="D185" s="806"/>
      <c r="E185" s="806"/>
      <c r="F185" s="455" t="s">
        <v>598</v>
      </c>
      <c r="G185" s="807" t="s">
        <v>275</v>
      </c>
      <c r="H185" s="1072">
        <v>1</v>
      </c>
      <c r="I185" s="386" t="e">
        <f>+#REF!</f>
        <v>#REF!</v>
      </c>
      <c r="J185" s="956" t="e">
        <f t="shared" si="14"/>
        <v>#REF!</v>
      </c>
      <c r="K185" s="350"/>
    </row>
    <row r="186" spans="2:11" s="389" customFormat="1" ht="96.75" customHeight="1">
      <c r="B186" s="390"/>
      <c r="C186" s="622">
        <v>15.2</v>
      </c>
      <c r="D186" s="806"/>
      <c r="E186" s="806"/>
      <c r="F186" s="455" t="s">
        <v>599</v>
      </c>
      <c r="G186" s="807" t="s">
        <v>275</v>
      </c>
      <c r="H186" s="1072">
        <v>1</v>
      </c>
      <c r="I186" s="386" t="e">
        <f>+#REF!</f>
        <v>#REF!</v>
      </c>
      <c r="J186" s="956" t="e">
        <f t="shared" si="14"/>
        <v>#REF!</v>
      </c>
      <c r="K186" s="350"/>
    </row>
    <row r="187" spans="2:11" s="389" customFormat="1" ht="70.5" customHeight="1">
      <c r="B187" s="390"/>
      <c r="C187" s="622">
        <v>15.3</v>
      </c>
      <c r="D187" s="806"/>
      <c r="E187" s="806"/>
      <c r="F187" s="455" t="s">
        <v>600</v>
      </c>
      <c r="G187" s="807" t="s">
        <v>145</v>
      </c>
      <c r="H187" s="1072">
        <v>54.39</v>
      </c>
      <c r="I187" s="386" t="e">
        <f>+#REF!</f>
        <v>#REF!</v>
      </c>
      <c r="J187" s="956" t="e">
        <f t="shared" si="14"/>
        <v>#REF!</v>
      </c>
      <c r="K187" s="350"/>
    </row>
    <row r="188" spans="2:11" s="389" customFormat="1" ht="75.75" customHeight="1">
      <c r="B188" s="390"/>
      <c r="C188" s="622">
        <v>15.4</v>
      </c>
      <c r="D188" s="806"/>
      <c r="E188" s="806"/>
      <c r="F188" s="455" t="s">
        <v>601</v>
      </c>
      <c r="G188" s="807" t="s">
        <v>145</v>
      </c>
      <c r="H188" s="1072">
        <v>2.15</v>
      </c>
      <c r="I188" s="386" t="e">
        <f>+#REF!</f>
        <v>#REF!</v>
      </c>
      <c r="J188" s="956" t="e">
        <f t="shared" si="14"/>
        <v>#REF!</v>
      </c>
      <c r="K188" s="350"/>
    </row>
    <row r="189" spans="2:11" s="389" customFormat="1" ht="76.5" customHeight="1">
      <c r="B189" s="390"/>
      <c r="C189" s="622">
        <v>15.5</v>
      </c>
      <c r="D189" s="806"/>
      <c r="E189" s="806"/>
      <c r="F189" s="455" t="s">
        <v>602</v>
      </c>
      <c r="G189" s="807" t="s">
        <v>145</v>
      </c>
      <c r="H189" s="1072">
        <v>36.01</v>
      </c>
      <c r="I189" s="386" t="e">
        <f>+#REF!</f>
        <v>#REF!</v>
      </c>
      <c r="J189" s="956" t="e">
        <f t="shared" si="14"/>
        <v>#REF!</v>
      </c>
      <c r="K189" s="350"/>
    </row>
    <row r="190" spans="2:11" s="389" customFormat="1" ht="53.25" customHeight="1">
      <c r="B190" s="390"/>
      <c r="C190" s="622">
        <v>15.6</v>
      </c>
      <c r="D190" s="806"/>
      <c r="E190" s="806"/>
      <c r="F190" s="455" t="s">
        <v>603</v>
      </c>
      <c r="G190" s="807" t="s">
        <v>275</v>
      </c>
      <c r="H190" s="1072">
        <v>1</v>
      </c>
      <c r="I190" s="386" t="e">
        <f>+#REF!</f>
        <v>#REF!</v>
      </c>
      <c r="J190" s="956" t="e">
        <f t="shared" si="14"/>
        <v>#REF!</v>
      </c>
      <c r="K190" s="350"/>
    </row>
    <row r="191" spans="2:11" s="389" customFormat="1" ht="54" customHeight="1">
      <c r="B191" s="390"/>
      <c r="C191" s="622">
        <v>15.7</v>
      </c>
      <c r="D191" s="806"/>
      <c r="E191" s="806"/>
      <c r="F191" s="455" t="s">
        <v>604</v>
      </c>
      <c r="G191" s="807" t="s">
        <v>275</v>
      </c>
      <c r="H191" s="1072">
        <v>1</v>
      </c>
      <c r="I191" s="386" t="e">
        <f>+#REF!</f>
        <v>#REF!</v>
      </c>
      <c r="J191" s="956" t="e">
        <f t="shared" si="14"/>
        <v>#REF!</v>
      </c>
      <c r="K191" s="350"/>
    </row>
    <row r="192" spans="2:11" s="389" customFormat="1" ht="54" customHeight="1">
      <c r="B192" s="390"/>
      <c r="C192" s="622">
        <v>15.8</v>
      </c>
      <c r="D192" s="806"/>
      <c r="E192" s="806"/>
      <c r="F192" s="455" t="s">
        <v>605</v>
      </c>
      <c r="G192" s="807" t="s">
        <v>275</v>
      </c>
      <c r="H192" s="1072">
        <v>1</v>
      </c>
      <c r="I192" s="386" t="e">
        <f>+#REF!</f>
        <v>#REF!</v>
      </c>
      <c r="J192" s="956" t="e">
        <f t="shared" si="14"/>
        <v>#REF!</v>
      </c>
      <c r="K192" s="350"/>
    </row>
    <row r="193" spans="2:11" s="389" customFormat="1" ht="50.25" customHeight="1">
      <c r="B193" s="390"/>
      <c r="C193" s="622">
        <v>15.9</v>
      </c>
      <c r="D193" s="806"/>
      <c r="E193" s="806"/>
      <c r="F193" s="455" t="s">
        <v>584</v>
      </c>
      <c r="G193" s="807" t="s">
        <v>275</v>
      </c>
      <c r="H193" s="1072">
        <v>1</v>
      </c>
      <c r="I193" s="386" t="e">
        <f>+#REF!</f>
        <v>#REF!</v>
      </c>
      <c r="J193" s="956" t="e">
        <f t="shared" si="14"/>
        <v>#REF!</v>
      </c>
      <c r="K193" s="350"/>
    </row>
    <row r="194" spans="2:11" s="389" customFormat="1" ht="47.25" customHeight="1">
      <c r="B194" s="390"/>
      <c r="C194" s="624">
        <v>15.1</v>
      </c>
      <c r="D194" s="806"/>
      <c r="E194" s="806"/>
      <c r="F194" s="455" t="s">
        <v>606</v>
      </c>
      <c r="G194" s="807" t="s">
        <v>275</v>
      </c>
      <c r="H194" s="1072">
        <v>3</v>
      </c>
      <c r="I194" s="386" t="e">
        <f>+#REF!</f>
        <v>#REF!</v>
      </c>
      <c r="J194" s="956" t="e">
        <f t="shared" si="14"/>
        <v>#REF!</v>
      </c>
      <c r="K194" s="350"/>
    </row>
    <row r="195" spans="2:11" s="389" customFormat="1" ht="52.5" customHeight="1">
      <c r="B195" s="390"/>
      <c r="C195" s="624">
        <v>15.11</v>
      </c>
      <c r="D195" s="806"/>
      <c r="E195" s="806"/>
      <c r="F195" s="455" t="s">
        <v>586</v>
      </c>
      <c r="G195" s="807" t="s">
        <v>275</v>
      </c>
      <c r="H195" s="1072">
        <v>1</v>
      </c>
      <c r="I195" s="386" t="e">
        <f>+#REF!</f>
        <v>#REF!</v>
      </c>
      <c r="J195" s="956" t="e">
        <f t="shared" si="14"/>
        <v>#REF!</v>
      </c>
      <c r="K195" s="350"/>
    </row>
    <row r="196" spans="2:11" s="389" customFormat="1" ht="49.5" customHeight="1">
      <c r="B196" s="390"/>
      <c r="C196" s="624">
        <v>15.12</v>
      </c>
      <c r="D196" s="806"/>
      <c r="E196" s="806"/>
      <c r="F196" s="455" t="s">
        <v>607</v>
      </c>
      <c r="G196" s="807" t="s">
        <v>275</v>
      </c>
      <c r="H196" s="1072">
        <v>3</v>
      </c>
      <c r="I196" s="386" t="e">
        <f>+#REF!</f>
        <v>#REF!</v>
      </c>
      <c r="J196" s="956" t="e">
        <f t="shared" si="14"/>
        <v>#REF!</v>
      </c>
      <c r="K196" s="350"/>
    </row>
    <row r="197" spans="2:11" s="389" customFormat="1" ht="53.25" customHeight="1">
      <c r="B197" s="390"/>
      <c r="C197" s="624">
        <v>15.13</v>
      </c>
      <c r="D197" s="806"/>
      <c r="E197" s="806"/>
      <c r="F197" s="455" t="s">
        <v>590</v>
      </c>
      <c r="G197" s="807" t="s">
        <v>275</v>
      </c>
      <c r="H197" s="1072">
        <v>1</v>
      </c>
      <c r="I197" s="386" t="e">
        <f>+#REF!</f>
        <v>#REF!</v>
      </c>
      <c r="J197" s="956" t="e">
        <f t="shared" si="14"/>
        <v>#REF!</v>
      </c>
      <c r="K197" s="350"/>
    </row>
    <row r="198" spans="2:11" s="389" customFormat="1" ht="57.75" customHeight="1">
      <c r="B198" s="390"/>
      <c r="C198" s="624">
        <v>15.14</v>
      </c>
      <c r="D198" s="806"/>
      <c r="E198" s="806"/>
      <c r="F198" s="455" t="s">
        <v>608</v>
      </c>
      <c r="G198" s="807" t="s">
        <v>275</v>
      </c>
      <c r="H198" s="1072">
        <v>4</v>
      </c>
      <c r="I198" s="386" t="e">
        <f>+#REF!</f>
        <v>#REF!</v>
      </c>
      <c r="J198" s="956" t="e">
        <f t="shared" si="14"/>
        <v>#REF!</v>
      </c>
      <c r="K198" s="350"/>
    </row>
    <row r="199" spans="2:11" s="389" customFormat="1" ht="53.25" customHeight="1">
      <c r="B199" s="390"/>
      <c r="C199" s="624">
        <v>15.15</v>
      </c>
      <c r="D199" s="806"/>
      <c r="E199" s="806"/>
      <c r="F199" s="455" t="s">
        <v>609</v>
      </c>
      <c r="G199" s="807" t="s">
        <v>275</v>
      </c>
      <c r="H199" s="1072">
        <v>1</v>
      </c>
      <c r="I199" s="386" t="e">
        <f>+#REF!</f>
        <v>#REF!</v>
      </c>
      <c r="J199" s="956" t="e">
        <f t="shared" si="14"/>
        <v>#REF!</v>
      </c>
      <c r="K199" s="350"/>
    </row>
    <row r="200" spans="2:11" s="389" customFormat="1" ht="95.25" customHeight="1">
      <c r="B200" s="390"/>
      <c r="C200" s="624">
        <v>15.16</v>
      </c>
      <c r="D200" s="806"/>
      <c r="E200" s="806"/>
      <c r="F200" s="455" t="s">
        <v>610</v>
      </c>
      <c r="G200" s="807" t="s">
        <v>275</v>
      </c>
      <c r="H200" s="1072">
        <v>1</v>
      </c>
      <c r="I200" s="386" t="e">
        <f>+#REF!</f>
        <v>#REF!</v>
      </c>
      <c r="J200" s="956" t="e">
        <f t="shared" si="14"/>
        <v>#REF!</v>
      </c>
      <c r="K200" s="350"/>
    </row>
    <row r="201" spans="2:11" s="389" customFormat="1" ht="131.25" customHeight="1">
      <c r="B201" s="390"/>
      <c r="C201" s="624">
        <v>15.17</v>
      </c>
      <c r="D201" s="806"/>
      <c r="E201" s="806"/>
      <c r="F201" s="455" t="s">
        <v>611</v>
      </c>
      <c r="G201" s="807" t="s">
        <v>275</v>
      </c>
      <c r="H201" s="1072">
        <v>1</v>
      </c>
      <c r="I201" s="386" t="e">
        <f>+#REF!</f>
        <v>#REF!</v>
      </c>
      <c r="J201" s="956" t="e">
        <f t="shared" si="14"/>
        <v>#REF!</v>
      </c>
      <c r="K201" s="350"/>
    </row>
    <row r="202" spans="2:11" s="389" customFormat="1" ht="24.95" customHeight="1">
      <c r="B202" s="390"/>
      <c r="C202" s="622"/>
      <c r="D202" s="806"/>
      <c r="E202" s="806"/>
      <c r="F202" s="591"/>
      <c r="G202" s="966"/>
      <c r="H202" s="1082"/>
      <c r="I202" s="592" t="s">
        <v>1054</v>
      </c>
      <c r="J202" s="967" t="e">
        <f>SUM(J185:J201)</f>
        <v>#REF!</v>
      </c>
      <c r="K202" s="350"/>
    </row>
    <row r="203" spans="2:11" s="389" customFormat="1" ht="24.95" customHeight="1">
      <c r="B203" s="390"/>
      <c r="C203" s="973">
        <v>16</v>
      </c>
      <c r="D203" s="810"/>
      <c r="E203" s="810"/>
      <c r="F203" s="611" t="s">
        <v>612</v>
      </c>
      <c r="G203" s="974"/>
      <c r="H203" s="1084"/>
      <c r="I203" s="975"/>
      <c r="J203" s="976"/>
      <c r="K203" s="350"/>
    </row>
    <row r="204" spans="2:11" s="389" customFormat="1" ht="377.25" customHeight="1">
      <c r="B204" s="390"/>
      <c r="C204" s="622">
        <v>16.100000000000001</v>
      </c>
      <c r="D204" s="806"/>
      <c r="E204" s="806"/>
      <c r="F204" s="455" t="s">
        <v>613</v>
      </c>
      <c r="G204" s="807" t="s">
        <v>275</v>
      </c>
      <c r="H204" s="1072">
        <v>1</v>
      </c>
      <c r="I204" s="386" t="e">
        <f>+#REF!</f>
        <v>#REF!</v>
      </c>
      <c r="J204" s="956" t="e">
        <f t="shared" si="14"/>
        <v>#REF!</v>
      </c>
      <c r="K204" s="350"/>
    </row>
    <row r="205" spans="2:11" s="389" customFormat="1" ht="74.25" customHeight="1">
      <c r="B205" s="390"/>
      <c r="C205" s="622">
        <v>16.2</v>
      </c>
      <c r="D205" s="806"/>
      <c r="E205" s="806"/>
      <c r="F205" s="455" t="s">
        <v>614</v>
      </c>
      <c r="G205" s="807" t="s">
        <v>145</v>
      </c>
      <c r="H205" s="1072">
        <v>20</v>
      </c>
      <c r="I205" s="386" t="e">
        <f>+#REF!</f>
        <v>#REF!</v>
      </c>
      <c r="J205" s="956" t="e">
        <f t="shared" si="14"/>
        <v>#REF!</v>
      </c>
      <c r="K205" s="350"/>
    </row>
    <row r="206" spans="2:11" s="389" customFormat="1" ht="67.5" customHeight="1">
      <c r="B206" s="390"/>
      <c r="C206" s="622">
        <v>16.3</v>
      </c>
      <c r="D206" s="806"/>
      <c r="E206" s="806"/>
      <c r="F206" s="455" t="s">
        <v>600</v>
      </c>
      <c r="G206" s="807" t="s">
        <v>145</v>
      </c>
      <c r="H206" s="1072">
        <v>4.12</v>
      </c>
      <c r="I206" s="386" t="e">
        <f>+#REF!</f>
        <v>#REF!</v>
      </c>
      <c r="J206" s="956" t="e">
        <f t="shared" si="14"/>
        <v>#REF!</v>
      </c>
      <c r="K206" s="350"/>
    </row>
    <row r="207" spans="2:11" s="389" customFormat="1" ht="69" customHeight="1">
      <c r="B207" s="390"/>
      <c r="C207" s="622">
        <v>16.399999999999999</v>
      </c>
      <c r="D207" s="806"/>
      <c r="E207" s="806"/>
      <c r="F207" s="455" t="s">
        <v>601</v>
      </c>
      <c r="G207" s="807" t="s">
        <v>145</v>
      </c>
      <c r="H207" s="1072">
        <v>1.1200000000000001</v>
      </c>
      <c r="I207" s="386" t="e">
        <f>+#REF!</f>
        <v>#REF!</v>
      </c>
      <c r="J207" s="956" t="e">
        <f t="shared" si="14"/>
        <v>#REF!</v>
      </c>
      <c r="K207" s="350"/>
    </row>
    <row r="208" spans="2:11" s="389" customFormat="1" ht="86.25" customHeight="1">
      <c r="B208" s="390"/>
      <c r="C208" s="622">
        <v>16.5</v>
      </c>
      <c r="D208" s="806"/>
      <c r="E208" s="806"/>
      <c r="F208" s="455" t="s">
        <v>602</v>
      </c>
      <c r="G208" s="807" t="s">
        <v>145</v>
      </c>
      <c r="H208" s="1072">
        <v>36.01</v>
      </c>
      <c r="I208" s="386" t="e">
        <f>+#REF!</f>
        <v>#REF!</v>
      </c>
      <c r="J208" s="956" t="e">
        <f t="shared" si="14"/>
        <v>#REF!</v>
      </c>
      <c r="K208" s="350"/>
    </row>
    <row r="209" spans="2:11" s="389" customFormat="1" ht="57" customHeight="1">
      <c r="B209" s="390"/>
      <c r="C209" s="622">
        <v>16.600000000000001</v>
      </c>
      <c r="D209" s="806"/>
      <c r="E209" s="806"/>
      <c r="F209" s="455" t="s">
        <v>615</v>
      </c>
      <c r="G209" s="807" t="s">
        <v>275</v>
      </c>
      <c r="H209" s="1072">
        <v>1</v>
      </c>
      <c r="I209" s="386" t="e">
        <f>+#REF!</f>
        <v>#REF!</v>
      </c>
      <c r="J209" s="956" t="e">
        <f t="shared" si="14"/>
        <v>#REF!</v>
      </c>
      <c r="K209" s="350"/>
    </row>
    <row r="210" spans="2:11" s="389" customFormat="1" ht="55.5" customHeight="1">
      <c r="B210" s="390"/>
      <c r="C210" s="622">
        <v>16.7</v>
      </c>
      <c r="D210" s="806"/>
      <c r="E210" s="806"/>
      <c r="F210" s="455" t="s">
        <v>616</v>
      </c>
      <c r="G210" s="807" t="s">
        <v>275</v>
      </c>
      <c r="H210" s="1072">
        <v>1</v>
      </c>
      <c r="I210" s="386" t="e">
        <f>+#REF!</f>
        <v>#REF!</v>
      </c>
      <c r="J210" s="956" t="e">
        <f t="shared" si="14"/>
        <v>#REF!</v>
      </c>
      <c r="K210" s="350"/>
    </row>
    <row r="211" spans="2:11" s="389" customFormat="1" ht="57" customHeight="1">
      <c r="B211" s="390"/>
      <c r="C211" s="622">
        <v>16.8</v>
      </c>
      <c r="D211" s="806"/>
      <c r="E211" s="806"/>
      <c r="F211" s="455" t="s">
        <v>588</v>
      </c>
      <c r="G211" s="807" t="s">
        <v>275</v>
      </c>
      <c r="H211" s="1072">
        <v>1</v>
      </c>
      <c r="I211" s="386" t="e">
        <f>+#REF!</f>
        <v>#REF!</v>
      </c>
      <c r="J211" s="956" t="e">
        <f t="shared" si="14"/>
        <v>#REF!</v>
      </c>
      <c r="K211" s="350"/>
    </row>
    <row r="212" spans="2:11" s="389" customFormat="1" ht="58.5" customHeight="1">
      <c r="B212" s="390"/>
      <c r="C212" s="622">
        <v>16.899999999999999</v>
      </c>
      <c r="D212" s="806"/>
      <c r="E212" s="806"/>
      <c r="F212" s="455" t="s">
        <v>617</v>
      </c>
      <c r="G212" s="807" t="s">
        <v>275</v>
      </c>
      <c r="H212" s="1072">
        <v>2</v>
      </c>
      <c r="I212" s="386" t="e">
        <f>+#REF!</f>
        <v>#REF!</v>
      </c>
      <c r="J212" s="956" t="e">
        <f t="shared" si="14"/>
        <v>#REF!</v>
      </c>
      <c r="K212" s="350"/>
    </row>
    <row r="213" spans="2:11" s="389" customFormat="1" ht="96" customHeight="1">
      <c r="B213" s="390"/>
      <c r="C213" s="624">
        <v>16.100000000000001</v>
      </c>
      <c r="D213" s="806"/>
      <c r="E213" s="806"/>
      <c r="F213" s="455" t="s">
        <v>610</v>
      </c>
      <c r="G213" s="807" t="s">
        <v>275</v>
      </c>
      <c r="H213" s="1072">
        <v>1</v>
      </c>
      <c r="I213" s="386" t="e">
        <f>+#REF!</f>
        <v>#REF!</v>
      </c>
      <c r="J213" s="956" t="e">
        <f t="shared" si="14"/>
        <v>#REF!</v>
      </c>
      <c r="K213" s="350"/>
    </row>
    <row r="214" spans="2:11" s="389" customFormat="1" ht="140.25" customHeight="1">
      <c r="B214" s="390"/>
      <c r="C214" s="624">
        <v>16.11</v>
      </c>
      <c r="D214" s="806"/>
      <c r="E214" s="806"/>
      <c r="F214" s="455" t="s">
        <v>618</v>
      </c>
      <c r="G214" s="807" t="s">
        <v>275</v>
      </c>
      <c r="H214" s="1072">
        <v>1</v>
      </c>
      <c r="I214" s="386" t="e">
        <f>+#REF!</f>
        <v>#REF!</v>
      </c>
      <c r="J214" s="956" t="e">
        <f t="shared" si="14"/>
        <v>#REF!</v>
      </c>
      <c r="K214" s="350"/>
    </row>
    <row r="215" spans="2:11" s="389" customFormat="1" ht="24.95" customHeight="1" thickBot="1">
      <c r="B215" s="390"/>
      <c r="C215" s="622"/>
      <c r="D215" s="806"/>
      <c r="E215" s="806"/>
      <c r="F215" s="591"/>
      <c r="G215" s="807"/>
      <c r="H215" s="1072"/>
      <c r="I215" s="592" t="s">
        <v>1054</v>
      </c>
      <c r="J215" s="967" t="e">
        <f>SUM(J204:J214)</f>
        <v>#REF!</v>
      </c>
      <c r="K215" s="350"/>
    </row>
    <row r="216" spans="2:11" s="389" customFormat="1" ht="42" customHeight="1">
      <c r="B216" s="390"/>
      <c r="C216" s="344">
        <v>17</v>
      </c>
      <c r="D216" s="345"/>
      <c r="E216" s="345"/>
      <c r="F216" s="345" t="s">
        <v>619</v>
      </c>
      <c r="G216" s="345"/>
      <c r="H216" s="346"/>
      <c r="I216" s="343"/>
      <c r="J216" s="347"/>
      <c r="K216" s="350"/>
    </row>
    <row r="217" spans="2:11" s="389" customFormat="1" ht="126" customHeight="1">
      <c r="B217" s="390"/>
      <c r="C217" s="622">
        <v>17.100000000000001</v>
      </c>
      <c r="D217" s="806"/>
      <c r="E217" s="806"/>
      <c r="F217" s="455" t="s">
        <v>620</v>
      </c>
      <c r="G217" s="807" t="s">
        <v>275</v>
      </c>
      <c r="H217" s="1072">
        <v>1</v>
      </c>
      <c r="I217" s="386" t="e">
        <f>+#REF!</f>
        <v>#REF!</v>
      </c>
      <c r="J217" s="956" t="e">
        <f t="shared" si="14"/>
        <v>#REF!</v>
      </c>
      <c r="K217" s="350"/>
    </row>
    <row r="218" spans="2:11" s="389" customFormat="1" ht="73.5" customHeight="1">
      <c r="B218" s="390"/>
      <c r="C218" s="622">
        <v>17.2</v>
      </c>
      <c r="D218" s="806"/>
      <c r="E218" s="806"/>
      <c r="F218" s="455" t="s">
        <v>600</v>
      </c>
      <c r="G218" s="807" t="s">
        <v>145</v>
      </c>
      <c r="H218" s="1072">
        <v>44.28</v>
      </c>
      <c r="I218" s="386" t="e">
        <f>+#REF!</f>
        <v>#REF!</v>
      </c>
      <c r="J218" s="956" t="e">
        <f t="shared" si="14"/>
        <v>#REF!</v>
      </c>
      <c r="K218" s="350"/>
    </row>
    <row r="219" spans="2:11" s="389" customFormat="1" ht="72.75" customHeight="1">
      <c r="B219" s="390"/>
      <c r="C219" s="622">
        <v>17.3</v>
      </c>
      <c r="D219" s="806"/>
      <c r="E219" s="806"/>
      <c r="F219" s="455" t="s">
        <v>601</v>
      </c>
      <c r="G219" s="807" t="s">
        <v>145</v>
      </c>
      <c r="H219" s="1072">
        <v>1.1200000000000001</v>
      </c>
      <c r="I219" s="386" t="e">
        <f>+#REF!</f>
        <v>#REF!</v>
      </c>
      <c r="J219" s="956" t="e">
        <f t="shared" si="14"/>
        <v>#REF!</v>
      </c>
      <c r="K219" s="350"/>
    </row>
    <row r="220" spans="2:11" s="389" customFormat="1" ht="86.25" customHeight="1">
      <c r="B220" s="390"/>
      <c r="C220" s="622">
        <v>17.399999999999999</v>
      </c>
      <c r="D220" s="806"/>
      <c r="E220" s="806"/>
      <c r="F220" s="455" t="s">
        <v>602</v>
      </c>
      <c r="G220" s="807" t="s">
        <v>145</v>
      </c>
      <c r="H220" s="1072">
        <v>16.82</v>
      </c>
      <c r="I220" s="386" t="e">
        <f>+#REF!</f>
        <v>#REF!</v>
      </c>
      <c r="J220" s="956" t="e">
        <f t="shared" si="14"/>
        <v>#REF!</v>
      </c>
      <c r="K220" s="350"/>
    </row>
    <row r="221" spans="2:11" s="389" customFormat="1" ht="57" customHeight="1">
      <c r="B221" s="390"/>
      <c r="C221" s="622">
        <v>17.5</v>
      </c>
      <c r="D221" s="806"/>
      <c r="E221" s="806"/>
      <c r="F221" s="455" t="s">
        <v>605</v>
      </c>
      <c r="G221" s="807" t="s">
        <v>275</v>
      </c>
      <c r="H221" s="1072">
        <v>2</v>
      </c>
      <c r="I221" s="386" t="e">
        <f>+#REF!</f>
        <v>#REF!</v>
      </c>
      <c r="J221" s="956" t="e">
        <f t="shared" si="14"/>
        <v>#REF!</v>
      </c>
      <c r="K221" s="350"/>
    </row>
    <row r="222" spans="2:11" s="389" customFormat="1" ht="57.75" customHeight="1">
      <c r="B222" s="390"/>
      <c r="C222" s="622">
        <v>17.600000000000001</v>
      </c>
      <c r="D222" s="806"/>
      <c r="E222" s="806"/>
      <c r="F222" s="455" t="s">
        <v>586</v>
      </c>
      <c r="G222" s="807" t="s">
        <v>275</v>
      </c>
      <c r="H222" s="1072">
        <v>2</v>
      </c>
      <c r="I222" s="386" t="e">
        <f>+#REF!</f>
        <v>#REF!</v>
      </c>
      <c r="J222" s="956" t="e">
        <f t="shared" si="14"/>
        <v>#REF!</v>
      </c>
      <c r="K222" s="350"/>
    </row>
    <row r="223" spans="2:11" s="389" customFormat="1" ht="55.5" customHeight="1">
      <c r="B223" s="390"/>
      <c r="C223" s="622">
        <v>17.7</v>
      </c>
      <c r="D223" s="806"/>
      <c r="E223" s="806"/>
      <c r="F223" s="455" t="s">
        <v>588</v>
      </c>
      <c r="G223" s="807" t="s">
        <v>275</v>
      </c>
      <c r="H223" s="1072">
        <v>1</v>
      </c>
      <c r="I223" s="386" t="e">
        <f>+#REF!</f>
        <v>#REF!</v>
      </c>
      <c r="J223" s="956" t="e">
        <f t="shared" si="14"/>
        <v>#REF!</v>
      </c>
      <c r="K223" s="350"/>
    </row>
    <row r="224" spans="2:11" s="389" customFormat="1" ht="49.5" customHeight="1">
      <c r="B224" s="390"/>
      <c r="C224" s="622">
        <v>17.8</v>
      </c>
      <c r="D224" s="806"/>
      <c r="E224" s="806"/>
      <c r="F224" s="455" t="s">
        <v>589</v>
      </c>
      <c r="G224" s="807" t="s">
        <v>275</v>
      </c>
      <c r="H224" s="1072">
        <v>1</v>
      </c>
      <c r="I224" s="386" t="e">
        <f>+#REF!</f>
        <v>#REF!</v>
      </c>
      <c r="J224" s="956" t="e">
        <f t="shared" si="14"/>
        <v>#REF!</v>
      </c>
      <c r="K224" s="350"/>
    </row>
    <row r="225" spans="2:13" s="389" customFormat="1" ht="59.25" customHeight="1">
      <c r="B225" s="390"/>
      <c r="C225" s="622">
        <v>17.899999999999999</v>
      </c>
      <c r="D225" s="806"/>
      <c r="E225" s="806"/>
      <c r="F225" s="455" t="s">
        <v>621</v>
      </c>
      <c r="G225" s="807" t="s">
        <v>275</v>
      </c>
      <c r="H225" s="1072">
        <v>1</v>
      </c>
      <c r="I225" s="386" t="e">
        <f>+#REF!</f>
        <v>#REF!</v>
      </c>
      <c r="J225" s="956" t="e">
        <f t="shared" si="14"/>
        <v>#REF!</v>
      </c>
      <c r="K225" s="350"/>
    </row>
    <row r="226" spans="2:13" s="389" customFormat="1" ht="62.25" customHeight="1">
      <c r="B226" s="390"/>
      <c r="C226" s="624">
        <v>17.100000000000001</v>
      </c>
      <c r="D226" s="806"/>
      <c r="E226" s="806"/>
      <c r="F226" s="455" t="s">
        <v>622</v>
      </c>
      <c r="G226" s="807" t="s">
        <v>275</v>
      </c>
      <c r="H226" s="1072">
        <v>2</v>
      </c>
      <c r="I226" s="386" t="e">
        <f>+#REF!</f>
        <v>#REF!</v>
      </c>
      <c r="J226" s="956" t="e">
        <f t="shared" si="14"/>
        <v>#REF!</v>
      </c>
      <c r="K226" s="350"/>
    </row>
    <row r="227" spans="2:13" s="389" customFormat="1" ht="97.5" customHeight="1">
      <c r="B227" s="390"/>
      <c r="C227" s="624">
        <v>17.11</v>
      </c>
      <c r="D227" s="806"/>
      <c r="E227" s="806"/>
      <c r="F227" s="455" t="s">
        <v>610</v>
      </c>
      <c r="G227" s="807" t="s">
        <v>275</v>
      </c>
      <c r="H227" s="1072">
        <v>1</v>
      </c>
      <c r="I227" s="386" t="e">
        <f>+#REF!</f>
        <v>#REF!</v>
      </c>
      <c r="J227" s="956" t="e">
        <f t="shared" si="14"/>
        <v>#REF!</v>
      </c>
      <c r="K227" s="350"/>
    </row>
    <row r="228" spans="2:13" s="389" customFormat="1" ht="129.75" customHeight="1">
      <c r="B228" s="390"/>
      <c r="C228" s="624">
        <v>17.12</v>
      </c>
      <c r="D228" s="806"/>
      <c r="E228" s="806"/>
      <c r="F228" s="455" t="s">
        <v>623</v>
      </c>
      <c r="G228" s="807" t="s">
        <v>275</v>
      </c>
      <c r="H228" s="1072">
        <v>1</v>
      </c>
      <c r="I228" s="386" t="e">
        <f>+#REF!</f>
        <v>#REF!</v>
      </c>
      <c r="J228" s="956" t="e">
        <f t="shared" ref="J228" si="15">+H228*I228</f>
        <v>#REF!</v>
      </c>
      <c r="K228" s="350"/>
    </row>
    <row r="229" spans="2:13" s="389" customFormat="1" ht="24.95" customHeight="1">
      <c r="B229" s="390"/>
      <c r="C229" s="622"/>
      <c r="D229" s="806"/>
      <c r="E229" s="806"/>
      <c r="F229" s="591"/>
      <c r="G229" s="966"/>
      <c r="H229" s="1082"/>
      <c r="I229" s="592" t="s">
        <v>1054</v>
      </c>
      <c r="J229" s="967" t="e">
        <f>SUM(J217:J228)</f>
        <v>#REF!</v>
      </c>
      <c r="K229" s="350"/>
    </row>
    <row r="230" spans="2:13" s="389" customFormat="1" ht="24.95" customHeight="1" thickBot="1">
      <c r="B230" s="390"/>
      <c r="C230" s="622"/>
      <c r="D230" s="806"/>
      <c r="E230" s="806"/>
      <c r="F230" s="597" t="s">
        <v>1109</v>
      </c>
      <c r="G230" s="977"/>
      <c r="H230" s="978"/>
      <c r="I230" s="598"/>
      <c r="J230" s="972" t="e">
        <f>+J229+J215+J202+J183</f>
        <v>#REF!</v>
      </c>
      <c r="K230" s="350"/>
    </row>
    <row r="231" spans="2:13" s="389" customFormat="1" ht="43.5" customHeight="1" thickBot="1">
      <c r="B231" s="390"/>
      <c r="C231" s="595"/>
      <c r="D231" s="295"/>
      <c r="E231" s="294"/>
      <c r="F231" s="655" t="s">
        <v>7</v>
      </c>
      <c r="G231" s="656"/>
      <c r="H231" s="657"/>
      <c r="I231" s="979"/>
      <c r="J231" s="599" t="e">
        <f>+J230+J160+J97</f>
        <v>#REF!</v>
      </c>
      <c r="K231" s="350"/>
      <c r="M231" s="590"/>
    </row>
    <row r="232" spans="2:13" s="389" customFormat="1" ht="15.75" thickBot="1">
      <c r="B232" s="390"/>
      <c r="C232" s="595"/>
      <c r="D232" s="295"/>
      <c r="E232" s="295"/>
      <c r="F232" s="456"/>
      <c r="G232" s="294"/>
      <c r="H232" s="313"/>
      <c r="I232" s="315"/>
      <c r="J232" s="311"/>
      <c r="K232" s="350"/>
    </row>
    <row r="233" spans="2:13" s="389" customFormat="1">
      <c r="B233" s="390"/>
      <c r="C233" s="301"/>
      <c r="D233" s="1157"/>
      <c r="E233" s="1157"/>
      <c r="F233" s="1157"/>
      <c r="G233" s="1157"/>
      <c r="H233" s="1157"/>
      <c r="I233" s="1157"/>
      <c r="J233" s="1158"/>
      <c r="K233" s="350"/>
    </row>
    <row r="234" spans="2:13" s="389" customFormat="1" ht="36.75" customHeight="1">
      <c r="B234" s="390"/>
      <c r="C234" s="1197" t="s">
        <v>1110</v>
      </c>
      <c r="D234" s="1198"/>
      <c r="E234" s="1198"/>
      <c r="F234" s="1198"/>
      <c r="G234" s="1199" t="s">
        <v>86</v>
      </c>
      <c r="H234" s="1199"/>
      <c r="I234" s="1199"/>
      <c r="J234" s="615" t="s">
        <v>492</v>
      </c>
      <c r="K234" s="350"/>
    </row>
    <row r="235" spans="2:13" s="389" customFormat="1" ht="51" customHeight="1">
      <c r="B235" s="390"/>
      <c r="C235" s="1197" t="s">
        <v>1111</v>
      </c>
      <c r="D235" s="1198"/>
      <c r="E235" s="1198"/>
      <c r="F235" s="1198"/>
      <c r="G235" s="1200" t="s">
        <v>494</v>
      </c>
      <c r="H235" s="1200"/>
      <c r="I235" s="966" t="s">
        <v>495</v>
      </c>
      <c r="J235" s="980" t="e">
        <f>+#REF!</f>
        <v>#REF!</v>
      </c>
      <c r="K235" s="350"/>
    </row>
    <row r="236" spans="2:13" s="389" customFormat="1" ht="30" customHeight="1">
      <c r="B236" s="390"/>
      <c r="C236" s="1197" t="s">
        <v>1112</v>
      </c>
      <c r="D236" s="1198"/>
      <c r="E236" s="1198"/>
      <c r="F236" s="1198"/>
      <c r="G236" s="1201" t="s">
        <v>497</v>
      </c>
      <c r="H236" s="1202"/>
      <c r="I236" s="966" t="s">
        <v>498</v>
      </c>
      <c r="J236" s="980" t="e">
        <f>+#REF!</f>
        <v>#REF!</v>
      </c>
      <c r="K236" s="350"/>
    </row>
    <row r="237" spans="2:13" s="389" customFormat="1" ht="58.5" customHeight="1">
      <c r="B237" s="390"/>
      <c r="C237" s="411"/>
      <c r="E237" s="1085"/>
      <c r="F237" s="1086"/>
      <c r="G237" s="1203" t="s">
        <v>500</v>
      </c>
      <c r="H237" s="1200"/>
      <c r="I237" s="966" t="s">
        <v>501</v>
      </c>
      <c r="J237" s="980" t="e">
        <f>+#REF!</f>
        <v>#REF!</v>
      </c>
      <c r="K237" s="350"/>
    </row>
    <row r="238" spans="2:13" ht="57" customHeight="1">
      <c r="B238" s="369"/>
      <c r="C238" s="307"/>
      <c r="D238" s="296"/>
      <c r="E238" s="296"/>
      <c r="F238" s="449"/>
      <c r="G238" s="1200" t="s">
        <v>502</v>
      </c>
      <c r="H238" s="1200"/>
      <c r="I238" s="966" t="s">
        <v>503</v>
      </c>
      <c r="J238" s="980" t="e">
        <f>SUM(J235:J237)</f>
        <v>#REF!</v>
      </c>
    </row>
    <row r="239" spans="2:13" ht="15.75" thickBot="1">
      <c r="B239" s="369"/>
      <c r="C239" s="308"/>
      <c r="D239" s="297"/>
      <c r="E239" s="297"/>
      <c r="F239" s="361"/>
      <c r="G239" s="1125"/>
      <c r="H239" s="1125"/>
      <c r="I239" s="1125"/>
      <c r="J239" s="1126"/>
    </row>
    <row r="248" spans="11:11">
      <c r="K248" s="389"/>
    </row>
    <row r="249" spans="11:11">
      <c r="K249" s="389"/>
    </row>
    <row r="250" spans="11:11">
      <c r="K250" s="389"/>
    </row>
    <row r="251" spans="11:11">
      <c r="K251" s="389"/>
    </row>
    <row r="252" spans="11:11">
      <c r="K252" s="389"/>
    </row>
    <row r="253" spans="11:11">
      <c r="K253" s="389"/>
    </row>
    <row r="254" spans="11:11">
      <c r="K254" s="389"/>
    </row>
    <row r="255" spans="11:11">
      <c r="K255" s="389"/>
    </row>
  </sheetData>
  <mergeCells count="17">
    <mergeCell ref="C236:F236"/>
    <mergeCell ref="G236:H236"/>
    <mergeCell ref="G237:H237"/>
    <mergeCell ref="G238:H238"/>
    <mergeCell ref="G239:J239"/>
    <mergeCell ref="D233:J233"/>
    <mergeCell ref="C234:F234"/>
    <mergeCell ref="G234:I234"/>
    <mergeCell ref="C235:F235"/>
    <mergeCell ref="G235:H235"/>
    <mergeCell ref="C80:G80"/>
    <mergeCell ref="C10:J10"/>
    <mergeCell ref="C3:E3"/>
    <mergeCell ref="C5:J5"/>
    <mergeCell ref="C6:J6"/>
    <mergeCell ref="C7:J8"/>
    <mergeCell ref="C9:J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D1700"/>
  <sheetViews>
    <sheetView view="pageBreakPreview" zoomScaleNormal="100" zoomScaleSheetLayoutView="100" workbookViewId="0">
      <selection activeCell="B63" sqref="B63"/>
    </sheetView>
  </sheetViews>
  <sheetFormatPr baseColWidth="10" defaultColWidth="11.42578125" defaultRowHeight="12"/>
  <cols>
    <col min="1" max="1" width="8.28515625" style="463" customWidth="1"/>
    <col min="2" max="2" width="84.140625" style="463" customWidth="1"/>
    <col min="3" max="3" width="3.85546875" style="463" customWidth="1"/>
    <col min="4" max="4" width="13.28515625" style="463" customWidth="1"/>
    <col min="5" max="5" width="14.28515625" style="557" customWidth="1"/>
    <col min="6" max="6" width="17.85546875" style="463" customWidth="1"/>
    <col min="7" max="7" width="13.28515625" style="463" bestFit="1" customWidth="1"/>
    <col min="8" max="8" width="14" style="463" customWidth="1"/>
    <col min="9" max="9" width="12.7109375" style="463" customWidth="1"/>
    <col min="10" max="10" width="12.85546875" style="463" customWidth="1"/>
    <col min="11" max="11" width="12.28515625" style="463" bestFit="1" customWidth="1"/>
    <col min="12" max="17" width="12.28515625" style="463" customWidth="1"/>
    <col min="18" max="16384" width="11.42578125" style="463"/>
  </cols>
  <sheetData>
    <row r="1" spans="1:56" s="458" customFormat="1" ht="42" customHeight="1">
      <c r="A1" s="621"/>
      <c r="B1" s="1204" t="s">
        <v>1113</v>
      </c>
      <c r="C1" s="1204"/>
      <c r="D1" s="1204"/>
      <c r="E1" s="1204"/>
      <c r="F1" s="1205"/>
    </row>
    <row r="2" spans="1:56" ht="13.5">
      <c r="A2" s="459"/>
      <c r="B2" s="460"/>
      <c r="C2" s="461"/>
      <c r="D2" s="461"/>
      <c r="E2" s="462"/>
      <c r="F2" s="1205"/>
    </row>
    <row r="3" spans="1:56" ht="13.5">
      <c r="A3" s="459"/>
      <c r="B3" s="1206" t="s">
        <v>1114</v>
      </c>
      <c r="C3" s="1206"/>
      <c r="D3" s="1206"/>
      <c r="E3" s="1206"/>
      <c r="F3" s="1205"/>
    </row>
    <row r="4" spans="1:56" ht="13.5">
      <c r="A4" s="459"/>
      <c r="B4" s="464"/>
      <c r="C4" s="461"/>
      <c r="D4" s="465"/>
      <c r="E4" s="462"/>
      <c r="F4" s="1205"/>
    </row>
    <row r="5" spans="1:56" ht="14.25" thickBot="1">
      <c r="A5" s="459"/>
      <c r="B5" s="465"/>
      <c r="C5" s="461"/>
      <c r="D5" s="461" t="s">
        <v>1115</v>
      </c>
      <c r="E5" s="462"/>
      <c r="F5" s="461"/>
    </row>
    <row r="6" spans="1:56" ht="14.25" thickTop="1">
      <c r="A6" s="466" t="s">
        <v>1116</v>
      </c>
      <c r="B6" s="467" t="s">
        <v>3</v>
      </c>
      <c r="C6" s="468"/>
      <c r="D6" s="469" t="s">
        <v>5</v>
      </c>
      <c r="E6" s="470" t="s">
        <v>1117</v>
      </c>
      <c r="F6" s="471" t="s">
        <v>693</v>
      </c>
    </row>
    <row r="7" spans="1:56" s="476" customFormat="1" ht="12.75" thickBot="1">
      <c r="A7" s="472"/>
      <c r="B7" s="473"/>
      <c r="C7" s="473" t="s">
        <v>275</v>
      </c>
      <c r="D7" s="473" t="s">
        <v>1118</v>
      </c>
      <c r="E7" s="474" t="s">
        <v>692</v>
      </c>
      <c r="F7" s="475" t="s">
        <v>1119</v>
      </c>
    </row>
    <row r="8" spans="1:56" s="476" customFormat="1" ht="13.5" thickTop="1" thickBot="1">
      <c r="A8" s="477"/>
      <c r="B8" s="478" t="s">
        <v>1120</v>
      </c>
      <c r="C8" s="479"/>
      <c r="D8" s="479"/>
      <c r="E8" s="480"/>
      <c r="F8" s="481"/>
    </row>
    <row r="9" spans="1:56" s="476" customFormat="1" ht="12.75" thickBot="1">
      <c r="A9" s="482">
        <v>11</v>
      </c>
      <c r="B9" s="483" t="s">
        <v>514</v>
      </c>
      <c r="C9" s="484"/>
      <c r="D9" s="484"/>
      <c r="E9" s="485"/>
      <c r="F9" s="486"/>
    </row>
    <row r="10" spans="1:56" s="476" customFormat="1">
      <c r="A10" s="487" t="s">
        <v>270</v>
      </c>
      <c r="B10" s="488" t="s">
        <v>515</v>
      </c>
      <c r="C10" s="489"/>
      <c r="D10" s="489"/>
      <c r="E10" s="490"/>
      <c r="F10" s="491"/>
    </row>
    <row r="11" spans="1:56" s="476" customFormat="1" ht="96">
      <c r="A11" s="492" t="s">
        <v>270</v>
      </c>
      <c r="B11" s="493" t="s">
        <v>516</v>
      </c>
      <c r="C11" s="981" t="s">
        <v>272</v>
      </c>
      <c r="D11" s="981">
        <v>1</v>
      </c>
      <c r="E11" s="982" t="e">
        <f>+#REF!</f>
        <v>#REF!</v>
      </c>
      <c r="F11" s="494" t="e">
        <f t="shared" ref="F11:F46" si="0">D11*E11</f>
        <v>#REF!</v>
      </c>
      <c r="G11" s="495"/>
      <c r="H11" s="496"/>
      <c r="I11" s="618"/>
      <c r="J11" s="496"/>
      <c r="K11" s="496"/>
      <c r="L11" s="496"/>
      <c r="M11" s="496"/>
      <c r="N11" s="496"/>
      <c r="O11" s="496"/>
      <c r="P11" s="496"/>
      <c r="Q11" s="496"/>
      <c r="R11" s="496"/>
      <c r="S11" s="496"/>
      <c r="T11" s="496"/>
      <c r="U11" s="496"/>
      <c r="V11" s="496"/>
      <c r="W11" s="496"/>
      <c r="X11" s="496"/>
      <c r="Y11" s="496"/>
      <c r="Z11" s="496"/>
      <c r="AA11" s="496"/>
      <c r="AB11" s="496"/>
      <c r="AC11" s="496"/>
      <c r="AD11" s="496"/>
      <c r="AE11" s="496"/>
      <c r="AF11" s="496"/>
      <c r="AG11" s="496"/>
      <c r="AH11" s="496"/>
      <c r="AI11" s="496"/>
      <c r="AJ11" s="496"/>
      <c r="AK11" s="496"/>
      <c r="AL11" s="496"/>
      <c r="AM11" s="496"/>
      <c r="AN11" s="496"/>
      <c r="AO11" s="496"/>
      <c r="AP11" s="496"/>
      <c r="AQ11" s="496"/>
      <c r="AR11" s="496"/>
      <c r="AS11" s="496"/>
      <c r="AT11" s="496"/>
      <c r="AU11" s="496"/>
      <c r="AV11" s="496"/>
      <c r="AW11" s="496"/>
      <c r="AX11" s="496"/>
      <c r="AY11" s="496"/>
      <c r="AZ11" s="496"/>
      <c r="BA11" s="496"/>
      <c r="BB11" s="496"/>
      <c r="BC11" s="496"/>
      <c r="BD11" s="496"/>
    </row>
    <row r="12" spans="1:56" s="496" customFormat="1" ht="84" customHeight="1">
      <c r="A12" s="492" t="s">
        <v>273</v>
      </c>
      <c r="B12" s="493" t="s">
        <v>517</v>
      </c>
      <c r="C12" s="981" t="s">
        <v>275</v>
      </c>
      <c r="D12" s="981">
        <v>2</v>
      </c>
      <c r="E12" s="982" t="e">
        <f>+#REF!</f>
        <v>#REF!</v>
      </c>
      <c r="F12" s="494" t="e">
        <f t="shared" si="0"/>
        <v>#REF!</v>
      </c>
      <c r="G12" s="495"/>
      <c r="I12" s="618"/>
    </row>
    <row r="13" spans="1:56" s="476" customFormat="1" ht="48">
      <c r="A13" s="492" t="s">
        <v>276</v>
      </c>
      <c r="B13" s="497" t="s">
        <v>518</v>
      </c>
      <c r="C13" s="498" t="s">
        <v>275</v>
      </c>
      <c r="D13" s="498">
        <v>5</v>
      </c>
      <c r="E13" s="499" t="e">
        <f>+#REF!</f>
        <v>#REF!</v>
      </c>
      <c r="F13" s="500" t="e">
        <f t="shared" si="0"/>
        <v>#REF!</v>
      </c>
      <c r="H13" s="496"/>
      <c r="I13" s="618"/>
      <c r="J13" s="501"/>
      <c r="K13" s="501"/>
      <c r="L13" s="501"/>
      <c r="M13" s="501"/>
      <c r="N13" s="501"/>
      <c r="O13" s="501"/>
      <c r="P13" s="501"/>
      <c r="Q13" s="501"/>
      <c r="R13" s="501"/>
      <c r="S13" s="501"/>
      <c r="T13" s="501"/>
    </row>
    <row r="14" spans="1:56" s="476" customFormat="1" ht="56.25" customHeight="1">
      <c r="A14" s="492" t="s">
        <v>278</v>
      </c>
      <c r="B14" s="681" t="s">
        <v>519</v>
      </c>
      <c r="C14" s="498" t="s">
        <v>275</v>
      </c>
      <c r="D14" s="498">
        <v>6</v>
      </c>
      <c r="E14" s="499" t="e">
        <f>+#REF!</f>
        <v>#REF!</v>
      </c>
      <c r="F14" s="500" t="e">
        <f t="shared" si="0"/>
        <v>#REF!</v>
      </c>
      <c r="H14" s="496"/>
      <c r="I14" s="618"/>
      <c r="J14" s="501"/>
      <c r="K14" s="501"/>
      <c r="L14" s="501"/>
      <c r="M14" s="501"/>
      <c r="N14" s="501"/>
      <c r="O14" s="501"/>
      <c r="P14" s="501"/>
      <c r="Q14" s="501"/>
      <c r="R14" s="501"/>
      <c r="S14" s="501"/>
      <c r="T14" s="501"/>
    </row>
    <row r="15" spans="1:56" s="476" customFormat="1" ht="45.75" customHeight="1">
      <c r="A15" s="492" t="s">
        <v>280</v>
      </c>
      <c r="B15" s="502" t="s">
        <v>520</v>
      </c>
      <c r="C15" s="503" t="s">
        <v>275</v>
      </c>
      <c r="D15" s="503">
        <v>6</v>
      </c>
      <c r="E15" s="504" t="e">
        <f>+#REF!</f>
        <v>#REF!</v>
      </c>
      <c r="F15" s="500" t="e">
        <f t="shared" si="0"/>
        <v>#REF!</v>
      </c>
      <c r="H15" s="496"/>
      <c r="I15" s="618"/>
      <c r="J15" s="501"/>
      <c r="K15" s="501"/>
      <c r="L15" s="501"/>
      <c r="M15" s="501"/>
      <c r="N15" s="501"/>
      <c r="O15" s="501"/>
      <c r="P15" s="501"/>
      <c r="Q15" s="501"/>
      <c r="R15" s="501"/>
      <c r="S15" s="501"/>
      <c r="T15" s="501"/>
      <c r="U15" s="501"/>
      <c r="V15" s="501"/>
    </row>
    <row r="16" spans="1:56" s="476" customFormat="1" ht="45.75" customHeight="1">
      <c r="A16" s="492" t="s">
        <v>282</v>
      </c>
      <c r="B16" s="505" t="s">
        <v>521</v>
      </c>
      <c r="C16" s="983" t="s">
        <v>275</v>
      </c>
      <c r="D16" s="983">
        <v>9</v>
      </c>
      <c r="E16" s="984" t="e">
        <f>+#REF!</f>
        <v>#REF!</v>
      </c>
      <c r="F16" s="500" t="e">
        <f t="shared" si="0"/>
        <v>#REF!</v>
      </c>
      <c r="H16" s="496"/>
      <c r="I16" s="618"/>
      <c r="J16" s="501"/>
      <c r="K16" s="501"/>
      <c r="L16" s="501"/>
      <c r="M16" s="501"/>
      <c r="N16" s="501"/>
      <c r="O16" s="501"/>
      <c r="P16" s="501"/>
      <c r="Q16" s="501"/>
      <c r="R16" s="501"/>
      <c r="S16" s="501"/>
      <c r="T16" s="501"/>
      <c r="U16" s="501"/>
      <c r="V16" s="501"/>
    </row>
    <row r="17" spans="1:56" s="476" customFormat="1" ht="60.75" customHeight="1">
      <c r="A17" s="492" t="s">
        <v>284</v>
      </c>
      <c r="B17" s="985" t="s">
        <v>522</v>
      </c>
      <c r="C17" s="986" t="s">
        <v>95</v>
      </c>
      <c r="D17" s="987">
        <v>4</v>
      </c>
      <c r="E17" s="506" t="e">
        <f>+#REF!</f>
        <v>#REF!</v>
      </c>
      <c r="F17" s="500" t="e">
        <f>+E17*D17</f>
        <v>#REF!</v>
      </c>
      <c r="H17" s="496"/>
      <c r="I17" s="618"/>
      <c r="J17" s="501"/>
      <c r="K17" s="501"/>
      <c r="L17" s="501"/>
      <c r="M17" s="501"/>
      <c r="N17" s="501"/>
      <c r="O17" s="501"/>
      <c r="P17" s="501"/>
      <c r="Q17" s="501"/>
      <c r="R17" s="501"/>
      <c r="S17" s="501"/>
      <c r="T17" s="501"/>
      <c r="U17" s="501"/>
      <c r="V17" s="501"/>
    </row>
    <row r="18" spans="1:56" s="476" customFormat="1" ht="51" customHeight="1">
      <c r="A18" s="492" t="s">
        <v>286</v>
      </c>
      <c r="B18" s="497" t="s">
        <v>523</v>
      </c>
      <c r="C18" s="498" t="s">
        <v>275</v>
      </c>
      <c r="D18" s="498">
        <v>3</v>
      </c>
      <c r="E18" s="499" t="e">
        <f>+#REF!</f>
        <v>#REF!</v>
      </c>
      <c r="F18" s="500" t="e">
        <f t="shared" si="0"/>
        <v>#REF!</v>
      </c>
      <c r="H18" s="496"/>
      <c r="I18" s="618"/>
    </row>
    <row r="19" spans="1:56" s="476" customFormat="1" ht="48">
      <c r="A19" s="492" t="s">
        <v>288</v>
      </c>
      <c r="B19" s="497" t="s">
        <v>524</v>
      </c>
      <c r="C19" s="498" t="s">
        <v>275</v>
      </c>
      <c r="D19" s="498">
        <v>4</v>
      </c>
      <c r="E19" s="499" t="e">
        <f>+#REF!</f>
        <v>#REF!</v>
      </c>
      <c r="F19" s="500" t="e">
        <f t="shared" si="0"/>
        <v>#REF!</v>
      </c>
      <c r="H19" s="496"/>
      <c r="I19" s="618"/>
    </row>
    <row r="20" spans="1:56" s="476" customFormat="1" ht="48">
      <c r="A20" s="492" t="s">
        <v>290</v>
      </c>
      <c r="B20" s="497" t="s">
        <v>525</v>
      </c>
      <c r="C20" s="498" t="s">
        <v>275</v>
      </c>
      <c r="D20" s="498">
        <v>3</v>
      </c>
      <c r="E20" s="499" t="e">
        <f>+#REF!</f>
        <v>#REF!</v>
      </c>
      <c r="F20" s="500" t="e">
        <f t="shared" si="0"/>
        <v>#REF!</v>
      </c>
      <c r="H20" s="496"/>
      <c r="I20" s="618"/>
      <c r="J20" s="501"/>
      <c r="K20" s="501"/>
      <c r="L20" s="501"/>
      <c r="M20" s="501"/>
      <c r="N20" s="501"/>
      <c r="O20" s="501"/>
      <c r="P20" s="501"/>
      <c r="Q20" s="501"/>
      <c r="R20" s="501"/>
      <c r="S20" s="501"/>
      <c r="T20" s="501"/>
    </row>
    <row r="21" spans="1:56" s="476" customFormat="1" ht="54.75" customHeight="1">
      <c r="A21" s="492" t="s">
        <v>292</v>
      </c>
      <c r="B21" s="497" t="s">
        <v>526</v>
      </c>
      <c r="C21" s="498" t="s">
        <v>275</v>
      </c>
      <c r="D21" s="498">
        <f>2</f>
        <v>2</v>
      </c>
      <c r="E21" s="499" t="e">
        <f>+#REF!</f>
        <v>#REF!</v>
      </c>
      <c r="F21" s="500" t="e">
        <f t="shared" si="0"/>
        <v>#REF!</v>
      </c>
      <c r="H21" s="496"/>
      <c r="I21" s="618"/>
      <c r="J21" s="501"/>
      <c r="K21" s="501"/>
      <c r="L21" s="501"/>
      <c r="M21" s="501"/>
      <c r="N21" s="501"/>
      <c r="O21" s="501"/>
      <c r="P21" s="501"/>
      <c r="Q21" s="501"/>
      <c r="R21" s="501"/>
      <c r="S21" s="501"/>
    </row>
    <row r="22" spans="1:56" s="476" customFormat="1" ht="54.75" customHeight="1">
      <c r="A22" s="492" t="s">
        <v>294</v>
      </c>
      <c r="B22" s="985" t="s">
        <v>527</v>
      </c>
      <c r="C22" s="986" t="s">
        <v>95</v>
      </c>
      <c r="D22" s="987">
        <f>8+5+2</f>
        <v>15</v>
      </c>
      <c r="E22" s="499" t="e">
        <f>+#REF!</f>
        <v>#REF!</v>
      </c>
      <c r="F22" s="500" t="e">
        <f>+D22*E22</f>
        <v>#REF!</v>
      </c>
      <c r="H22" s="496"/>
      <c r="I22" s="618"/>
      <c r="J22" s="501"/>
      <c r="K22" s="501"/>
      <c r="L22" s="501"/>
      <c r="M22" s="501"/>
      <c r="N22" s="501"/>
      <c r="O22" s="501"/>
      <c r="P22" s="501"/>
      <c r="Q22" s="501"/>
      <c r="R22" s="501"/>
      <c r="S22" s="501"/>
    </row>
    <row r="23" spans="1:56" s="476" customFormat="1" ht="72">
      <c r="A23" s="492" t="s">
        <v>296</v>
      </c>
      <c r="B23" s="493" t="s">
        <v>528</v>
      </c>
      <c r="C23" s="498" t="s">
        <v>275</v>
      </c>
      <c r="D23" s="498">
        <v>4</v>
      </c>
      <c r="E23" s="499" t="e">
        <f>+#REF!</f>
        <v>#REF!</v>
      </c>
      <c r="F23" s="500" t="e">
        <f t="shared" si="0"/>
        <v>#REF!</v>
      </c>
      <c r="H23" s="496"/>
      <c r="I23" s="618"/>
      <c r="J23" s="501"/>
      <c r="K23" s="501"/>
      <c r="L23" s="501"/>
      <c r="M23" s="501"/>
      <c r="N23" s="501"/>
      <c r="O23" s="501"/>
      <c r="P23" s="501"/>
      <c r="Q23" s="501"/>
      <c r="R23" s="501"/>
      <c r="S23" s="501"/>
    </row>
    <row r="24" spans="1:56" s="476" customFormat="1" ht="36">
      <c r="A24" s="492" t="s">
        <v>298</v>
      </c>
      <c r="B24" s="497" t="s">
        <v>529</v>
      </c>
      <c r="C24" s="498" t="s">
        <v>275</v>
      </c>
      <c r="D24" s="498">
        <v>10</v>
      </c>
      <c r="E24" s="499" t="e">
        <f>+#REF!</f>
        <v>#REF!</v>
      </c>
      <c r="F24" s="500" t="e">
        <f t="shared" si="0"/>
        <v>#REF!</v>
      </c>
      <c r="H24" s="496"/>
      <c r="I24" s="618"/>
      <c r="J24" s="501"/>
      <c r="K24" s="501"/>
      <c r="L24" s="501"/>
      <c r="M24" s="501"/>
      <c r="N24" s="501"/>
      <c r="O24" s="501"/>
      <c r="P24" s="501"/>
      <c r="Q24" s="501"/>
      <c r="R24" s="501"/>
      <c r="S24" s="501"/>
    </row>
    <row r="25" spans="1:56" s="476" customFormat="1" ht="24">
      <c r="A25" s="492" t="s">
        <v>300</v>
      </c>
      <c r="B25" s="497" t="s">
        <v>530</v>
      </c>
      <c r="C25" s="508" t="s">
        <v>275</v>
      </c>
      <c r="D25" s="508">
        <v>6</v>
      </c>
      <c r="E25" s="509" t="e">
        <f>+#REF!</f>
        <v>#REF!</v>
      </c>
      <c r="F25" s="510" t="e">
        <f t="shared" si="0"/>
        <v>#REF!</v>
      </c>
      <c r="H25" s="496"/>
      <c r="I25" s="618"/>
    </row>
    <row r="26" spans="1:56" s="476" customFormat="1" ht="48">
      <c r="A26" s="492" t="s">
        <v>302</v>
      </c>
      <c r="B26" s="497" t="s">
        <v>531</v>
      </c>
      <c r="C26" s="498" t="s">
        <v>275</v>
      </c>
      <c r="D26" s="498">
        <f>22+7+3+19+10+12+4+18+3</f>
        <v>98</v>
      </c>
      <c r="E26" s="499" t="e">
        <f>+#REF!</f>
        <v>#REF!</v>
      </c>
      <c r="F26" s="500" t="e">
        <f t="shared" si="0"/>
        <v>#REF!</v>
      </c>
      <c r="H26" s="496"/>
      <c r="I26" s="618"/>
    </row>
    <row r="27" spans="1:56" s="476" customFormat="1" ht="48">
      <c r="A27" s="492" t="s">
        <v>304</v>
      </c>
      <c r="B27" s="497" t="s">
        <v>532</v>
      </c>
      <c r="C27" s="498" t="s">
        <v>275</v>
      </c>
      <c r="D27" s="498">
        <f>8+13+3+2+5</f>
        <v>31</v>
      </c>
      <c r="E27" s="499" t="e">
        <f>+#REF!</f>
        <v>#REF!</v>
      </c>
      <c r="F27" s="500" t="e">
        <f t="shared" si="0"/>
        <v>#REF!</v>
      </c>
      <c r="H27" s="496"/>
      <c r="I27" s="618"/>
      <c r="J27" s="501"/>
      <c r="K27" s="501"/>
      <c r="L27" s="501"/>
      <c r="M27" s="501"/>
      <c r="N27" s="501"/>
      <c r="O27" s="501"/>
      <c r="P27" s="501"/>
      <c r="Q27" s="501"/>
      <c r="R27" s="501"/>
      <c r="S27" s="501"/>
      <c r="T27" s="501"/>
      <c r="U27" s="501"/>
      <c r="V27" s="501"/>
      <c r="W27" s="501"/>
      <c r="X27" s="501"/>
      <c r="Y27" s="501"/>
      <c r="Z27" s="501"/>
      <c r="AA27" s="501"/>
      <c r="AB27" s="501"/>
      <c r="AC27" s="501"/>
      <c r="AD27" s="501"/>
      <c r="AE27" s="501"/>
      <c r="AF27" s="501"/>
      <c r="AG27" s="501"/>
      <c r="AH27" s="501"/>
      <c r="AI27" s="501"/>
      <c r="AJ27" s="501"/>
      <c r="AK27" s="501"/>
      <c r="AL27" s="501"/>
    </row>
    <row r="28" spans="1:56" s="476" customFormat="1" ht="36">
      <c r="A28" s="492" t="s">
        <v>306</v>
      </c>
      <c r="B28" s="511" t="s">
        <v>533</v>
      </c>
      <c r="C28" s="498" t="s">
        <v>275</v>
      </c>
      <c r="D28" s="498">
        <f>5+7+10+10</f>
        <v>32</v>
      </c>
      <c r="E28" s="499" t="e">
        <f>+#REF!</f>
        <v>#REF!</v>
      </c>
      <c r="F28" s="500" t="e">
        <f t="shared" si="0"/>
        <v>#REF!</v>
      </c>
      <c r="H28" s="496"/>
      <c r="I28" s="618"/>
      <c r="J28" s="501"/>
      <c r="K28" s="501"/>
      <c r="L28" s="501"/>
      <c r="M28" s="501"/>
      <c r="N28" s="501"/>
      <c r="O28" s="501"/>
      <c r="P28" s="501"/>
      <c r="Q28" s="501"/>
      <c r="R28" s="501"/>
      <c r="S28" s="501"/>
      <c r="T28" s="501"/>
      <c r="U28" s="501"/>
      <c r="V28" s="501"/>
      <c r="W28" s="501"/>
      <c r="X28" s="501"/>
      <c r="Y28" s="501"/>
      <c r="Z28" s="501"/>
      <c r="AA28" s="501"/>
      <c r="AB28" s="501"/>
      <c r="AC28" s="501"/>
      <c r="AD28" s="501"/>
      <c r="AE28" s="501"/>
      <c r="AF28" s="501"/>
      <c r="AG28" s="501"/>
      <c r="AH28" s="501"/>
      <c r="AI28" s="501"/>
      <c r="AJ28" s="501"/>
      <c r="AK28" s="501"/>
      <c r="AL28" s="501"/>
      <c r="AM28" s="501"/>
      <c r="AN28" s="501"/>
      <c r="AO28" s="501"/>
      <c r="AP28" s="501"/>
      <c r="AQ28" s="501"/>
      <c r="AR28" s="501"/>
      <c r="AS28" s="501"/>
      <c r="AT28" s="501"/>
      <c r="AU28" s="501"/>
      <c r="AV28" s="501"/>
      <c r="AW28" s="501"/>
      <c r="AX28" s="501"/>
      <c r="AY28" s="501"/>
      <c r="AZ28" s="501"/>
      <c r="BA28" s="501"/>
      <c r="BB28" s="501"/>
      <c r="BC28" s="501"/>
      <c r="BD28" s="501"/>
    </row>
    <row r="29" spans="1:56" s="476" customFormat="1" ht="72">
      <c r="A29" s="492" t="s">
        <v>308</v>
      </c>
      <c r="B29" s="511" t="s">
        <v>534</v>
      </c>
      <c r="C29" s="498" t="s">
        <v>275</v>
      </c>
      <c r="D29" s="498">
        <f>22+7+3+19+10+12+4+18</f>
        <v>95</v>
      </c>
      <c r="E29" s="499" t="e">
        <f>+#REF!</f>
        <v>#REF!</v>
      </c>
      <c r="F29" s="500" t="e">
        <f t="shared" si="0"/>
        <v>#REF!</v>
      </c>
      <c r="H29" s="496"/>
      <c r="I29" s="618"/>
      <c r="J29" s="507"/>
      <c r="K29" s="507"/>
      <c r="L29" s="507"/>
      <c r="M29" s="507"/>
      <c r="N29" s="507"/>
      <c r="O29" s="507"/>
      <c r="P29" s="507"/>
      <c r="Q29" s="507"/>
      <c r="R29" s="507"/>
    </row>
    <row r="30" spans="1:56" s="476" customFormat="1" ht="96">
      <c r="A30" s="492" t="s">
        <v>310</v>
      </c>
      <c r="B30" s="497" t="s">
        <v>535</v>
      </c>
      <c r="C30" s="498" t="s">
        <v>275</v>
      </c>
      <c r="D30" s="498">
        <v>6</v>
      </c>
      <c r="E30" s="499" t="e">
        <f>+#REF!</f>
        <v>#REF!</v>
      </c>
      <c r="F30" s="500" t="e">
        <f t="shared" si="0"/>
        <v>#REF!</v>
      </c>
      <c r="H30" s="496"/>
      <c r="I30" s="618"/>
      <c r="J30" s="512"/>
      <c r="K30" s="512"/>
      <c r="L30" s="512"/>
      <c r="M30" s="512"/>
      <c r="N30" s="512"/>
      <c r="O30" s="512"/>
      <c r="P30" s="512"/>
      <c r="Q30" s="512"/>
      <c r="R30" s="512"/>
      <c r="S30" s="512"/>
      <c r="T30" s="512"/>
    </row>
    <row r="31" spans="1:56" s="476" customFormat="1" ht="48">
      <c r="A31" s="492" t="s">
        <v>312</v>
      </c>
      <c r="B31" s="497" t="s">
        <v>536</v>
      </c>
      <c r="C31" s="498" t="s">
        <v>275</v>
      </c>
      <c r="D31" s="498">
        <v>5</v>
      </c>
      <c r="E31" s="499" t="e">
        <f>+#REF!</f>
        <v>#REF!</v>
      </c>
      <c r="F31" s="500" t="e">
        <f t="shared" si="0"/>
        <v>#REF!</v>
      </c>
      <c r="H31" s="496"/>
      <c r="I31" s="618"/>
      <c r="J31" s="512"/>
      <c r="K31" s="512"/>
      <c r="L31" s="512"/>
      <c r="M31" s="512"/>
      <c r="N31" s="512"/>
      <c r="O31" s="512"/>
      <c r="P31" s="512"/>
      <c r="Q31" s="512"/>
      <c r="R31" s="512"/>
      <c r="S31" s="512"/>
      <c r="T31" s="512"/>
    </row>
    <row r="32" spans="1:56" s="476" customFormat="1" ht="71.25" customHeight="1">
      <c r="A32" s="492" t="s">
        <v>314</v>
      </c>
      <c r="B32" s="497" t="s">
        <v>537</v>
      </c>
      <c r="C32" s="498" t="s">
        <v>275</v>
      </c>
      <c r="D32" s="498">
        <v>6</v>
      </c>
      <c r="E32" s="499" t="e">
        <f>+#REF!</f>
        <v>#REF!</v>
      </c>
      <c r="F32" s="500" t="e">
        <f t="shared" si="0"/>
        <v>#REF!</v>
      </c>
      <c r="H32" s="496"/>
      <c r="I32" s="618"/>
      <c r="J32" s="501"/>
      <c r="K32" s="501"/>
      <c r="L32" s="501"/>
      <c r="M32" s="501"/>
      <c r="N32" s="501"/>
      <c r="O32" s="501"/>
      <c r="P32" s="501"/>
      <c r="Q32" s="501"/>
    </row>
    <row r="33" spans="1:20" s="476" customFormat="1" ht="71.25" customHeight="1">
      <c r="A33" s="492" t="s">
        <v>316</v>
      </c>
      <c r="B33" s="988" t="s">
        <v>538</v>
      </c>
      <c r="C33" s="498" t="s">
        <v>275</v>
      </c>
      <c r="D33" s="498">
        <f>13+2</f>
        <v>15</v>
      </c>
      <c r="E33" s="499" t="e">
        <f>+#REF!</f>
        <v>#REF!</v>
      </c>
      <c r="F33" s="500" t="e">
        <f t="shared" si="0"/>
        <v>#REF!</v>
      </c>
      <c r="H33" s="496"/>
      <c r="I33" s="618"/>
      <c r="J33" s="501"/>
      <c r="K33" s="501"/>
      <c r="L33" s="501"/>
      <c r="M33" s="501"/>
      <c r="N33" s="501"/>
      <c r="O33" s="501"/>
      <c r="P33" s="501"/>
      <c r="Q33" s="501"/>
    </row>
    <row r="34" spans="1:20" s="476" customFormat="1" ht="71.25" customHeight="1">
      <c r="A34" s="492" t="s">
        <v>318</v>
      </c>
      <c r="B34" s="988" t="s">
        <v>539</v>
      </c>
      <c r="C34" s="498" t="s">
        <v>275</v>
      </c>
      <c r="D34" s="498">
        <v>13</v>
      </c>
      <c r="E34" s="499" t="e">
        <f>+#REF!</f>
        <v>#REF!</v>
      </c>
      <c r="F34" s="500" t="e">
        <f t="shared" si="0"/>
        <v>#REF!</v>
      </c>
      <c r="H34" s="496"/>
      <c r="I34" s="618"/>
      <c r="J34" s="501"/>
      <c r="K34" s="501"/>
      <c r="L34" s="501"/>
      <c r="M34" s="501"/>
      <c r="N34" s="501"/>
      <c r="O34" s="501"/>
      <c r="P34" s="501"/>
      <c r="Q34" s="501"/>
    </row>
    <row r="35" spans="1:20" s="476" customFormat="1" ht="72">
      <c r="A35" s="492" t="s">
        <v>320</v>
      </c>
      <c r="B35" s="497" t="s">
        <v>540</v>
      </c>
      <c r="C35" s="498" t="s">
        <v>275</v>
      </c>
      <c r="D35" s="498">
        <f>8+13+3</f>
        <v>24</v>
      </c>
      <c r="E35" s="499" t="e">
        <f>+#REF!</f>
        <v>#REF!</v>
      </c>
      <c r="F35" s="500" t="e">
        <f t="shared" si="0"/>
        <v>#REF!</v>
      </c>
      <c r="H35" s="496"/>
      <c r="I35" s="618"/>
      <c r="J35" s="501"/>
      <c r="K35" s="501"/>
      <c r="L35" s="501"/>
      <c r="M35" s="501"/>
      <c r="N35" s="501"/>
      <c r="O35" s="501"/>
      <c r="P35" s="501"/>
      <c r="Q35" s="501"/>
      <c r="R35" s="501"/>
      <c r="S35" s="501"/>
      <c r="T35" s="501"/>
    </row>
    <row r="36" spans="1:20" s="476" customFormat="1" ht="60">
      <c r="A36" s="492" t="s">
        <v>322</v>
      </c>
      <c r="B36" s="505" t="s">
        <v>541</v>
      </c>
      <c r="C36" s="498" t="s">
        <v>275</v>
      </c>
      <c r="D36" s="498">
        <v>12</v>
      </c>
      <c r="E36" s="499" t="e">
        <f>+#REF!</f>
        <v>#REF!</v>
      </c>
      <c r="F36" s="500" t="e">
        <f>D36*E36</f>
        <v>#REF!</v>
      </c>
      <c r="H36" s="496"/>
      <c r="I36" s="618"/>
      <c r="J36" s="501"/>
      <c r="K36" s="501"/>
      <c r="L36" s="501"/>
      <c r="M36" s="501"/>
      <c r="N36" s="501"/>
      <c r="O36" s="501"/>
      <c r="P36" s="501"/>
      <c r="Q36" s="501"/>
      <c r="R36" s="501"/>
      <c r="S36" s="501"/>
      <c r="T36" s="501"/>
    </row>
    <row r="37" spans="1:20" s="476" customFormat="1" ht="72">
      <c r="A37" s="492" t="s">
        <v>324</v>
      </c>
      <c r="B37" s="497" t="s">
        <v>542</v>
      </c>
      <c r="C37" s="498" t="s">
        <v>275</v>
      </c>
      <c r="D37" s="498">
        <f>8+11+28</f>
        <v>47</v>
      </c>
      <c r="E37" s="506" t="e">
        <f>+#REF!</f>
        <v>#REF!</v>
      </c>
      <c r="F37" s="500" t="e">
        <f t="shared" si="0"/>
        <v>#REF!</v>
      </c>
      <c r="H37" s="496"/>
      <c r="I37" s="618"/>
      <c r="J37" s="501"/>
      <c r="K37" s="501"/>
      <c r="L37" s="501"/>
      <c r="M37" s="501"/>
      <c r="N37" s="501"/>
      <c r="O37" s="501"/>
      <c r="P37" s="501"/>
      <c r="Q37" s="501"/>
      <c r="R37" s="501"/>
      <c r="S37" s="501"/>
      <c r="T37" s="501"/>
    </row>
    <row r="38" spans="1:20" s="476" customFormat="1" ht="60">
      <c r="A38" s="492" t="s">
        <v>326</v>
      </c>
      <c r="B38" s="497" t="s">
        <v>543</v>
      </c>
      <c r="C38" s="498" t="s">
        <v>275</v>
      </c>
      <c r="D38" s="498">
        <f>7+2+1+2+8+4</f>
        <v>24</v>
      </c>
      <c r="E38" s="506" t="e">
        <f>+#REF!</f>
        <v>#REF!</v>
      </c>
      <c r="F38" s="500" t="e">
        <f t="shared" si="0"/>
        <v>#REF!</v>
      </c>
      <c r="H38" s="496"/>
      <c r="I38" s="618"/>
      <c r="J38" s="501"/>
      <c r="K38" s="501"/>
      <c r="L38" s="501"/>
      <c r="M38" s="501"/>
      <c r="N38" s="501"/>
      <c r="O38" s="501"/>
      <c r="P38" s="501"/>
      <c r="Q38" s="501"/>
      <c r="R38" s="501"/>
      <c r="S38" s="501"/>
      <c r="T38" s="501"/>
    </row>
    <row r="39" spans="1:20" s="476" customFormat="1" ht="60">
      <c r="A39" s="492" t="s">
        <v>328</v>
      </c>
      <c r="B39" s="497" t="s">
        <v>544</v>
      </c>
      <c r="C39" s="513" t="s">
        <v>154</v>
      </c>
      <c r="D39" s="498">
        <v>17</v>
      </c>
      <c r="E39" s="506" t="e">
        <f>+#REF!</f>
        <v>#REF!</v>
      </c>
      <c r="F39" s="500" t="e">
        <f t="shared" si="0"/>
        <v>#REF!</v>
      </c>
      <c r="H39" s="496"/>
      <c r="I39" s="618"/>
      <c r="J39" s="501"/>
      <c r="K39" s="501"/>
      <c r="L39" s="501"/>
      <c r="M39" s="501"/>
      <c r="N39" s="501"/>
      <c r="O39" s="501"/>
      <c r="P39" s="501"/>
      <c r="Q39" s="501"/>
      <c r="R39" s="501"/>
      <c r="S39" s="501"/>
      <c r="T39" s="501"/>
    </row>
    <row r="40" spans="1:20" s="476" customFormat="1" ht="60">
      <c r="A40" s="492" t="s">
        <v>330</v>
      </c>
      <c r="B40" s="497" t="s">
        <v>545</v>
      </c>
      <c r="C40" s="513" t="s">
        <v>154</v>
      </c>
      <c r="D40" s="498">
        <v>37</v>
      </c>
      <c r="E40" s="506" t="e">
        <f>+#REF!</f>
        <v>#REF!</v>
      </c>
      <c r="F40" s="500" t="e">
        <f t="shared" si="0"/>
        <v>#REF!</v>
      </c>
      <c r="H40" s="496"/>
      <c r="I40" s="618"/>
      <c r="J40" s="501"/>
      <c r="K40" s="501"/>
      <c r="L40" s="501"/>
      <c r="M40" s="501"/>
      <c r="N40" s="501"/>
      <c r="O40" s="501"/>
      <c r="P40" s="501"/>
      <c r="Q40" s="501"/>
      <c r="R40" s="501"/>
      <c r="S40" s="501"/>
      <c r="T40" s="501"/>
    </row>
    <row r="41" spans="1:20" s="476" customFormat="1" ht="48">
      <c r="A41" s="492" t="s">
        <v>332</v>
      </c>
      <c r="B41" s="497" t="s">
        <v>546</v>
      </c>
      <c r="C41" s="498" t="s">
        <v>154</v>
      </c>
      <c r="D41" s="498">
        <v>9</v>
      </c>
      <c r="E41" s="506" t="e">
        <f>+#REF!</f>
        <v>#REF!</v>
      </c>
      <c r="F41" s="500" t="e">
        <f t="shared" si="0"/>
        <v>#REF!</v>
      </c>
      <c r="H41" s="496"/>
      <c r="I41" s="618"/>
      <c r="J41" s="501"/>
      <c r="K41" s="501"/>
      <c r="L41" s="501"/>
      <c r="M41" s="501"/>
      <c r="N41" s="501"/>
      <c r="O41" s="501"/>
      <c r="P41" s="501"/>
      <c r="Q41" s="501"/>
      <c r="R41" s="501"/>
      <c r="S41" s="501"/>
      <c r="T41" s="501"/>
    </row>
    <row r="42" spans="1:20" s="476" customFormat="1" ht="48">
      <c r="A42" s="492" t="s">
        <v>334</v>
      </c>
      <c r="B42" s="497" t="s">
        <v>547</v>
      </c>
      <c r="C42" s="498" t="s">
        <v>154</v>
      </c>
      <c r="D42" s="498">
        <v>12</v>
      </c>
      <c r="E42" s="506" t="e">
        <f>+#REF!</f>
        <v>#REF!</v>
      </c>
      <c r="F42" s="500" t="e">
        <f t="shared" si="0"/>
        <v>#REF!</v>
      </c>
      <c r="H42" s="496"/>
      <c r="I42" s="618"/>
      <c r="J42" s="501"/>
      <c r="K42" s="501"/>
      <c r="L42" s="501"/>
      <c r="M42" s="501"/>
      <c r="N42" s="501"/>
      <c r="O42" s="501"/>
      <c r="P42" s="501"/>
      <c r="Q42" s="501"/>
      <c r="R42" s="501"/>
      <c r="S42" s="501"/>
      <c r="T42" s="501"/>
    </row>
    <row r="43" spans="1:20" s="476" customFormat="1" ht="36">
      <c r="A43" s="492" t="s">
        <v>336</v>
      </c>
      <c r="B43" s="497" t="s">
        <v>548</v>
      </c>
      <c r="C43" s="498" t="s">
        <v>275</v>
      </c>
      <c r="D43" s="498">
        <v>8</v>
      </c>
      <c r="E43" s="506" t="e">
        <f>+#REF!</f>
        <v>#REF!</v>
      </c>
      <c r="F43" s="500" t="e">
        <f t="shared" si="0"/>
        <v>#REF!</v>
      </c>
      <c r="H43" s="496"/>
      <c r="I43" s="618"/>
      <c r="J43" s="501"/>
      <c r="K43" s="501"/>
      <c r="L43" s="501"/>
      <c r="M43" s="501"/>
      <c r="N43" s="501"/>
      <c r="O43" s="501"/>
      <c r="P43" s="501"/>
      <c r="Q43" s="501"/>
      <c r="R43" s="501"/>
      <c r="S43" s="501"/>
      <c r="T43" s="501"/>
    </row>
    <row r="44" spans="1:20" s="476" customFormat="1" ht="36">
      <c r="A44" s="492" t="s">
        <v>338</v>
      </c>
      <c r="B44" s="497" t="s">
        <v>549</v>
      </c>
      <c r="C44" s="498" t="s">
        <v>275</v>
      </c>
      <c r="D44" s="498">
        <v>11</v>
      </c>
      <c r="E44" s="506" t="e">
        <f>+#REF!</f>
        <v>#REF!</v>
      </c>
      <c r="F44" s="500" t="e">
        <f t="shared" si="0"/>
        <v>#REF!</v>
      </c>
      <c r="H44" s="496"/>
      <c r="I44" s="618"/>
      <c r="J44" s="501"/>
      <c r="K44" s="501"/>
      <c r="L44" s="501"/>
      <c r="M44" s="501"/>
      <c r="N44" s="501"/>
      <c r="O44" s="501"/>
      <c r="P44" s="501"/>
      <c r="Q44" s="501"/>
      <c r="R44" s="501"/>
      <c r="S44" s="501"/>
      <c r="T44" s="501"/>
    </row>
    <row r="45" spans="1:20" s="476" customFormat="1" ht="36">
      <c r="A45" s="492" t="s">
        <v>340</v>
      </c>
      <c r="B45" s="497" t="s">
        <v>550</v>
      </c>
      <c r="C45" s="498" t="s">
        <v>154</v>
      </c>
      <c r="D45" s="498">
        <v>31</v>
      </c>
      <c r="E45" s="506" t="e">
        <f>+#REF!</f>
        <v>#REF!</v>
      </c>
      <c r="F45" s="500" t="e">
        <f t="shared" si="0"/>
        <v>#REF!</v>
      </c>
      <c r="H45" s="496"/>
      <c r="I45" s="618"/>
      <c r="J45" s="501"/>
      <c r="K45" s="501"/>
      <c r="L45" s="501"/>
      <c r="M45" s="501"/>
      <c r="N45" s="501"/>
      <c r="O45" s="501"/>
      <c r="P45" s="501"/>
      <c r="Q45" s="501"/>
      <c r="R45" s="501"/>
      <c r="S45" s="501"/>
      <c r="T45" s="501"/>
    </row>
    <row r="46" spans="1:20" s="476" customFormat="1" ht="36">
      <c r="A46" s="492" t="s">
        <v>342</v>
      </c>
      <c r="B46" s="497" t="s">
        <v>551</v>
      </c>
      <c r="C46" s="983" t="s">
        <v>154</v>
      </c>
      <c r="D46" s="983">
        <v>56</v>
      </c>
      <c r="E46" s="984" t="e">
        <f>+#REF!</f>
        <v>#REF!</v>
      </c>
      <c r="F46" s="500" t="e">
        <f t="shared" si="0"/>
        <v>#REF!</v>
      </c>
      <c r="H46" s="496"/>
      <c r="I46" s="618"/>
      <c r="J46" s="501"/>
      <c r="K46" s="501"/>
      <c r="L46" s="501"/>
      <c r="M46" s="501"/>
      <c r="N46" s="501"/>
      <c r="O46" s="501"/>
      <c r="P46" s="501"/>
      <c r="Q46" s="501"/>
      <c r="R46" s="501"/>
      <c r="S46" s="501"/>
      <c r="T46" s="501"/>
    </row>
    <row r="47" spans="1:20" s="476" customFormat="1" ht="48.75" thickBot="1">
      <c r="A47" s="492" t="s">
        <v>344</v>
      </c>
      <c r="B47" s="989" t="s">
        <v>552</v>
      </c>
      <c r="C47" s="990" t="s">
        <v>154</v>
      </c>
      <c r="D47" s="513">
        <v>18</v>
      </c>
      <c r="E47" s="514" t="e">
        <f>+#REF!</f>
        <v>#REF!</v>
      </c>
      <c r="F47" s="515" t="e">
        <f>+E47*D47</f>
        <v>#REF!</v>
      </c>
      <c r="H47" s="496"/>
      <c r="I47" s="618"/>
      <c r="J47" s="501"/>
      <c r="K47" s="501"/>
      <c r="L47" s="501"/>
      <c r="M47" s="501"/>
      <c r="N47" s="501"/>
      <c r="O47" s="501"/>
      <c r="P47" s="501"/>
      <c r="Q47" s="501"/>
      <c r="R47" s="501"/>
      <c r="S47" s="501"/>
      <c r="T47" s="501"/>
    </row>
    <row r="48" spans="1:20" s="476" customFormat="1" ht="13.5" thickTop="1" thickBot="1">
      <c r="A48" s="516"/>
      <c r="B48" s="517" t="s">
        <v>36</v>
      </c>
      <c r="C48" s="518"/>
      <c r="D48" s="518"/>
      <c r="E48" s="519"/>
      <c r="F48" s="520" t="e">
        <f>SUBTOTAL(9,F11:F47)</f>
        <v>#REF!</v>
      </c>
      <c r="H48" s="501"/>
      <c r="I48" s="501"/>
      <c r="J48" s="501"/>
      <c r="K48" s="501"/>
      <c r="L48" s="501"/>
      <c r="M48" s="501"/>
      <c r="N48" s="501"/>
      <c r="O48" s="501"/>
      <c r="P48" s="501"/>
      <c r="Q48" s="501"/>
      <c r="R48" s="501"/>
      <c r="S48" s="501"/>
      <c r="T48" s="501"/>
    </row>
    <row r="49" spans="1:31" s="476" customFormat="1" ht="12.75" thickTop="1">
      <c r="A49" s="521"/>
      <c r="B49" s="522" t="s">
        <v>553</v>
      </c>
      <c r="C49" s="523"/>
      <c r="D49" s="523"/>
      <c r="E49" s="524"/>
      <c r="F49" s="525"/>
      <c r="H49" s="526"/>
    </row>
    <row r="50" spans="1:31" s="476" customFormat="1">
      <c r="A50" s="527">
        <v>12</v>
      </c>
      <c r="B50" s="528" t="s">
        <v>555</v>
      </c>
      <c r="C50" s="529"/>
      <c r="D50" s="498"/>
      <c r="E50" s="506"/>
      <c r="F50" s="500"/>
      <c r="H50" s="526"/>
    </row>
    <row r="51" spans="1:31" s="476" customFormat="1" ht="75" customHeight="1">
      <c r="A51" s="530" t="s">
        <v>346</v>
      </c>
      <c r="B51" s="505" t="s">
        <v>556</v>
      </c>
      <c r="C51" s="508" t="s">
        <v>275</v>
      </c>
      <c r="D51" s="508">
        <v>12</v>
      </c>
      <c r="E51" s="531" t="e">
        <f>+#REF!</f>
        <v>#REF!</v>
      </c>
      <c r="F51" s="510" t="e">
        <f t="shared" ref="F51" si="1">D51*E51</f>
        <v>#REF!</v>
      </c>
      <c r="H51" s="496"/>
      <c r="I51" s="619"/>
    </row>
    <row r="52" spans="1:31" s="476" customFormat="1" ht="36">
      <c r="A52" s="530" t="s">
        <v>348</v>
      </c>
      <c r="B52" s="505" t="s">
        <v>557</v>
      </c>
      <c r="C52" s="508" t="s">
        <v>275</v>
      </c>
      <c r="D52" s="508">
        <v>34</v>
      </c>
      <c r="E52" s="531" t="e">
        <f>+#REF!</f>
        <v>#REF!</v>
      </c>
      <c r="F52" s="510" t="e">
        <f>D52*E52</f>
        <v>#REF!</v>
      </c>
      <c r="H52" s="496"/>
      <c r="I52" s="619"/>
    </row>
    <row r="53" spans="1:31" s="476" customFormat="1" ht="48">
      <c r="A53" s="530" t="s">
        <v>350</v>
      </c>
      <c r="B53" s="497" t="s">
        <v>558</v>
      </c>
      <c r="C53" s="498" t="s">
        <v>275</v>
      </c>
      <c r="D53" s="498">
        <v>12</v>
      </c>
      <c r="E53" s="506" t="e">
        <f>+#REF!</f>
        <v>#REF!</v>
      </c>
      <c r="F53" s="500" t="e">
        <f t="shared" ref="F53:F61" si="2">D53*E53</f>
        <v>#REF!</v>
      </c>
      <c r="H53" s="496"/>
      <c r="I53" s="619"/>
      <c r="J53" s="501"/>
      <c r="K53" s="501"/>
      <c r="L53" s="501"/>
      <c r="M53" s="501"/>
      <c r="N53" s="501"/>
      <c r="O53" s="501"/>
      <c r="P53" s="501"/>
      <c r="Q53" s="501"/>
      <c r="R53" s="501"/>
      <c r="S53" s="501"/>
      <c r="T53" s="501"/>
      <c r="U53" s="501"/>
      <c r="V53" s="501"/>
      <c r="W53" s="501"/>
      <c r="X53" s="501"/>
      <c r="Y53" s="501"/>
      <c r="Z53" s="501"/>
      <c r="AA53" s="501"/>
      <c r="AB53" s="501"/>
      <c r="AC53" s="501"/>
    </row>
    <row r="54" spans="1:31" s="476" customFormat="1" ht="36">
      <c r="A54" s="530" t="s">
        <v>352</v>
      </c>
      <c r="B54" s="497" t="s">
        <v>559</v>
      </c>
      <c r="C54" s="498" t="s">
        <v>275</v>
      </c>
      <c r="D54" s="498">
        <v>43</v>
      </c>
      <c r="E54" s="506" t="e">
        <f>+#REF!</f>
        <v>#REF!</v>
      </c>
      <c r="F54" s="500" t="e">
        <f t="shared" si="2"/>
        <v>#REF!</v>
      </c>
      <c r="H54" s="496"/>
      <c r="I54" s="619"/>
      <c r="J54" s="501"/>
      <c r="K54" s="501"/>
      <c r="L54" s="501"/>
      <c r="M54" s="501"/>
      <c r="N54" s="501"/>
      <c r="O54" s="501"/>
      <c r="P54" s="501"/>
      <c r="Q54" s="501"/>
      <c r="R54" s="501"/>
      <c r="S54" s="501"/>
      <c r="T54" s="501"/>
      <c r="U54" s="501"/>
      <c r="V54" s="501"/>
      <c r="W54" s="501"/>
      <c r="X54" s="501"/>
      <c r="Y54" s="501"/>
      <c r="Z54" s="501"/>
      <c r="AA54" s="501"/>
      <c r="AB54" s="501"/>
      <c r="AC54" s="501"/>
      <c r="AD54" s="501"/>
      <c r="AE54" s="501"/>
    </row>
    <row r="55" spans="1:31" s="476" customFormat="1" ht="36">
      <c r="A55" s="530" t="s">
        <v>354</v>
      </c>
      <c r="B55" s="497" t="s">
        <v>560</v>
      </c>
      <c r="C55" s="498" t="s">
        <v>275</v>
      </c>
      <c r="D55" s="498">
        <v>4</v>
      </c>
      <c r="E55" s="506" t="e">
        <f>+#REF!</f>
        <v>#REF!</v>
      </c>
      <c r="F55" s="500" t="e">
        <f>D55*E55</f>
        <v>#REF!</v>
      </c>
      <c r="H55" s="496"/>
      <c r="I55" s="619"/>
    </row>
    <row r="56" spans="1:31" s="476" customFormat="1" ht="48">
      <c r="A56" s="530" t="s">
        <v>356</v>
      </c>
      <c r="B56" s="505" t="s">
        <v>561</v>
      </c>
      <c r="C56" s="508" t="s">
        <v>275</v>
      </c>
      <c r="D56" s="508">
        <v>2</v>
      </c>
      <c r="E56" s="531" t="e">
        <f>+#REF!</f>
        <v>#REF!</v>
      </c>
      <c r="F56" s="510" t="e">
        <f t="shared" ref="F56" si="3">D56*E56</f>
        <v>#REF!</v>
      </c>
      <c r="H56" s="496"/>
      <c r="I56" s="619"/>
    </row>
    <row r="57" spans="1:31" s="496" customFormat="1" ht="51.75" customHeight="1">
      <c r="A57" s="530" t="s">
        <v>358</v>
      </c>
      <c r="B57" s="985" t="s">
        <v>562</v>
      </c>
      <c r="C57" s="986" t="s">
        <v>95</v>
      </c>
      <c r="D57" s="987">
        <v>2</v>
      </c>
      <c r="E57" s="991" t="e">
        <f>+#REF!</f>
        <v>#REF!</v>
      </c>
      <c r="F57" s="992" t="e">
        <f t="shared" ref="F57" si="4">+E57*D57</f>
        <v>#REF!</v>
      </c>
      <c r="I57" s="619"/>
    </row>
    <row r="58" spans="1:31" s="476" customFormat="1" ht="36">
      <c r="A58" s="530" t="s">
        <v>360</v>
      </c>
      <c r="B58" s="497" t="s">
        <v>563</v>
      </c>
      <c r="C58" s="498" t="s">
        <v>154</v>
      </c>
      <c r="D58" s="498">
        <v>98</v>
      </c>
      <c r="E58" s="506" t="e">
        <f>+#REF!</f>
        <v>#REF!</v>
      </c>
      <c r="F58" s="500" t="e">
        <f t="shared" si="2"/>
        <v>#REF!</v>
      </c>
      <c r="H58" s="496"/>
      <c r="I58" s="619"/>
    </row>
    <row r="59" spans="1:31" s="476" customFormat="1" ht="60" customHeight="1">
      <c r="A59" s="530" t="s">
        <v>362</v>
      </c>
      <c r="B59" s="497" t="s">
        <v>564</v>
      </c>
      <c r="C59" s="498" t="s">
        <v>154</v>
      </c>
      <c r="D59" s="532">
        <v>56</v>
      </c>
      <c r="E59" s="506" t="e">
        <f>+#REF!</f>
        <v>#REF!</v>
      </c>
      <c r="F59" s="500" t="e">
        <f t="shared" si="2"/>
        <v>#REF!</v>
      </c>
      <c r="H59" s="496"/>
      <c r="I59" s="619"/>
    </row>
    <row r="60" spans="1:31" s="476" customFormat="1" ht="39.75" customHeight="1">
      <c r="A60" s="530" t="s">
        <v>363</v>
      </c>
      <c r="B60" s="497" t="s">
        <v>565</v>
      </c>
      <c r="C60" s="498" t="s">
        <v>275</v>
      </c>
      <c r="D60" s="532">
        <v>2</v>
      </c>
      <c r="E60" s="506" t="e">
        <f>+#REF!</f>
        <v>#REF!</v>
      </c>
      <c r="F60" s="500" t="e">
        <f t="shared" si="2"/>
        <v>#REF!</v>
      </c>
      <c r="H60" s="496"/>
      <c r="I60" s="619"/>
    </row>
    <row r="61" spans="1:31" s="476" customFormat="1" ht="42" customHeight="1" thickBot="1">
      <c r="A61" s="530" t="s">
        <v>365</v>
      </c>
      <c r="B61" s="533" t="s">
        <v>566</v>
      </c>
      <c r="C61" s="513" t="s">
        <v>272</v>
      </c>
      <c r="D61" s="534">
        <v>1</v>
      </c>
      <c r="E61" s="531" t="e">
        <f>+#REF!</f>
        <v>#REF!</v>
      </c>
      <c r="F61" s="510" t="e">
        <f t="shared" si="2"/>
        <v>#REF!</v>
      </c>
      <c r="H61" s="496"/>
      <c r="I61" s="619"/>
    </row>
    <row r="62" spans="1:31" s="476" customFormat="1" ht="13.5" thickTop="1" thickBot="1">
      <c r="A62" s="516"/>
      <c r="B62" s="517" t="s">
        <v>36</v>
      </c>
      <c r="C62" s="518"/>
      <c r="D62" s="518"/>
      <c r="E62" s="519"/>
      <c r="F62" s="520" t="e">
        <f>SUBTOTAL(9,F50:F61)</f>
        <v>#REF!</v>
      </c>
      <c r="H62" s="501"/>
      <c r="I62" s="501"/>
      <c r="J62" s="501"/>
      <c r="K62" s="501"/>
      <c r="L62" s="501"/>
      <c r="M62" s="501"/>
      <c r="N62" s="501"/>
      <c r="O62" s="501"/>
      <c r="P62" s="501"/>
      <c r="Q62" s="501"/>
      <c r="R62" s="501"/>
      <c r="S62" s="501"/>
      <c r="T62" s="501"/>
    </row>
    <row r="63" spans="1:31" s="476" customFormat="1" ht="12.75" thickTop="1">
      <c r="A63" s="521">
        <v>13</v>
      </c>
      <c r="B63" s="522" t="s">
        <v>1107</v>
      </c>
      <c r="C63" s="523"/>
      <c r="D63" s="523"/>
      <c r="E63" s="524"/>
      <c r="F63" s="525"/>
      <c r="H63" s="501"/>
      <c r="I63" s="501"/>
      <c r="J63" s="501"/>
      <c r="K63" s="501"/>
      <c r="L63" s="501"/>
      <c r="M63" s="501"/>
      <c r="N63" s="501"/>
      <c r="O63" s="501"/>
      <c r="P63" s="501"/>
      <c r="Q63" s="501"/>
      <c r="R63" s="501"/>
      <c r="S63" s="501"/>
      <c r="T63" s="501"/>
    </row>
    <row r="64" spans="1:31" s="476" customFormat="1" ht="63" customHeight="1">
      <c r="A64" s="535" t="s">
        <v>367</v>
      </c>
      <c r="B64" s="536" t="s">
        <v>569</v>
      </c>
      <c r="C64" s="537" t="s">
        <v>275</v>
      </c>
      <c r="D64" s="498">
        <v>4</v>
      </c>
      <c r="E64" s="506" t="e">
        <f>+#REF!</f>
        <v>#REF!</v>
      </c>
      <c r="F64" s="500" t="e">
        <f>D64*E64</f>
        <v>#REF!</v>
      </c>
      <c r="H64" s="501"/>
      <c r="I64" s="620"/>
      <c r="J64" s="501"/>
      <c r="K64" s="501"/>
      <c r="L64" s="501"/>
      <c r="M64" s="501"/>
      <c r="N64" s="501"/>
      <c r="O64" s="501"/>
      <c r="P64" s="501"/>
      <c r="Q64" s="501"/>
      <c r="R64" s="501"/>
      <c r="S64" s="501"/>
      <c r="T64" s="501"/>
    </row>
    <row r="65" spans="1:20" s="476" customFormat="1" ht="102.75" customHeight="1">
      <c r="A65" s="535" t="s">
        <v>369</v>
      </c>
      <c r="B65" s="993" t="s">
        <v>570</v>
      </c>
      <c r="C65" s="537" t="s">
        <v>154</v>
      </c>
      <c r="D65" s="498">
        <v>2</v>
      </c>
      <c r="E65" s="506" t="e">
        <f>+#REF!</f>
        <v>#REF!</v>
      </c>
      <c r="F65" s="500" t="e">
        <f t="shared" ref="F65" si="5">D65*E65</f>
        <v>#REF!</v>
      </c>
      <c r="H65" s="501"/>
      <c r="I65" s="620"/>
      <c r="J65" s="501"/>
      <c r="K65" s="501"/>
      <c r="L65" s="501"/>
      <c r="M65" s="501"/>
      <c r="N65" s="501"/>
      <c r="O65" s="501"/>
      <c r="P65" s="501"/>
      <c r="Q65" s="501"/>
      <c r="R65" s="501"/>
      <c r="S65" s="501"/>
      <c r="T65" s="501"/>
    </row>
    <row r="66" spans="1:20" s="476" customFormat="1" ht="107.25" customHeight="1">
      <c r="A66" s="535" t="s">
        <v>371</v>
      </c>
      <c r="B66" s="538" t="s">
        <v>571</v>
      </c>
      <c r="C66" s="539" t="s">
        <v>275</v>
      </c>
      <c r="D66" s="539">
        <v>2</v>
      </c>
      <c r="E66" s="540" t="e">
        <f>+#REF!</f>
        <v>#REF!</v>
      </c>
      <c r="F66" s="540" t="e">
        <f>+D66*E66</f>
        <v>#REF!</v>
      </c>
      <c r="H66" s="501"/>
      <c r="I66" s="620"/>
    </row>
    <row r="67" spans="1:20" s="476" customFormat="1" ht="107.25" customHeight="1">
      <c r="A67" s="535" t="s">
        <v>373</v>
      </c>
      <c r="B67" s="538" t="s">
        <v>572</v>
      </c>
      <c r="C67" s="539" t="s">
        <v>275</v>
      </c>
      <c r="D67" s="539">
        <v>2</v>
      </c>
      <c r="E67" s="540" t="e">
        <f>+#REF!</f>
        <v>#REF!</v>
      </c>
      <c r="F67" s="540" t="e">
        <f>+D67*E67</f>
        <v>#REF!</v>
      </c>
      <c r="H67" s="501"/>
      <c r="I67" s="620"/>
    </row>
    <row r="68" spans="1:20" s="476" customFormat="1" ht="51.75" customHeight="1">
      <c r="A68" s="535" t="s">
        <v>375</v>
      </c>
      <c r="B68" s="993" t="s">
        <v>573</v>
      </c>
      <c r="C68" s="537" t="s">
        <v>275</v>
      </c>
      <c r="D68" s="498">
        <v>2</v>
      </c>
      <c r="E68" s="506" t="e">
        <f>+#REF!</f>
        <v>#REF!</v>
      </c>
      <c r="F68" s="500" t="e">
        <f t="shared" ref="F68:F69" si="6">D68*E68</f>
        <v>#REF!</v>
      </c>
      <c r="H68" s="501"/>
      <c r="I68" s="620"/>
      <c r="J68" s="501"/>
      <c r="K68" s="501"/>
      <c r="L68" s="501"/>
      <c r="M68" s="501"/>
      <c r="N68" s="501"/>
      <c r="O68" s="501"/>
      <c r="P68" s="501"/>
      <c r="Q68" s="501"/>
      <c r="R68" s="501"/>
      <c r="S68" s="501"/>
      <c r="T68" s="501"/>
    </row>
    <row r="69" spans="1:20" s="476" customFormat="1" ht="260.25" customHeight="1" thickBot="1">
      <c r="A69" s="535" t="s">
        <v>377</v>
      </c>
      <c r="B69" s="541" t="s">
        <v>574</v>
      </c>
      <c r="C69" s="542" t="s">
        <v>275</v>
      </c>
      <c r="D69" s="542">
        <v>1</v>
      </c>
      <c r="E69" s="543" t="e">
        <f>+#REF!</f>
        <v>#REF!</v>
      </c>
      <c r="F69" s="544" t="e">
        <f t="shared" si="6"/>
        <v>#REF!</v>
      </c>
      <c r="H69" s="501"/>
      <c r="I69" s="620"/>
      <c r="J69" s="501"/>
      <c r="K69" s="501"/>
      <c r="L69" s="501"/>
      <c r="M69" s="501"/>
      <c r="N69" s="501"/>
      <c r="O69" s="501"/>
      <c r="P69" s="501"/>
      <c r="Q69" s="501"/>
      <c r="R69" s="501"/>
      <c r="S69" s="501"/>
      <c r="T69" s="501"/>
    </row>
    <row r="70" spans="1:20" s="476" customFormat="1" ht="13.5" thickTop="1" thickBot="1">
      <c r="A70" s="516"/>
      <c r="B70" s="517" t="s">
        <v>36</v>
      </c>
      <c r="C70" s="518"/>
      <c r="D70" s="518"/>
      <c r="E70" s="519"/>
      <c r="F70" s="520" t="e">
        <f>SUBTOTAL(9,F64:F69)</f>
        <v>#REF!</v>
      </c>
      <c r="H70" s="501"/>
      <c r="I70" s="620"/>
      <c r="J70" s="501"/>
      <c r="K70" s="501"/>
      <c r="L70" s="501"/>
      <c r="M70" s="501"/>
      <c r="N70" s="501"/>
      <c r="O70" s="501"/>
      <c r="P70" s="501"/>
      <c r="Q70" s="501"/>
      <c r="R70" s="501"/>
      <c r="S70" s="501"/>
      <c r="T70" s="501"/>
    </row>
    <row r="71" spans="1:20" ht="13.5" thickTop="1" thickBot="1">
      <c r="A71" s="545" t="s">
        <v>490</v>
      </c>
      <c r="B71" s="546" t="s">
        <v>1121</v>
      </c>
      <c r="C71" s="547"/>
      <c r="D71" s="547"/>
      <c r="E71" s="548"/>
      <c r="F71" s="549" t="e">
        <f>SUBTOTAL(9,F11:F70)</f>
        <v>#REF!</v>
      </c>
      <c r="G71" s="550"/>
      <c r="H71" s="551"/>
      <c r="I71" s="551"/>
      <c r="J71" s="551"/>
      <c r="K71" s="550"/>
      <c r="L71" s="550"/>
      <c r="M71" s="550"/>
      <c r="N71" s="550"/>
      <c r="O71" s="550"/>
      <c r="P71" s="550"/>
      <c r="Q71" s="550"/>
    </row>
    <row r="72" spans="1:20">
      <c r="A72" s="552"/>
      <c r="B72" s="553"/>
      <c r="C72" s="465"/>
      <c r="D72" s="465"/>
      <c r="E72" s="554"/>
      <c r="F72" s="555"/>
    </row>
    <row r="73" spans="1:20">
      <c r="B73" s="553"/>
      <c r="C73" s="465"/>
      <c r="D73" s="465"/>
      <c r="E73" s="554"/>
      <c r="F73" s="554"/>
    </row>
    <row r="74" spans="1:20">
      <c r="B74" s="553"/>
      <c r="C74" s="465"/>
      <c r="D74" s="465"/>
      <c r="E74" s="554"/>
      <c r="F74" s="554"/>
    </row>
    <row r="75" spans="1:20" ht="12.75">
      <c r="B75" s="556"/>
      <c r="C75" s="465"/>
      <c r="D75" s="556" t="s">
        <v>1122</v>
      </c>
      <c r="E75" s="554"/>
      <c r="F75" s="554"/>
    </row>
    <row r="76" spans="1:20" ht="12.75">
      <c r="B76" s="464"/>
      <c r="C76" s="465"/>
      <c r="D76" s="464" t="s">
        <v>1123</v>
      </c>
      <c r="E76" s="554"/>
      <c r="F76" s="554"/>
    </row>
    <row r="77" spans="1:20" ht="12.75">
      <c r="B77" s="464"/>
      <c r="C77" s="465"/>
      <c r="D77" s="465"/>
      <c r="E77" s="554"/>
      <c r="F77" s="554"/>
    </row>
    <row r="78" spans="1:20">
      <c r="B78" s="553"/>
      <c r="C78" s="465"/>
      <c r="D78" s="465"/>
      <c r="E78" s="554"/>
      <c r="F78" s="554"/>
    </row>
    <row r="79" spans="1:20">
      <c r="B79" s="465"/>
      <c r="C79" s="465"/>
      <c r="D79" s="465"/>
      <c r="E79" s="554"/>
      <c r="F79" s="554"/>
    </row>
    <row r="80" spans="1:20">
      <c r="B80" s="553"/>
      <c r="C80" s="465"/>
      <c r="D80" s="465"/>
      <c r="E80" s="554"/>
      <c r="F80" s="465"/>
    </row>
    <row r="81" spans="2:6">
      <c r="B81" s="553"/>
      <c r="C81" s="465"/>
      <c r="D81" s="465"/>
      <c r="E81" s="554"/>
      <c r="F81" s="465"/>
    </row>
    <row r="82" spans="2:6">
      <c r="B82" s="465"/>
      <c r="C82" s="465"/>
      <c r="D82" s="465"/>
      <c r="E82" s="554"/>
      <c r="F82" s="465"/>
    </row>
    <row r="83" spans="2:6">
      <c r="B83" s="465"/>
      <c r="C83" s="465"/>
      <c r="D83" s="465"/>
      <c r="E83" s="554"/>
      <c r="F83" s="465"/>
    </row>
    <row r="84" spans="2:6">
      <c r="B84" s="465"/>
      <c r="C84" s="465"/>
      <c r="D84" s="465"/>
      <c r="E84" s="554"/>
      <c r="F84" s="465"/>
    </row>
    <row r="85" spans="2:6">
      <c r="B85" s="465"/>
      <c r="C85" s="465"/>
      <c r="D85" s="465"/>
      <c r="E85" s="554"/>
      <c r="F85" s="465"/>
    </row>
    <row r="86" spans="2:6">
      <c r="B86" s="465"/>
      <c r="C86" s="465"/>
      <c r="D86" s="465"/>
      <c r="E86" s="554"/>
      <c r="F86" s="465"/>
    </row>
    <row r="87" spans="2:6">
      <c r="B87" s="465"/>
      <c r="C87" s="465"/>
      <c r="D87" s="465"/>
      <c r="E87" s="554"/>
      <c r="F87" s="465"/>
    </row>
    <row r="88" spans="2:6">
      <c r="B88" s="465"/>
      <c r="C88" s="465"/>
      <c r="D88" s="465"/>
      <c r="E88" s="554"/>
      <c r="F88" s="465"/>
    </row>
    <row r="89" spans="2:6">
      <c r="B89" s="465"/>
      <c r="C89" s="465"/>
      <c r="D89" s="465"/>
      <c r="E89" s="554"/>
      <c r="F89" s="465"/>
    </row>
    <row r="90" spans="2:6">
      <c r="B90" s="465"/>
      <c r="C90" s="465"/>
      <c r="D90" s="465"/>
      <c r="E90" s="554"/>
      <c r="F90" s="465"/>
    </row>
    <row r="91" spans="2:6">
      <c r="B91" s="465"/>
      <c r="C91" s="465"/>
      <c r="D91" s="465"/>
      <c r="E91" s="554"/>
      <c r="F91" s="465"/>
    </row>
    <row r="92" spans="2:6">
      <c r="B92" s="465"/>
      <c r="C92" s="465"/>
      <c r="D92" s="465"/>
      <c r="E92" s="554"/>
      <c r="F92" s="465"/>
    </row>
    <row r="93" spans="2:6">
      <c r="B93" s="465"/>
      <c r="C93" s="465"/>
      <c r="D93" s="465"/>
      <c r="E93" s="554"/>
      <c r="F93" s="465"/>
    </row>
    <row r="94" spans="2:6">
      <c r="B94" s="465"/>
      <c r="C94" s="465"/>
      <c r="D94" s="465"/>
      <c r="E94" s="554"/>
      <c r="F94" s="465"/>
    </row>
    <row r="95" spans="2:6">
      <c r="B95" s="465"/>
      <c r="C95" s="465"/>
      <c r="D95" s="465"/>
      <c r="E95" s="554"/>
      <c r="F95" s="465"/>
    </row>
    <row r="96" spans="2:6">
      <c r="B96" s="465"/>
      <c r="C96" s="465"/>
      <c r="D96" s="465"/>
      <c r="E96" s="554"/>
      <c r="F96" s="465"/>
    </row>
    <row r="97" spans="2:6">
      <c r="B97" s="465"/>
      <c r="C97" s="465"/>
      <c r="D97" s="465"/>
      <c r="E97" s="554"/>
      <c r="F97" s="465"/>
    </row>
    <row r="98" spans="2:6">
      <c r="B98" s="465"/>
      <c r="C98" s="465"/>
      <c r="D98" s="465"/>
      <c r="E98" s="554"/>
      <c r="F98" s="465"/>
    </row>
    <row r="99" spans="2:6">
      <c r="B99" s="465"/>
      <c r="C99" s="465"/>
      <c r="D99" s="465"/>
      <c r="E99" s="554"/>
      <c r="F99" s="465"/>
    </row>
    <row r="100" spans="2:6">
      <c r="B100" s="465"/>
      <c r="C100" s="465"/>
      <c r="D100" s="465"/>
      <c r="E100" s="554"/>
      <c r="F100" s="465"/>
    </row>
    <row r="101" spans="2:6">
      <c r="B101" s="465"/>
      <c r="C101" s="465"/>
      <c r="D101" s="465"/>
      <c r="E101" s="554"/>
      <c r="F101" s="465"/>
    </row>
    <row r="102" spans="2:6">
      <c r="B102" s="465"/>
      <c r="C102" s="465"/>
      <c r="D102" s="465"/>
      <c r="E102" s="554"/>
      <c r="F102" s="465"/>
    </row>
    <row r="103" spans="2:6">
      <c r="B103" s="465"/>
      <c r="C103" s="465"/>
      <c r="D103" s="465"/>
      <c r="E103" s="554"/>
      <c r="F103" s="465"/>
    </row>
    <row r="104" spans="2:6">
      <c r="B104" s="465"/>
      <c r="C104" s="465"/>
      <c r="D104" s="465"/>
      <c r="E104" s="554"/>
      <c r="F104" s="465"/>
    </row>
    <row r="105" spans="2:6">
      <c r="B105" s="465"/>
      <c r="C105" s="465"/>
      <c r="D105" s="465"/>
      <c r="E105" s="554"/>
      <c r="F105" s="465"/>
    </row>
    <row r="106" spans="2:6">
      <c r="B106" s="465"/>
      <c r="C106" s="465"/>
      <c r="D106" s="465"/>
      <c r="E106" s="554"/>
      <c r="F106" s="465"/>
    </row>
    <row r="107" spans="2:6">
      <c r="B107" s="465"/>
      <c r="C107" s="465"/>
      <c r="D107" s="465"/>
      <c r="E107" s="554"/>
      <c r="F107" s="465"/>
    </row>
    <row r="108" spans="2:6">
      <c r="B108" s="465"/>
      <c r="C108" s="465"/>
      <c r="D108" s="465"/>
      <c r="E108" s="554"/>
      <c r="F108" s="465"/>
    </row>
    <row r="109" spans="2:6">
      <c r="B109" s="465"/>
      <c r="C109" s="465"/>
      <c r="D109" s="465"/>
      <c r="E109" s="554"/>
      <c r="F109" s="465"/>
    </row>
    <row r="110" spans="2:6">
      <c r="B110" s="465"/>
      <c r="C110" s="465"/>
      <c r="D110" s="465"/>
      <c r="E110" s="554"/>
      <c r="F110" s="465"/>
    </row>
    <row r="111" spans="2:6">
      <c r="B111" s="465"/>
      <c r="C111" s="465"/>
      <c r="D111" s="465"/>
      <c r="E111" s="554"/>
      <c r="F111" s="465"/>
    </row>
    <row r="112" spans="2:6">
      <c r="B112" s="465"/>
      <c r="C112" s="465"/>
      <c r="D112" s="465"/>
      <c r="E112" s="554"/>
      <c r="F112" s="465"/>
    </row>
    <row r="113" spans="2:6">
      <c r="B113" s="465"/>
      <c r="C113" s="465"/>
      <c r="D113" s="465"/>
      <c r="E113" s="554"/>
      <c r="F113" s="465"/>
    </row>
    <row r="114" spans="2:6">
      <c r="B114" s="465"/>
      <c r="C114" s="465"/>
      <c r="D114" s="465"/>
      <c r="E114" s="554"/>
      <c r="F114" s="465"/>
    </row>
    <row r="115" spans="2:6">
      <c r="B115" s="465"/>
      <c r="C115" s="465"/>
      <c r="D115" s="465"/>
      <c r="E115" s="554"/>
      <c r="F115" s="465"/>
    </row>
    <row r="116" spans="2:6">
      <c r="B116" s="465"/>
      <c r="C116" s="465"/>
      <c r="D116" s="465"/>
      <c r="E116" s="554"/>
      <c r="F116" s="465"/>
    </row>
    <row r="117" spans="2:6">
      <c r="B117" s="465"/>
      <c r="C117" s="465"/>
      <c r="D117" s="465"/>
      <c r="E117" s="554"/>
      <c r="F117" s="465"/>
    </row>
    <row r="118" spans="2:6">
      <c r="B118" s="465"/>
      <c r="C118" s="465"/>
      <c r="D118" s="465"/>
      <c r="E118" s="554"/>
      <c r="F118" s="465"/>
    </row>
    <row r="119" spans="2:6">
      <c r="B119" s="465"/>
      <c r="C119" s="465"/>
      <c r="D119" s="465"/>
      <c r="E119" s="554"/>
      <c r="F119" s="465"/>
    </row>
    <row r="120" spans="2:6">
      <c r="B120" s="465"/>
      <c r="C120" s="465"/>
      <c r="D120" s="465"/>
      <c r="E120" s="554"/>
      <c r="F120" s="465"/>
    </row>
    <row r="121" spans="2:6">
      <c r="B121" s="465"/>
      <c r="C121" s="465"/>
      <c r="D121" s="465"/>
      <c r="E121" s="554"/>
      <c r="F121" s="465"/>
    </row>
    <row r="122" spans="2:6">
      <c r="B122" s="465"/>
      <c r="C122" s="465"/>
      <c r="D122" s="465"/>
      <c r="E122" s="554"/>
      <c r="F122" s="465"/>
    </row>
    <row r="123" spans="2:6">
      <c r="B123" s="465"/>
      <c r="C123" s="465"/>
      <c r="D123" s="465"/>
      <c r="E123" s="554"/>
      <c r="F123" s="465"/>
    </row>
    <row r="124" spans="2:6">
      <c r="B124" s="465"/>
      <c r="C124" s="465"/>
      <c r="D124" s="465"/>
      <c r="E124" s="554"/>
      <c r="F124" s="465"/>
    </row>
    <row r="125" spans="2:6">
      <c r="B125" s="465"/>
      <c r="C125" s="465"/>
      <c r="D125" s="465"/>
      <c r="E125" s="554"/>
      <c r="F125" s="465"/>
    </row>
    <row r="126" spans="2:6">
      <c r="B126" s="465"/>
      <c r="C126" s="465"/>
      <c r="D126" s="465"/>
      <c r="E126" s="554"/>
      <c r="F126" s="465"/>
    </row>
    <row r="127" spans="2:6">
      <c r="B127" s="465"/>
      <c r="C127" s="465"/>
      <c r="D127" s="465"/>
      <c r="E127" s="554"/>
      <c r="F127" s="465"/>
    </row>
    <row r="128" spans="2:6">
      <c r="B128" s="465"/>
      <c r="C128" s="465"/>
      <c r="D128" s="465"/>
      <c r="E128" s="554"/>
      <c r="F128" s="465"/>
    </row>
    <row r="129" spans="2:6">
      <c r="B129" s="465"/>
      <c r="C129" s="465"/>
      <c r="D129" s="465"/>
      <c r="E129" s="554"/>
      <c r="F129" s="465"/>
    </row>
    <row r="130" spans="2:6">
      <c r="B130" s="465"/>
      <c r="C130" s="465"/>
      <c r="D130" s="465"/>
      <c r="E130" s="554"/>
      <c r="F130" s="465"/>
    </row>
    <row r="131" spans="2:6">
      <c r="B131" s="465"/>
      <c r="C131" s="465"/>
      <c r="D131" s="465"/>
      <c r="E131" s="554"/>
      <c r="F131" s="465"/>
    </row>
    <row r="132" spans="2:6">
      <c r="B132" s="465"/>
      <c r="C132" s="465"/>
      <c r="D132" s="465"/>
      <c r="E132" s="554"/>
      <c r="F132" s="465"/>
    </row>
    <row r="133" spans="2:6">
      <c r="B133" s="465"/>
      <c r="C133" s="465"/>
      <c r="D133" s="465"/>
      <c r="E133" s="554"/>
      <c r="F133" s="465"/>
    </row>
    <row r="134" spans="2:6">
      <c r="B134" s="465"/>
      <c r="C134" s="465"/>
      <c r="D134" s="465"/>
      <c r="E134" s="554"/>
      <c r="F134" s="465"/>
    </row>
    <row r="135" spans="2:6">
      <c r="B135" s="465"/>
      <c r="C135" s="465"/>
      <c r="D135" s="465"/>
      <c r="E135" s="554"/>
      <c r="F135" s="465"/>
    </row>
    <row r="136" spans="2:6">
      <c r="B136" s="465"/>
      <c r="C136" s="465"/>
      <c r="D136" s="465"/>
      <c r="E136" s="554"/>
      <c r="F136" s="465"/>
    </row>
    <row r="137" spans="2:6">
      <c r="B137" s="465"/>
      <c r="C137" s="465"/>
      <c r="D137" s="465"/>
      <c r="E137" s="554"/>
      <c r="F137" s="465"/>
    </row>
    <row r="138" spans="2:6">
      <c r="B138" s="465"/>
      <c r="C138" s="465"/>
      <c r="D138" s="465"/>
      <c r="E138" s="554"/>
      <c r="F138" s="465"/>
    </row>
    <row r="139" spans="2:6">
      <c r="B139" s="465"/>
      <c r="C139" s="465"/>
      <c r="D139" s="465"/>
      <c r="E139" s="554"/>
      <c r="F139" s="465"/>
    </row>
    <row r="140" spans="2:6">
      <c r="B140" s="465"/>
      <c r="C140" s="465"/>
      <c r="D140" s="465"/>
      <c r="E140" s="554"/>
      <c r="F140" s="465"/>
    </row>
    <row r="141" spans="2:6">
      <c r="B141" s="465"/>
      <c r="C141" s="465"/>
      <c r="D141" s="465"/>
      <c r="E141" s="554"/>
      <c r="F141" s="465"/>
    </row>
    <row r="142" spans="2:6">
      <c r="B142" s="465"/>
      <c r="C142" s="465"/>
      <c r="D142" s="465"/>
      <c r="E142" s="554"/>
      <c r="F142" s="465"/>
    </row>
    <row r="143" spans="2:6">
      <c r="B143" s="465"/>
      <c r="C143" s="465"/>
      <c r="D143" s="465"/>
      <c r="E143" s="554"/>
      <c r="F143" s="465"/>
    </row>
    <row r="144" spans="2:6">
      <c r="B144" s="465"/>
      <c r="C144" s="465"/>
      <c r="D144" s="465"/>
      <c r="E144" s="554"/>
      <c r="F144" s="465"/>
    </row>
    <row r="145" spans="2:6">
      <c r="B145" s="465"/>
      <c r="C145" s="465"/>
      <c r="D145" s="465"/>
      <c r="E145" s="554"/>
      <c r="F145" s="465"/>
    </row>
    <row r="146" spans="2:6">
      <c r="B146" s="465"/>
      <c r="C146" s="465"/>
      <c r="D146" s="465"/>
      <c r="E146" s="554"/>
      <c r="F146" s="465"/>
    </row>
    <row r="147" spans="2:6">
      <c r="B147" s="465"/>
      <c r="C147" s="465"/>
      <c r="D147" s="465"/>
      <c r="E147" s="554"/>
      <c r="F147" s="465"/>
    </row>
    <row r="148" spans="2:6">
      <c r="B148" s="465"/>
      <c r="C148" s="465"/>
      <c r="D148" s="465"/>
      <c r="E148" s="554"/>
      <c r="F148" s="465"/>
    </row>
    <row r="149" spans="2:6">
      <c r="B149" s="465"/>
      <c r="C149" s="465"/>
      <c r="D149" s="465"/>
      <c r="E149" s="554"/>
      <c r="F149" s="465"/>
    </row>
    <row r="150" spans="2:6">
      <c r="B150" s="465"/>
      <c r="C150" s="465"/>
      <c r="D150" s="465"/>
      <c r="E150" s="554"/>
      <c r="F150" s="465"/>
    </row>
    <row r="151" spans="2:6">
      <c r="B151" s="465"/>
      <c r="C151" s="465"/>
      <c r="D151" s="465"/>
      <c r="E151" s="554"/>
      <c r="F151" s="465"/>
    </row>
    <row r="152" spans="2:6">
      <c r="B152" s="465"/>
      <c r="C152" s="465"/>
      <c r="D152" s="465"/>
      <c r="E152" s="554"/>
      <c r="F152" s="465"/>
    </row>
    <row r="153" spans="2:6">
      <c r="B153" s="465"/>
      <c r="C153" s="465"/>
      <c r="D153" s="465"/>
      <c r="E153" s="554"/>
      <c r="F153" s="465"/>
    </row>
    <row r="154" spans="2:6">
      <c r="B154" s="465"/>
      <c r="C154" s="465"/>
      <c r="D154" s="465"/>
      <c r="E154" s="554"/>
      <c r="F154" s="465"/>
    </row>
    <row r="155" spans="2:6">
      <c r="B155" s="465"/>
      <c r="C155" s="465"/>
      <c r="D155" s="465"/>
      <c r="E155" s="554"/>
      <c r="F155" s="465"/>
    </row>
    <row r="156" spans="2:6">
      <c r="B156" s="465"/>
      <c r="C156" s="465"/>
      <c r="D156" s="465"/>
      <c r="E156" s="554"/>
      <c r="F156" s="465"/>
    </row>
    <row r="157" spans="2:6">
      <c r="B157" s="465"/>
      <c r="C157" s="465"/>
      <c r="D157" s="465"/>
      <c r="E157" s="554"/>
      <c r="F157" s="465"/>
    </row>
    <row r="158" spans="2:6">
      <c r="B158" s="465"/>
      <c r="C158" s="465"/>
      <c r="D158" s="465"/>
      <c r="E158" s="554"/>
      <c r="F158" s="465"/>
    </row>
    <row r="159" spans="2:6">
      <c r="B159" s="465"/>
      <c r="C159" s="465"/>
      <c r="D159" s="465"/>
      <c r="E159" s="554"/>
      <c r="F159" s="465"/>
    </row>
    <row r="160" spans="2:6">
      <c r="B160" s="465"/>
      <c r="C160" s="465"/>
      <c r="D160" s="465"/>
      <c r="E160" s="554"/>
      <c r="F160" s="465"/>
    </row>
    <row r="161" spans="2:6">
      <c r="B161" s="465"/>
      <c r="C161" s="465"/>
      <c r="D161" s="465"/>
      <c r="E161" s="554"/>
      <c r="F161" s="465"/>
    </row>
    <row r="162" spans="2:6">
      <c r="B162" s="465"/>
      <c r="C162" s="465"/>
      <c r="D162" s="465"/>
      <c r="E162" s="554"/>
      <c r="F162" s="465"/>
    </row>
    <row r="163" spans="2:6">
      <c r="B163" s="465"/>
      <c r="C163" s="465"/>
      <c r="D163" s="465"/>
      <c r="E163" s="554"/>
      <c r="F163" s="465"/>
    </row>
    <row r="164" spans="2:6">
      <c r="B164" s="465"/>
      <c r="C164" s="465"/>
      <c r="D164" s="465"/>
      <c r="E164" s="554"/>
      <c r="F164" s="465"/>
    </row>
    <row r="165" spans="2:6">
      <c r="B165" s="465"/>
      <c r="C165" s="465"/>
      <c r="D165" s="465"/>
      <c r="E165" s="554"/>
      <c r="F165" s="465"/>
    </row>
    <row r="166" spans="2:6">
      <c r="B166" s="465"/>
      <c r="C166" s="465"/>
      <c r="D166" s="465"/>
      <c r="E166" s="554"/>
      <c r="F166" s="465"/>
    </row>
    <row r="167" spans="2:6">
      <c r="B167" s="465"/>
      <c r="C167" s="465"/>
      <c r="D167" s="465"/>
      <c r="E167" s="554"/>
      <c r="F167" s="465"/>
    </row>
    <row r="168" spans="2:6">
      <c r="B168" s="465"/>
      <c r="C168" s="465"/>
      <c r="D168" s="465"/>
      <c r="E168" s="554"/>
      <c r="F168" s="465"/>
    </row>
    <row r="169" spans="2:6">
      <c r="B169" s="465"/>
      <c r="C169" s="465"/>
      <c r="D169" s="465"/>
      <c r="E169" s="554"/>
      <c r="F169" s="465"/>
    </row>
    <row r="170" spans="2:6">
      <c r="B170" s="465"/>
      <c r="C170" s="465"/>
      <c r="D170" s="465"/>
      <c r="E170" s="554"/>
      <c r="F170" s="465"/>
    </row>
    <row r="171" spans="2:6">
      <c r="B171" s="465"/>
      <c r="C171" s="465"/>
      <c r="D171" s="465"/>
      <c r="E171" s="554"/>
      <c r="F171" s="465"/>
    </row>
    <row r="172" spans="2:6">
      <c r="B172" s="465"/>
      <c r="C172" s="465"/>
      <c r="D172" s="465"/>
      <c r="E172" s="554"/>
      <c r="F172" s="465"/>
    </row>
    <row r="173" spans="2:6">
      <c r="B173" s="465"/>
      <c r="C173" s="465"/>
      <c r="D173" s="465"/>
      <c r="E173" s="554"/>
      <c r="F173" s="465"/>
    </row>
    <row r="174" spans="2:6">
      <c r="B174" s="465"/>
      <c r="C174" s="465"/>
      <c r="D174" s="465"/>
      <c r="E174" s="554"/>
      <c r="F174" s="465"/>
    </row>
    <row r="175" spans="2:6">
      <c r="B175" s="465"/>
      <c r="C175" s="465"/>
      <c r="D175" s="465"/>
      <c r="E175" s="554"/>
      <c r="F175" s="465"/>
    </row>
    <row r="176" spans="2:6">
      <c r="B176" s="465"/>
      <c r="C176" s="465"/>
      <c r="D176" s="465"/>
      <c r="E176" s="554"/>
      <c r="F176" s="465"/>
    </row>
    <row r="177" spans="2:6">
      <c r="B177" s="465"/>
      <c r="C177" s="465"/>
      <c r="D177" s="465"/>
      <c r="E177" s="554"/>
      <c r="F177" s="465"/>
    </row>
    <row r="178" spans="2:6">
      <c r="B178" s="465"/>
      <c r="C178" s="465"/>
      <c r="D178" s="465"/>
      <c r="E178" s="554"/>
      <c r="F178" s="465"/>
    </row>
    <row r="179" spans="2:6">
      <c r="B179" s="465"/>
      <c r="C179" s="465"/>
      <c r="D179" s="465"/>
      <c r="E179" s="554"/>
      <c r="F179" s="465"/>
    </row>
    <row r="180" spans="2:6">
      <c r="B180" s="465"/>
      <c r="C180" s="465"/>
      <c r="D180" s="465"/>
      <c r="E180" s="554"/>
      <c r="F180" s="465"/>
    </row>
    <row r="181" spans="2:6">
      <c r="B181" s="465"/>
      <c r="C181" s="465"/>
      <c r="D181" s="465"/>
      <c r="E181" s="554"/>
      <c r="F181" s="465"/>
    </row>
    <row r="182" spans="2:6">
      <c r="B182" s="465"/>
      <c r="C182" s="465"/>
      <c r="D182" s="465"/>
      <c r="E182" s="554"/>
      <c r="F182" s="465"/>
    </row>
    <row r="183" spans="2:6">
      <c r="B183" s="465"/>
      <c r="C183" s="465"/>
      <c r="D183" s="465"/>
      <c r="E183" s="554"/>
      <c r="F183" s="465"/>
    </row>
    <row r="184" spans="2:6">
      <c r="B184" s="465"/>
      <c r="C184" s="465"/>
      <c r="D184" s="465"/>
      <c r="E184" s="554"/>
      <c r="F184" s="465"/>
    </row>
    <row r="185" spans="2:6">
      <c r="B185" s="465"/>
      <c r="C185" s="465"/>
      <c r="D185" s="465"/>
      <c r="E185" s="554"/>
      <c r="F185" s="465"/>
    </row>
    <row r="186" spans="2:6">
      <c r="B186" s="465"/>
      <c r="C186" s="465"/>
      <c r="D186" s="465"/>
      <c r="E186" s="554"/>
      <c r="F186" s="465"/>
    </row>
    <row r="187" spans="2:6">
      <c r="B187" s="465"/>
      <c r="C187" s="465"/>
      <c r="D187" s="465"/>
      <c r="E187" s="554"/>
      <c r="F187" s="465"/>
    </row>
    <row r="188" spans="2:6">
      <c r="B188" s="465"/>
      <c r="C188" s="465"/>
      <c r="D188" s="465"/>
      <c r="E188" s="554"/>
      <c r="F188" s="465"/>
    </row>
    <row r="189" spans="2:6">
      <c r="B189" s="465"/>
      <c r="C189" s="465"/>
      <c r="D189" s="465"/>
      <c r="E189" s="554"/>
      <c r="F189" s="465"/>
    </row>
    <row r="190" spans="2:6">
      <c r="B190" s="465"/>
      <c r="C190" s="465"/>
      <c r="D190" s="465"/>
      <c r="E190" s="554"/>
      <c r="F190" s="465"/>
    </row>
    <row r="191" spans="2:6">
      <c r="B191" s="465"/>
      <c r="C191" s="465"/>
      <c r="D191" s="465"/>
      <c r="E191" s="554"/>
      <c r="F191" s="465"/>
    </row>
    <row r="192" spans="2:6">
      <c r="B192" s="465"/>
      <c r="C192" s="465"/>
      <c r="D192" s="465"/>
      <c r="E192" s="554"/>
      <c r="F192" s="465"/>
    </row>
    <row r="193" spans="2:6">
      <c r="B193" s="465"/>
      <c r="C193" s="465"/>
      <c r="D193" s="465"/>
      <c r="E193" s="554"/>
      <c r="F193" s="465"/>
    </row>
    <row r="194" spans="2:6">
      <c r="B194" s="465"/>
      <c r="C194" s="465"/>
      <c r="D194" s="465"/>
      <c r="E194" s="554"/>
      <c r="F194" s="465"/>
    </row>
    <row r="195" spans="2:6">
      <c r="B195" s="465"/>
      <c r="C195" s="465"/>
      <c r="D195" s="465"/>
      <c r="E195" s="554"/>
      <c r="F195" s="465"/>
    </row>
    <row r="196" spans="2:6">
      <c r="B196" s="465"/>
      <c r="C196" s="465"/>
      <c r="D196" s="465"/>
      <c r="E196" s="554"/>
      <c r="F196" s="465"/>
    </row>
    <row r="197" spans="2:6">
      <c r="B197" s="465"/>
      <c r="C197" s="465"/>
      <c r="D197" s="465"/>
      <c r="E197" s="554"/>
      <c r="F197" s="465"/>
    </row>
    <row r="198" spans="2:6">
      <c r="B198" s="465"/>
      <c r="C198" s="465"/>
      <c r="D198" s="465"/>
      <c r="E198" s="554"/>
      <c r="F198" s="465"/>
    </row>
    <row r="199" spans="2:6">
      <c r="B199" s="465"/>
      <c r="C199" s="465"/>
      <c r="D199" s="465"/>
      <c r="E199" s="554"/>
      <c r="F199" s="465"/>
    </row>
    <row r="200" spans="2:6">
      <c r="B200" s="465"/>
      <c r="C200" s="465"/>
      <c r="D200" s="465"/>
      <c r="E200" s="554"/>
      <c r="F200" s="465"/>
    </row>
    <row r="201" spans="2:6">
      <c r="B201" s="465"/>
      <c r="C201" s="465"/>
      <c r="D201" s="465"/>
      <c r="E201" s="554"/>
      <c r="F201" s="465"/>
    </row>
    <row r="202" spans="2:6">
      <c r="B202" s="465"/>
      <c r="C202" s="465"/>
      <c r="D202" s="465"/>
      <c r="E202" s="554"/>
      <c r="F202" s="465"/>
    </row>
    <row r="203" spans="2:6">
      <c r="B203" s="465"/>
      <c r="C203" s="465"/>
      <c r="D203" s="465"/>
      <c r="E203" s="554"/>
      <c r="F203" s="465"/>
    </row>
    <row r="204" spans="2:6">
      <c r="B204" s="465"/>
      <c r="C204" s="465"/>
      <c r="D204" s="465"/>
      <c r="E204" s="554"/>
      <c r="F204" s="465"/>
    </row>
    <row r="205" spans="2:6">
      <c r="B205" s="465"/>
      <c r="C205" s="465"/>
      <c r="D205" s="465"/>
      <c r="E205" s="554"/>
      <c r="F205" s="465"/>
    </row>
    <row r="206" spans="2:6">
      <c r="B206" s="465"/>
      <c r="C206" s="465"/>
      <c r="D206" s="465"/>
      <c r="E206" s="554"/>
      <c r="F206" s="465"/>
    </row>
    <row r="207" spans="2:6">
      <c r="B207" s="465"/>
      <c r="C207" s="465"/>
      <c r="D207" s="465"/>
      <c r="E207" s="554"/>
      <c r="F207" s="465"/>
    </row>
    <row r="208" spans="2:6">
      <c r="B208" s="465"/>
      <c r="C208" s="465"/>
      <c r="D208" s="465"/>
      <c r="E208" s="554"/>
      <c r="F208" s="465"/>
    </row>
    <row r="209" spans="2:6">
      <c r="B209" s="465"/>
      <c r="C209" s="465"/>
      <c r="D209" s="465"/>
      <c r="E209" s="554"/>
      <c r="F209" s="465"/>
    </row>
    <row r="210" spans="2:6">
      <c r="B210" s="465"/>
      <c r="C210" s="465"/>
      <c r="D210" s="465"/>
      <c r="E210" s="554"/>
      <c r="F210" s="465"/>
    </row>
    <row r="211" spans="2:6">
      <c r="B211" s="465"/>
      <c r="C211" s="465"/>
      <c r="D211" s="465"/>
      <c r="E211" s="554"/>
      <c r="F211" s="465"/>
    </row>
    <row r="212" spans="2:6">
      <c r="B212" s="465"/>
      <c r="C212" s="465"/>
      <c r="D212" s="465"/>
      <c r="E212" s="554"/>
      <c r="F212" s="465"/>
    </row>
    <row r="213" spans="2:6">
      <c r="B213" s="465"/>
      <c r="C213" s="465"/>
      <c r="D213" s="465"/>
      <c r="E213" s="554"/>
      <c r="F213" s="465"/>
    </row>
    <row r="214" spans="2:6">
      <c r="B214" s="465"/>
      <c r="C214" s="465"/>
      <c r="D214" s="465"/>
      <c r="E214" s="554"/>
      <c r="F214" s="465"/>
    </row>
    <row r="215" spans="2:6">
      <c r="B215" s="465"/>
      <c r="C215" s="465"/>
      <c r="D215" s="465"/>
      <c r="E215" s="554"/>
      <c r="F215" s="465"/>
    </row>
    <row r="216" spans="2:6">
      <c r="B216" s="465"/>
      <c r="C216" s="465"/>
      <c r="D216" s="465"/>
      <c r="E216" s="554"/>
      <c r="F216" s="465"/>
    </row>
    <row r="217" spans="2:6">
      <c r="B217" s="465"/>
      <c r="C217" s="465"/>
      <c r="D217" s="465"/>
      <c r="E217" s="554"/>
      <c r="F217" s="465"/>
    </row>
    <row r="218" spans="2:6">
      <c r="B218" s="465"/>
      <c r="C218" s="465"/>
      <c r="D218" s="465"/>
      <c r="E218" s="554"/>
      <c r="F218" s="465"/>
    </row>
    <row r="219" spans="2:6">
      <c r="B219" s="465"/>
      <c r="C219" s="465"/>
      <c r="D219" s="465"/>
      <c r="E219" s="554"/>
      <c r="F219" s="465"/>
    </row>
    <row r="220" spans="2:6">
      <c r="B220" s="465"/>
      <c r="C220" s="465"/>
      <c r="D220" s="465"/>
      <c r="E220" s="554"/>
      <c r="F220" s="465"/>
    </row>
    <row r="221" spans="2:6">
      <c r="B221" s="465"/>
      <c r="C221" s="465"/>
      <c r="D221" s="465"/>
      <c r="E221" s="554"/>
      <c r="F221" s="465"/>
    </row>
    <row r="222" spans="2:6">
      <c r="B222" s="465"/>
      <c r="C222" s="465"/>
      <c r="D222" s="465"/>
      <c r="E222" s="554"/>
      <c r="F222" s="465"/>
    </row>
    <row r="223" spans="2:6">
      <c r="B223" s="465"/>
      <c r="C223" s="465"/>
      <c r="D223" s="465"/>
      <c r="E223" s="554"/>
      <c r="F223" s="465"/>
    </row>
    <row r="224" spans="2:6">
      <c r="B224" s="465"/>
      <c r="C224" s="465"/>
      <c r="D224" s="465"/>
      <c r="E224" s="554"/>
      <c r="F224" s="465"/>
    </row>
    <row r="225" spans="2:6">
      <c r="B225" s="465"/>
      <c r="C225" s="465"/>
      <c r="D225" s="465"/>
      <c r="E225" s="554"/>
      <c r="F225" s="465"/>
    </row>
    <row r="226" spans="2:6">
      <c r="B226" s="465"/>
      <c r="C226" s="465"/>
      <c r="D226" s="465"/>
      <c r="E226" s="554"/>
      <c r="F226" s="465"/>
    </row>
    <row r="227" spans="2:6">
      <c r="B227" s="465"/>
      <c r="C227" s="465"/>
      <c r="D227" s="465"/>
      <c r="E227" s="554"/>
      <c r="F227" s="465"/>
    </row>
    <row r="228" spans="2:6">
      <c r="B228" s="465"/>
      <c r="C228" s="465"/>
      <c r="D228" s="465"/>
      <c r="E228" s="554"/>
      <c r="F228" s="465"/>
    </row>
    <row r="229" spans="2:6">
      <c r="B229" s="465"/>
      <c r="C229" s="465"/>
      <c r="D229" s="465"/>
      <c r="E229" s="554"/>
      <c r="F229" s="465"/>
    </row>
    <row r="230" spans="2:6">
      <c r="B230" s="465"/>
      <c r="C230" s="465"/>
      <c r="D230" s="465"/>
      <c r="E230" s="554"/>
      <c r="F230" s="465"/>
    </row>
    <row r="231" spans="2:6">
      <c r="B231" s="465"/>
      <c r="C231" s="465"/>
      <c r="D231" s="465"/>
      <c r="E231" s="554"/>
      <c r="F231" s="465"/>
    </row>
    <row r="232" spans="2:6">
      <c r="B232" s="465"/>
      <c r="C232" s="465"/>
      <c r="D232" s="465"/>
      <c r="E232" s="554"/>
      <c r="F232" s="465"/>
    </row>
    <row r="233" spans="2:6">
      <c r="B233" s="465"/>
      <c r="C233" s="465"/>
      <c r="D233" s="465"/>
      <c r="E233" s="554"/>
      <c r="F233" s="465"/>
    </row>
    <row r="234" spans="2:6">
      <c r="B234" s="465"/>
      <c r="C234" s="465"/>
      <c r="D234" s="465"/>
      <c r="E234" s="554"/>
      <c r="F234" s="465"/>
    </row>
    <row r="235" spans="2:6">
      <c r="B235" s="465"/>
      <c r="C235" s="465"/>
      <c r="D235" s="465"/>
      <c r="E235" s="554"/>
      <c r="F235" s="465"/>
    </row>
    <row r="236" spans="2:6">
      <c r="B236" s="465"/>
      <c r="C236" s="465"/>
      <c r="D236" s="465"/>
      <c r="E236" s="554"/>
      <c r="F236" s="465"/>
    </row>
    <row r="237" spans="2:6">
      <c r="B237" s="465"/>
      <c r="C237" s="465"/>
      <c r="D237" s="465"/>
      <c r="E237" s="554"/>
      <c r="F237" s="465"/>
    </row>
    <row r="238" spans="2:6">
      <c r="B238" s="465"/>
      <c r="C238" s="465"/>
      <c r="D238" s="465"/>
      <c r="E238" s="554"/>
      <c r="F238" s="465"/>
    </row>
    <row r="239" spans="2:6">
      <c r="B239" s="465"/>
      <c r="C239" s="465"/>
      <c r="D239" s="465"/>
      <c r="E239" s="554"/>
      <c r="F239" s="465"/>
    </row>
    <row r="240" spans="2:6">
      <c r="B240" s="465"/>
      <c r="C240" s="465"/>
      <c r="D240" s="465"/>
      <c r="E240" s="554"/>
      <c r="F240" s="465"/>
    </row>
    <row r="241" spans="2:6">
      <c r="B241" s="465"/>
      <c r="C241" s="465"/>
      <c r="D241" s="465"/>
      <c r="E241" s="554"/>
      <c r="F241" s="465"/>
    </row>
    <row r="242" spans="2:6">
      <c r="B242" s="465"/>
      <c r="C242" s="465"/>
      <c r="D242" s="465"/>
      <c r="E242" s="554"/>
      <c r="F242" s="465"/>
    </row>
    <row r="243" spans="2:6">
      <c r="B243" s="465"/>
      <c r="C243" s="465"/>
      <c r="D243" s="465"/>
      <c r="E243" s="554"/>
      <c r="F243" s="465"/>
    </row>
    <row r="244" spans="2:6">
      <c r="B244" s="465"/>
      <c r="C244" s="465"/>
      <c r="D244" s="465"/>
      <c r="E244" s="554"/>
      <c r="F244" s="465"/>
    </row>
    <row r="245" spans="2:6">
      <c r="B245" s="465"/>
      <c r="C245" s="465"/>
      <c r="D245" s="465"/>
      <c r="E245" s="554"/>
      <c r="F245" s="465"/>
    </row>
    <row r="246" spans="2:6">
      <c r="B246" s="465"/>
      <c r="C246" s="465"/>
      <c r="D246" s="465"/>
      <c r="E246" s="554"/>
      <c r="F246" s="465"/>
    </row>
    <row r="247" spans="2:6">
      <c r="B247" s="465"/>
      <c r="C247" s="465"/>
      <c r="D247" s="465"/>
      <c r="E247" s="554"/>
      <c r="F247" s="465"/>
    </row>
    <row r="248" spans="2:6">
      <c r="B248" s="465"/>
      <c r="C248" s="465"/>
      <c r="D248" s="465"/>
      <c r="E248" s="554"/>
      <c r="F248" s="465"/>
    </row>
    <row r="249" spans="2:6">
      <c r="B249" s="465"/>
      <c r="C249" s="465"/>
      <c r="D249" s="465"/>
      <c r="E249" s="554"/>
      <c r="F249" s="465"/>
    </row>
    <row r="250" spans="2:6">
      <c r="B250" s="465"/>
      <c r="C250" s="465"/>
      <c r="D250" s="465"/>
      <c r="E250" s="554"/>
      <c r="F250" s="465"/>
    </row>
    <row r="251" spans="2:6">
      <c r="B251" s="465"/>
      <c r="C251" s="465"/>
      <c r="D251" s="465"/>
      <c r="E251" s="554"/>
      <c r="F251" s="465"/>
    </row>
    <row r="252" spans="2:6">
      <c r="B252" s="465"/>
      <c r="C252" s="465"/>
      <c r="D252" s="465"/>
      <c r="E252" s="554"/>
      <c r="F252" s="465"/>
    </row>
    <row r="253" spans="2:6">
      <c r="B253" s="465"/>
      <c r="C253" s="465"/>
      <c r="D253" s="465"/>
      <c r="E253" s="554"/>
      <c r="F253" s="465"/>
    </row>
    <row r="254" spans="2:6">
      <c r="B254" s="465"/>
      <c r="C254" s="465"/>
      <c r="D254" s="465"/>
      <c r="E254" s="554"/>
      <c r="F254" s="465"/>
    </row>
    <row r="255" spans="2:6">
      <c r="B255" s="465"/>
      <c r="C255" s="465"/>
      <c r="D255" s="465"/>
      <c r="E255" s="554"/>
      <c r="F255" s="465"/>
    </row>
    <row r="256" spans="2:6">
      <c r="B256" s="465"/>
      <c r="C256" s="465"/>
      <c r="D256" s="465"/>
      <c r="E256" s="554"/>
      <c r="F256" s="465"/>
    </row>
    <row r="257" spans="2:6">
      <c r="B257" s="465"/>
      <c r="C257" s="465"/>
      <c r="D257" s="465"/>
      <c r="E257" s="554"/>
      <c r="F257" s="465"/>
    </row>
    <row r="258" spans="2:6">
      <c r="B258" s="465"/>
      <c r="C258" s="465"/>
      <c r="D258" s="465"/>
      <c r="E258" s="554"/>
      <c r="F258" s="465"/>
    </row>
    <row r="259" spans="2:6">
      <c r="B259" s="465"/>
      <c r="C259" s="465"/>
      <c r="D259" s="465"/>
      <c r="E259" s="554"/>
      <c r="F259" s="465"/>
    </row>
    <row r="260" spans="2:6">
      <c r="B260" s="465"/>
      <c r="C260" s="465"/>
      <c r="D260" s="465"/>
      <c r="E260" s="554"/>
      <c r="F260" s="465"/>
    </row>
    <row r="261" spans="2:6">
      <c r="B261" s="465"/>
      <c r="C261" s="465"/>
      <c r="D261" s="465"/>
      <c r="E261" s="554"/>
      <c r="F261" s="465"/>
    </row>
    <row r="262" spans="2:6">
      <c r="B262" s="465"/>
      <c r="C262" s="465"/>
      <c r="D262" s="465"/>
      <c r="E262" s="554"/>
      <c r="F262" s="465"/>
    </row>
    <row r="263" spans="2:6">
      <c r="B263" s="465"/>
      <c r="C263" s="465"/>
      <c r="D263" s="465"/>
      <c r="E263" s="554"/>
      <c r="F263" s="465"/>
    </row>
    <row r="264" spans="2:6">
      <c r="B264" s="465"/>
      <c r="C264" s="465"/>
      <c r="D264" s="465"/>
      <c r="E264" s="554"/>
      <c r="F264" s="465"/>
    </row>
    <row r="265" spans="2:6">
      <c r="B265" s="465"/>
      <c r="C265" s="465"/>
      <c r="D265" s="465"/>
      <c r="E265" s="554"/>
      <c r="F265" s="465"/>
    </row>
    <row r="266" spans="2:6">
      <c r="B266" s="465"/>
      <c r="C266" s="465"/>
      <c r="D266" s="465"/>
      <c r="E266" s="554"/>
      <c r="F266" s="465"/>
    </row>
    <row r="267" spans="2:6">
      <c r="B267" s="465"/>
      <c r="C267" s="465"/>
      <c r="D267" s="465"/>
      <c r="E267" s="554"/>
      <c r="F267" s="465"/>
    </row>
    <row r="268" spans="2:6">
      <c r="B268" s="465"/>
      <c r="C268" s="465"/>
      <c r="D268" s="465"/>
      <c r="E268" s="554"/>
      <c r="F268" s="465"/>
    </row>
    <row r="269" spans="2:6">
      <c r="B269" s="465"/>
      <c r="C269" s="465"/>
      <c r="D269" s="465"/>
      <c r="E269" s="554"/>
      <c r="F269" s="465"/>
    </row>
    <row r="270" spans="2:6">
      <c r="B270" s="465"/>
      <c r="C270" s="465"/>
      <c r="D270" s="465"/>
      <c r="E270" s="554"/>
      <c r="F270" s="465"/>
    </row>
    <row r="271" spans="2:6">
      <c r="B271" s="465"/>
      <c r="C271" s="465"/>
      <c r="D271" s="465"/>
      <c r="E271" s="554"/>
      <c r="F271" s="465"/>
    </row>
    <row r="272" spans="2:6">
      <c r="B272" s="465"/>
      <c r="C272" s="465"/>
      <c r="D272" s="465"/>
      <c r="E272" s="554"/>
      <c r="F272" s="465"/>
    </row>
    <row r="273" spans="2:6">
      <c r="B273" s="465"/>
      <c r="C273" s="465"/>
      <c r="D273" s="465"/>
      <c r="E273" s="554"/>
      <c r="F273" s="465"/>
    </row>
    <row r="274" spans="2:6">
      <c r="B274" s="465"/>
      <c r="C274" s="465"/>
      <c r="D274" s="465"/>
      <c r="E274" s="554"/>
      <c r="F274" s="465"/>
    </row>
    <row r="275" spans="2:6">
      <c r="B275" s="465"/>
      <c r="C275" s="465"/>
      <c r="D275" s="465"/>
      <c r="E275" s="554"/>
      <c r="F275" s="465"/>
    </row>
    <row r="276" spans="2:6">
      <c r="B276" s="465"/>
      <c r="C276" s="465"/>
      <c r="D276" s="465"/>
      <c r="E276" s="554"/>
      <c r="F276" s="465"/>
    </row>
    <row r="277" spans="2:6">
      <c r="B277" s="465"/>
      <c r="C277" s="465"/>
      <c r="D277" s="465"/>
      <c r="E277" s="554"/>
      <c r="F277" s="465"/>
    </row>
    <row r="278" spans="2:6">
      <c r="B278" s="465"/>
      <c r="C278" s="465"/>
      <c r="D278" s="465"/>
      <c r="E278" s="554"/>
      <c r="F278" s="465"/>
    </row>
    <row r="279" spans="2:6">
      <c r="B279" s="465"/>
      <c r="C279" s="465"/>
      <c r="D279" s="465"/>
      <c r="E279" s="554"/>
      <c r="F279" s="465"/>
    </row>
    <row r="280" spans="2:6">
      <c r="B280" s="465"/>
      <c r="C280" s="465"/>
      <c r="D280" s="465"/>
      <c r="E280" s="554"/>
      <c r="F280" s="465"/>
    </row>
    <row r="281" spans="2:6">
      <c r="B281" s="465"/>
      <c r="C281" s="465"/>
      <c r="D281" s="465"/>
      <c r="E281" s="554"/>
      <c r="F281" s="465"/>
    </row>
    <row r="282" spans="2:6">
      <c r="B282" s="465"/>
      <c r="C282" s="465"/>
      <c r="D282" s="465"/>
      <c r="E282" s="554"/>
      <c r="F282" s="465"/>
    </row>
    <row r="283" spans="2:6">
      <c r="B283" s="465"/>
      <c r="C283" s="465"/>
      <c r="D283" s="465"/>
      <c r="E283" s="554"/>
      <c r="F283" s="465"/>
    </row>
    <row r="284" spans="2:6">
      <c r="B284" s="465"/>
      <c r="C284" s="465"/>
      <c r="D284" s="465"/>
      <c r="E284" s="554"/>
      <c r="F284" s="465"/>
    </row>
    <row r="285" spans="2:6">
      <c r="B285" s="465"/>
      <c r="C285" s="465"/>
      <c r="D285" s="465"/>
      <c r="E285" s="554"/>
      <c r="F285" s="465"/>
    </row>
    <row r="286" spans="2:6">
      <c r="B286" s="465"/>
      <c r="C286" s="465"/>
      <c r="D286" s="465"/>
      <c r="E286" s="554"/>
      <c r="F286" s="465"/>
    </row>
    <row r="287" spans="2:6">
      <c r="B287" s="465"/>
      <c r="C287" s="465"/>
      <c r="D287" s="465"/>
      <c r="E287" s="554"/>
      <c r="F287" s="465"/>
    </row>
    <row r="288" spans="2:6">
      <c r="B288" s="465"/>
      <c r="C288" s="465"/>
      <c r="D288" s="465"/>
      <c r="E288" s="554"/>
      <c r="F288" s="465"/>
    </row>
    <row r="289" spans="2:6">
      <c r="B289" s="465"/>
      <c r="C289" s="465"/>
      <c r="D289" s="465"/>
      <c r="E289" s="554"/>
      <c r="F289" s="465"/>
    </row>
    <row r="290" spans="2:6">
      <c r="B290" s="465"/>
      <c r="C290" s="465"/>
      <c r="D290" s="465"/>
      <c r="E290" s="554"/>
      <c r="F290" s="465"/>
    </row>
    <row r="291" spans="2:6">
      <c r="B291" s="465"/>
      <c r="C291" s="465"/>
      <c r="D291" s="465"/>
      <c r="E291" s="554"/>
      <c r="F291" s="465"/>
    </row>
    <row r="292" spans="2:6">
      <c r="B292" s="465"/>
      <c r="C292" s="465"/>
      <c r="D292" s="465"/>
      <c r="E292" s="554"/>
      <c r="F292" s="465"/>
    </row>
    <row r="293" spans="2:6">
      <c r="B293" s="465"/>
      <c r="C293" s="465"/>
      <c r="D293" s="465"/>
      <c r="E293" s="554"/>
      <c r="F293" s="465"/>
    </row>
    <row r="294" spans="2:6">
      <c r="B294" s="465"/>
      <c r="C294" s="465"/>
      <c r="D294" s="465"/>
      <c r="E294" s="554"/>
      <c r="F294" s="465"/>
    </row>
    <row r="295" spans="2:6">
      <c r="B295" s="465"/>
      <c r="C295" s="465"/>
      <c r="D295" s="465"/>
      <c r="E295" s="554"/>
      <c r="F295" s="465"/>
    </row>
    <row r="296" spans="2:6">
      <c r="B296" s="465"/>
      <c r="C296" s="465"/>
      <c r="D296" s="465"/>
      <c r="E296" s="554"/>
      <c r="F296" s="465"/>
    </row>
    <row r="297" spans="2:6">
      <c r="B297" s="465"/>
      <c r="C297" s="465"/>
      <c r="D297" s="465"/>
      <c r="E297" s="554"/>
      <c r="F297" s="465"/>
    </row>
    <row r="298" spans="2:6">
      <c r="B298" s="465"/>
      <c r="C298" s="465"/>
      <c r="D298" s="465"/>
      <c r="E298" s="554"/>
      <c r="F298" s="465"/>
    </row>
    <row r="299" spans="2:6">
      <c r="B299" s="465"/>
      <c r="C299" s="465"/>
      <c r="D299" s="465"/>
      <c r="E299" s="554"/>
      <c r="F299" s="465"/>
    </row>
    <row r="300" spans="2:6">
      <c r="B300" s="465"/>
      <c r="C300" s="465"/>
      <c r="D300" s="465"/>
      <c r="E300" s="554"/>
      <c r="F300" s="465"/>
    </row>
    <row r="301" spans="2:6">
      <c r="B301" s="465"/>
      <c r="C301" s="465"/>
      <c r="D301" s="465"/>
      <c r="E301" s="554"/>
      <c r="F301" s="465"/>
    </row>
    <row r="302" spans="2:6">
      <c r="B302" s="465"/>
      <c r="C302" s="465"/>
      <c r="D302" s="465"/>
      <c r="E302" s="554"/>
      <c r="F302" s="465"/>
    </row>
    <row r="303" spans="2:6">
      <c r="B303" s="465"/>
      <c r="C303" s="465"/>
      <c r="D303" s="465"/>
      <c r="E303" s="554"/>
      <c r="F303" s="465"/>
    </row>
    <row r="304" spans="2:6">
      <c r="B304" s="465"/>
      <c r="C304" s="465"/>
      <c r="D304" s="465"/>
      <c r="E304" s="554"/>
      <c r="F304" s="465"/>
    </row>
    <row r="305" spans="2:6">
      <c r="B305" s="465"/>
      <c r="C305" s="465"/>
      <c r="D305" s="465"/>
      <c r="E305" s="554"/>
      <c r="F305" s="465"/>
    </row>
    <row r="306" spans="2:6">
      <c r="B306" s="465"/>
      <c r="C306" s="465"/>
      <c r="D306" s="465"/>
      <c r="E306" s="554"/>
      <c r="F306" s="465"/>
    </row>
    <row r="307" spans="2:6">
      <c r="B307" s="465"/>
      <c r="C307" s="465"/>
      <c r="D307" s="465"/>
      <c r="E307" s="554"/>
      <c r="F307" s="465"/>
    </row>
    <row r="308" spans="2:6">
      <c r="B308" s="465"/>
      <c r="C308" s="465"/>
      <c r="D308" s="465"/>
      <c r="E308" s="554"/>
      <c r="F308" s="465"/>
    </row>
    <row r="309" spans="2:6">
      <c r="B309" s="465"/>
      <c r="C309" s="465"/>
      <c r="D309" s="465"/>
      <c r="E309" s="554"/>
      <c r="F309" s="465"/>
    </row>
    <row r="310" spans="2:6">
      <c r="B310" s="465"/>
      <c r="C310" s="465"/>
      <c r="D310" s="465"/>
      <c r="E310" s="554"/>
      <c r="F310" s="465"/>
    </row>
    <row r="311" spans="2:6">
      <c r="B311" s="465"/>
      <c r="C311" s="465"/>
      <c r="D311" s="465"/>
      <c r="E311" s="554"/>
      <c r="F311" s="465"/>
    </row>
    <row r="312" spans="2:6">
      <c r="B312" s="465"/>
      <c r="C312" s="465"/>
      <c r="D312" s="465"/>
      <c r="E312" s="554"/>
      <c r="F312" s="465"/>
    </row>
    <row r="313" spans="2:6">
      <c r="B313" s="465"/>
      <c r="C313" s="465"/>
      <c r="D313" s="465"/>
      <c r="E313" s="554"/>
      <c r="F313" s="465"/>
    </row>
    <row r="314" spans="2:6">
      <c r="B314" s="465"/>
      <c r="C314" s="465"/>
      <c r="D314" s="465"/>
      <c r="E314" s="554"/>
      <c r="F314" s="465"/>
    </row>
    <row r="315" spans="2:6">
      <c r="B315" s="465"/>
      <c r="C315" s="465"/>
      <c r="D315" s="465"/>
      <c r="E315" s="554"/>
      <c r="F315" s="465"/>
    </row>
    <row r="316" spans="2:6">
      <c r="B316" s="465"/>
      <c r="C316" s="465"/>
      <c r="D316" s="465"/>
      <c r="E316" s="554"/>
      <c r="F316" s="465"/>
    </row>
    <row r="317" spans="2:6">
      <c r="B317" s="465"/>
      <c r="C317" s="465"/>
      <c r="D317" s="465"/>
      <c r="E317" s="554"/>
      <c r="F317" s="465"/>
    </row>
    <row r="318" spans="2:6">
      <c r="B318" s="465"/>
      <c r="C318" s="465"/>
      <c r="D318" s="465"/>
      <c r="E318" s="554"/>
      <c r="F318" s="465"/>
    </row>
    <row r="319" spans="2:6">
      <c r="B319" s="465"/>
      <c r="C319" s="465"/>
      <c r="D319" s="465"/>
      <c r="E319" s="554"/>
      <c r="F319" s="465"/>
    </row>
    <row r="320" spans="2:6">
      <c r="B320" s="465"/>
      <c r="C320" s="465"/>
      <c r="D320" s="465"/>
      <c r="E320" s="554"/>
      <c r="F320" s="465"/>
    </row>
    <row r="321" spans="2:6">
      <c r="B321" s="465"/>
      <c r="C321" s="465"/>
      <c r="D321" s="465"/>
      <c r="E321" s="554"/>
      <c r="F321" s="465"/>
    </row>
    <row r="322" spans="2:6">
      <c r="B322" s="465"/>
      <c r="C322" s="465"/>
      <c r="D322" s="465"/>
      <c r="E322" s="554"/>
      <c r="F322" s="465"/>
    </row>
    <row r="323" spans="2:6">
      <c r="B323" s="465"/>
      <c r="C323" s="465"/>
      <c r="D323" s="465"/>
      <c r="E323" s="554"/>
      <c r="F323" s="465"/>
    </row>
    <row r="324" spans="2:6">
      <c r="B324" s="465"/>
      <c r="C324" s="465"/>
      <c r="D324" s="465"/>
      <c r="E324" s="554"/>
      <c r="F324" s="465"/>
    </row>
    <row r="325" spans="2:6">
      <c r="B325" s="465"/>
      <c r="C325" s="465"/>
      <c r="D325" s="465"/>
      <c r="E325" s="554"/>
      <c r="F325" s="465"/>
    </row>
    <row r="326" spans="2:6">
      <c r="B326" s="465"/>
      <c r="C326" s="465"/>
      <c r="D326" s="465"/>
      <c r="E326" s="554"/>
      <c r="F326" s="465"/>
    </row>
    <row r="327" spans="2:6">
      <c r="B327" s="465"/>
      <c r="C327" s="465"/>
      <c r="D327" s="465"/>
      <c r="E327" s="554"/>
      <c r="F327" s="465"/>
    </row>
    <row r="328" spans="2:6">
      <c r="B328" s="465"/>
      <c r="C328" s="465"/>
      <c r="D328" s="465"/>
      <c r="E328" s="554"/>
      <c r="F328" s="465"/>
    </row>
    <row r="329" spans="2:6">
      <c r="B329" s="465"/>
      <c r="C329" s="465"/>
      <c r="D329" s="465"/>
      <c r="E329" s="554"/>
      <c r="F329" s="465"/>
    </row>
    <row r="330" spans="2:6">
      <c r="B330" s="465"/>
      <c r="C330" s="465"/>
      <c r="D330" s="465"/>
      <c r="E330" s="554"/>
      <c r="F330" s="465"/>
    </row>
    <row r="331" spans="2:6">
      <c r="B331" s="465"/>
      <c r="C331" s="465"/>
      <c r="D331" s="465"/>
      <c r="E331" s="554"/>
      <c r="F331" s="465"/>
    </row>
    <row r="332" spans="2:6">
      <c r="B332" s="465"/>
      <c r="C332" s="465"/>
      <c r="D332" s="465"/>
      <c r="E332" s="554"/>
      <c r="F332" s="465"/>
    </row>
    <row r="333" spans="2:6">
      <c r="B333" s="465"/>
      <c r="C333" s="465"/>
      <c r="D333" s="465"/>
      <c r="E333" s="554"/>
      <c r="F333" s="465"/>
    </row>
    <row r="334" spans="2:6">
      <c r="B334" s="465"/>
      <c r="C334" s="465"/>
      <c r="D334" s="465"/>
      <c r="E334" s="554"/>
      <c r="F334" s="465"/>
    </row>
    <row r="335" spans="2:6">
      <c r="B335" s="465"/>
      <c r="C335" s="465"/>
      <c r="D335" s="465"/>
      <c r="E335" s="554"/>
      <c r="F335" s="465"/>
    </row>
    <row r="336" spans="2:6">
      <c r="B336" s="465"/>
      <c r="C336" s="465"/>
      <c r="D336" s="465"/>
      <c r="E336" s="554"/>
      <c r="F336" s="465"/>
    </row>
    <row r="337" spans="2:6">
      <c r="B337" s="465"/>
      <c r="C337" s="465"/>
      <c r="D337" s="465"/>
      <c r="E337" s="554"/>
      <c r="F337" s="465"/>
    </row>
    <row r="338" spans="2:6">
      <c r="B338" s="465"/>
      <c r="C338" s="465"/>
      <c r="D338" s="465"/>
      <c r="E338" s="554"/>
      <c r="F338" s="465"/>
    </row>
    <row r="339" spans="2:6">
      <c r="B339" s="465"/>
      <c r="C339" s="465"/>
      <c r="D339" s="465"/>
      <c r="E339" s="554"/>
      <c r="F339" s="465"/>
    </row>
    <row r="340" spans="2:6">
      <c r="B340" s="465"/>
      <c r="C340" s="465"/>
      <c r="D340" s="465"/>
      <c r="E340" s="554"/>
      <c r="F340" s="465"/>
    </row>
    <row r="341" spans="2:6">
      <c r="B341" s="465"/>
      <c r="C341" s="465"/>
      <c r="D341" s="465"/>
      <c r="E341" s="554"/>
      <c r="F341" s="465"/>
    </row>
    <row r="342" spans="2:6">
      <c r="B342" s="465"/>
      <c r="C342" s="465"/>
      <c r="D342" s="465"/>
      <c r="E342" s="554"/>
      <c r="F342" s="465"/>
    </row>
    <row r="343" spans="2:6">
      <c r="B343" s="465"/>
      <c r="C343" s="465"/>
      <c r="D343" s="465"/>
      <c r="E343" s="554"/>
      <c r="F343" s="465"/>
    </row>
    <row r="344" spans="2:6">
      <c r="B344" s="465"/>
      <c r="C344" s="465"/>
      <c r="D344" s="465"/>
      <c r="E344" s="554"/>
      <c r="F344" s="465"/>
    </row>
    <row r="345" spans="2:6">
      <c r="B345" s="465"/>
      <c r="C345" s="465"/>
      <c r="D345" s="465"/>
      <c r="E345" s="554"/>
      <c r="F345" s="465"/>
    </row>
    <row r="346" spans="2:6">
      <c r="B346" s="465"/>
      <c r="C346" s="465"/>
      <c r="D346" s="465"/>
      <c r="E346" s="554"/>
      <c r="F346" s="465"/>
    </row>
    <row r="347" spans="2:6">
      <c r="B347" s="465"/>
      <c r="C347" s="465"/>
      <c r="D347" s="465"/>
      <c r="E347" s="554"/>
      <c r="F347" s="465"/>
    </row>
    <row r="348" spans="2:6">
      <c r="B348" s="465"/>
      <c r="C348" s="465"/>
      <c r="D348" s="465"/>
      <c r="E348" s="554"/>
      <c r="F348" s="465"/>
    </row>
    <row r="349" spans="2:6">
      <c r="B349" s="465"/>
      <c r="C349" s="465"/>
      <c r="D349" s="465"/>
      <c r="E349" s="554"/>
      <c r="F349" s="465"/>
    </row>
    <row r="350" spans="2:6">
      <c r="B350" s="465"/>
      <c r="C350" s="465"/>
      <c r="D350" s="465"/>
      <c r="E350" s="554"/>
      <c r="F350" s="465"/>
    </row>
    <row r="351" spans="2:6">
      <c r="B351" s="465"/>
      <c r="C351" s="465"/>
      <c r="D351" s="465"/>
      <c r="E351" s="554"/>
      <c r="F351" s="465"/>
    </row>
    <row r="352" spans="2:6">
      <c r="B352" s="465"/>
      <c r="C352" s="465"/>
      <c r="D352" s="465"/>
      <c r="E352" s="554"/>
      <c r="F352" s="465"/>
    </row>
    <row r="353" spans="2:6">
      <c r="B353" s="465"/>
      <c r="C353" s="465"/>
      <c r="D353" s="465"/>
      <c r="E353" s="554"/>
      <c r="F353" s="465"/>
    </row>
    <row r="354" spans="2:6">
      <c r="B354" s="465"/>
      <c r="C354" s="465"/>
      <c r="D354" s="465"/>
      <c r="E354" s="554"/>
      <c r="F354" s="465"/>
    </row>
    <row r="355" spans="2:6">
      <c r="B355" s="465"/>
      <c r="C355" s="465"/>
      <c r="D355" s="465"/>
      <c r="E355" s="554"/>
      <c r="F355" s="465"/>
    </row>
    <row r="356" spans="2:6">
      <c r="B356" s="465"/>
      <c r="C356" s="465"/>
      <c r="D356" s="465"/>
      <c r="E356" s="554"/>
      <c r="F356" s="465"/>
    </row>
    <row r="357" spans="2:6">
      <c r="B357" s="465"/>
      <c r="C357" s="465"/>
      <c r="D357" s="465"/>
      <c r="E357" s="554"/>
      <c r="F357" s="465"/>
    </row>
    <row r="358" spans="2:6">
      <c r="B358" s="465"/>
      <c r="C358" s="465"/>
      <c r="D358" s="465"/>
      <c r="E358" s="554"/>
      <c r="F358" s="465"/>
    </row>
    <row r="359" spans="2:6">
      <c r="B359" s="465"/>
      <c r="C359" s="465"/>
      <c r="D359" s="465"/>
      <c r="E359" s="554"/>
      <c r="F359" s="465"/>
    </row>
    <row r="360" spans="2:6">
      <c r="B360" s="465"/>
      <c r="C360" s="465"/>
      <c r="D360" s="465"/>
      <c r="E360" s="554"/>
      <c r="F360" s="465"/>
    </row>
    <row r="361" spans="2:6">
      <c r="B361" s="465"/>
      <c r="C361" s="465"/>
      <c r="D361" s="465"/>
      <c r="E361" s="554"/>
      <c r="F361" s="465"/>
    </row>
    <row r="362" spans="2:6">
      <c r="B362" s="465"/>
      <c r="C362" s="465"/>
      <c r="D362" s="465"/>
      <c r="E362" s="554"/>
      <c r="F362" s="465"/>
    </row>
    <row r="363" spans="2:6">
      <c r="B363" s="465"/>
      <c r="C363" s="465"/>
      <c r="D363" s="465"/>
      <c r="E363" s="554"/>
      <c r="F363" s="465"/>
    </row>
    <row r="364" spans="2:6">
      <c r="B364" s="465"/>
      <c r="C364" s="465"/>
      <c r="D364" s="465"/>
      <c r="E364" s="554"/>
      <c r="F364" s="465"/>
    </row>
    <row r="365" spans="2:6">
      <c r="B365" s="465"/>
      <c r="C365" s="465"/>
      <c r="D365" s="465"/>
      <c r="E365" s="554"/>
      <c r="F365" s="465"/>
    </row>
    <row r="366" spans="2:6">
      <c r="B366" s="465"/>
      <c r="C366" s="465"/>
      <c r="D366" s="465"/>
      <c r="E366" s="554"/>
      <c r="F366" s="465"/>
    </row>
    <row r="367" spans="2:6">
      <c r="B367" s="465"/>
      <c r="C367" s="465"/>
      <c r="D367" s="465"/>
      <c r="E367" s="554"/>
      <c r="F367" s="465"/>
    </row>
    <row r="368" spans="2:6">
      <c r="B368" s="465"/>
      <c r="C368" s="465"/>
      <c r="D368" s="465"/>
      <c r="E368" s="554"/>
      <c r="F368" s="465"/>
    </row>
    <row r="369" spans="2:6">
      <c r="B369" s="465"/>
      <c r="C369" s="465"/>
      <c r="D369" s="465"/>
      <c r="E369" s="554"/>
      <c r="F369" s="465"/>
    </row>
    <row r="370" spans="2:6">
      <c r="B370" s="465"/>
      <c r="C370" s="465"/>
      <c r="D370" s="465"/>
      <c r="E370" s="554"/>
      <c r="F370" s="465"/>
    </row>
    <row r="371" spans="2:6">
      <c r="B371" s="465"/>
      <c r="C371" s="465"/>
      <c r="D371" s="465"/>
      <c r="E371" s="554"/>
      <c r="F371" s="465"/>
    </row>
    <row r="372" spans="2:6">
      <c r="B372" s="465"/>
      <c r="C372" s="465"/>
      <c r="D372" s="465"/>
      <c r="E372" s="554"/>
      <c r="F372" s="465"/>
    </row>
    <row r="373" spans="2:6">
      <c r="B373" s="465"/>
      <c r="C373" s="465"/>
      <c r="D373" s="465"/>
      <c r="E373" s="554"/>
      <c r="F373" s="465"/>
    </row>
    <row r="374" spans="2:6">
      <c r="B374" s="465"/>
      <c r="C374" s="465"/>
      <c r="D374" s="465"/>
      <c r="E374" s="554"/>
      <c r="F374" s="465"/>
    </row>
    <row r="375" spans="2:6">
      <c r="B375" s="465"/>
      <c r="C375" s="465"/>
      <c r="D375" s="465"/>
      <c r="E375" s="554"/>
      <c r="F375" s="465"/>
    </row>
    <row r="376" spans="2:6">
      <c r="B376" s="465"/>
      <c r="C376" s="465"/>
      <c r="D376" s="465"/>
      <c r="E376" s="554"/>
      <c r="F376" s="465"/>
    </row>
    <row r="377" spans="2:6">
      <c r="B377" s="465"/>
      <c r="C377" s="465"/>
      <c r="D377" s="465"/>
      <c r="E377" s="554"/>
      <c r="F377" s="465"/>
    </row>
    <row r="378" spans="2:6">
      <c r="B378" s="465"/>
      <c r="C378" s="465"/>
      <c r="D378" s="465"/>
      <c r="E378" s="554"/>
      <c r="F378" s="465"/>
    </row>
    <row r="379" spans="2:6">
      <c r="B379" s="465"/>
      <c r="C379" s="465"/>
      <c r="D379" s="465"/>
      <c r="E379" s="554"/>
      <c r="F379" s="465"/>
    </row>
    <row r="380" spans="2:6">
      <c r="B380" s="465"/>
      <c r="C380" s="465"/>
      <c r="D380" s="465"/>
      <c r="E380" s="554"/>
      <c r="F380" s="465"/>
    </row>
    <row r="381" spans="2:6">
      <c r="B381" s="465"/>
      <c r="C381" s="465"/>
      <c r="D381" s="465"/>
      <c r="E381" s="554"/>
      <c r="F381" s="465"/>
    </row>
    <row r="382" spans="2:6">
      <c r="B382" s="465"/>
      <c r="C382" s="465"/>
      <c r="D382" s="465"/>
      <c r="E382" s="554"/>
      <c r="F382" s="465"/>
    </row>
    <row r="383" spans="2:6">
      <c r="B383" s="465"/>
      <c r="C383" s="465"/>
      <c r="D383" s="465"/>
      <c r="E383" s="554"/>
      <c r="F383" s="465"/>
    </row>
    <row r="384" spans="2:6">
      <c r="B384" s="465"/>
      <c r="C384" s="465"/>
      <c r="D384" s="465"/>
      <c r="E384" s="554"/>
      <c r="F384" s="465"/>
    </row>
    <row r="385" spans="2:6">
      <c r="B385" s="465"/>
      <c r="C385" s="465"/>
      <c r="D385" s="465"/>
      <c r="E385" s="554"/>
      <c r="F385" s="465"/>
    </row>
    <row r="386" spans="2:6">
      <c r="B386" s="465"/>
      <c r="C386" s="465"/>
      <c r="D386" s="465"/>
      <c r="E386" s="554"/>
      <c r="F386" s="465"/>
    </row>
    <row r="387" spans="2:6">
      <c r="B387" s="465"/>
      <c r="C387" s="465"/>
      <c r="D387" s="465"/>
      <c r="E387" s="554"/>
      <c r="F387" s="465"/>
    </row>
    <row r="388" spans="2:6">
      <c r="B388" s="465"/>
      <c r="C388" s="465"/>
      <c r="D388" s="465"/>
      <c r="E388" s="554"/>
      <c r="F388" s="465"/>
    </row>
    <row r="389" spans="2:6">
      <c r="B389" s="465"/>
      <c r="C389" s="465"/>
      <c r="D389" s="465"/>
      <c r="E389" s="554"/>
      <c r="F389" s="465"/>
    </row>
    <row r="390" spans="2:6">
      <c r="B390" s="465"/>
      <c r="C390" s="465"/>
      <c r="D390" s="465"/>
      <c r="E390" s="554"/>
      <c r="F390" s="465"/>
    </row>
    <row r="391" spans="2:6">
      <c r="B391" s="465"/>
      <c r="C391" s="465"/>
      <c r="D391" s="465"/>
      <c r="E391" s="554"/>
      <c r="F391" s="465"/>
    </row>
    <row r="392" spans="2:6">
      <c r="B392" s="465"/>
      <c r="C392" s="465"/>
      <c r="D392" s="465"/>
      <c r="E392" s="554"/>
      <c r="F392" s="465"/>
    </row>
    <row r="393" spans="2:6">
      <c r="B393" s="465"/>
      <c r="C393" s="465"/>
      <c r="D393" s="465"/>
      <c r="E393" s="554"/>
      <c r="F393" s="465"/>
    </row>
    <row r="394" spans="2:6">
      <c r="B394" s="465"/>
      <c r="C394" s="465"/>
      <c r="D394" s="465"/>
      <c r="E394" s="554"/>
      <c r="F394" s="465"/>
    </row>
    <row r="395" spans="2:6">
      <c r="B395" s="465"/>
      <c r="C395" s="465"/>
      <c r="D395" s="465"/>
      <c r="E395" s="554"/>
      <c r="F395" s="465"/>
    </row>
    <row r="396" spans="2:6">
      <c r="B396" s="465"/>
      <c r="C396" s="465"/>
      <c r="D396" s="465"/>
      <c r="E396" s="554"/>
      <c r="F396" s="465"/>
    </row>
    <row r="397" spans="2:6">
      <c r="B397" s="465"/>
      <c r="C397" s="465"/>
      <c r="D397" s="465"/>
      <c r="E397" s="554"/>
      <c r="F397" s="465"/>
    </row>
    <row r="398" spans="2:6">
      <c r="B398" s="465"/>
      <c r="C398" s="465"/>
      <c r="D398" s="465"/>
      <c r="E398" s="554"/>
      <c r="F398" s="465"/>
    </row>
    <row r="399" spans="2:6">
      <c r="B399" s="465"/>
      <c r="C399" s="465"/>
      <c r="D399" s="465"/>
      <c r="E399" s="554"/>
      <c r="F399" s="465"/>
    </row>
    <row r="400" spans="2:6">
      <c r="B400" s="465"/>
      <c r="C400" s="465"/>
      <c r="D400" s="465"/>
      <c r="E400" s="554"/>
      <c r="F400" s="465"/>
    </row>
    <row r="401" spans="2:6">
      <c r="B401" s="465"/>
      <c r="C401" s="465"/>
      <c r="D401" s="465"/>
      <c r="E401" s="554"/>
      <c r="F401" s="465"/>
    </row>
    <row r="402" spans="2:6">
      <c r="B402" s="465"/>
      <c r="C402" s="465"/>
      <c r="D402" s="465"/>
      <c r="E402" s="554"/>
      <c r="F402" s="465"/>
    </row>
    <row r="403" spans="2:6">
      <c r="B403" s="465"/>
      <c r="C403" s="465"/>
      <c r="D403" s="465"/>
      <c r="E403" s="554"/>
      <c r="F403" s="465"/>
    </row>
    <row r="404" spans="2:6">
      <c r="B404" s="465"/>
      <c r="C404" s="465"/>
      <c r="D404" s="465"/>
      <c r="E404" s="554"/>
      <c r="F404" s="465"/>
    </row>
    <row r="405" spans="2:6">
      <c r="B405" s="465"/>
      <c r="C405" s="465"/>
      <c r="D405" s="465"/>
      <c r="E405" s="554"/>
      <c r="F405" s="465"/>
    </row>
    <row r="406" spans="2:6">
      <c r="B406" s="465"/>
      <c r="C406" s="465"/>
      <c r="D406" s="465"/>
      <c r="E406" s="554"/>
      <c r="F406" s="465"/>
    </row>
    <row r="407" spans="2:6">
      <c r="B407" s="465"/>
      <c r="C407" s="465"/>
      <c r="D407" s="465"/>
      <c r="E407" s="554"/>
      <c r="F407" s="465"/>
    </row>
    <row r="408" spans="2:6">
      <c r="B408" s="465"/>
      <c r="C408" s="465"/>
      <c r="D408" s="465"/>
      <c r="E408" s="554"/>
      <c r="F408" s="465"/>
    </row>
    <row r="409" spans="2:6">
      <c r="B409" s="465"/>
      <c r="C409" s="465"/>
      <c r="D409" s="465"/>
      <c r="E409" s="554"/>
      <c r="F409" s="465"/>
    </row>
    <row r="410" spans="2:6">
      <c r="B410" s="465"/>
      <c r="C410" s="465"/>
      <c r="D410" s="465"/>
      <c r="E410" s="554"/>
      <c r="F410" s="465"/>
    </row>
    <row r="411" spans="2:6">
      <c r="B411" s="465"/>
      <c r="C411" s="465"/>
      <c r="D411" s="465"/>
      <c r="E411" s="554"/>
      <c r="F411" s="465"/>
    </row>
    <row r="412" spans="2:6">
      <c r="B412" s="465"/>
      <c r="C412" s="465"/>
      <c r="D412" s="465"/>
      <c r="E412" s="554"/>
      <c r="F412" s="465"/>
    </row>
    <row r="413" spans="2:6">
      <c r="B413" s="465"/>
      <c r="C413" s="465"/>
      <c r="D413" s="465"/>
      <c r="E413" s="554"/>
      <c r="F413" s="465"/>
    </row>
    <row r="414" spans="2:6">
      <c r="B414" s="465"/>
      <c r="C414" s="465"/>
      <c r="D414" s="465"/>
      <c r="E414" s="554"/>
      <c r="F414" s="465"/>
    </row>
    <row r="415" spans="2:6">
      <c r="B415" s="465"/>
      <c r="C415" s="465"/>
      <c r="D415" s="465"/>
      <c r="E415" s="554"/>
      <c r="F415" s="465"/>
    </row>
    <row r="416" spans="2:6">
      <c r="B416" s="465"/>
      <c r="C416" s="465"/>
      <c r="D416" s="465"/>
      <c r="E416" s="554"/>
      <c r="F416" s="465"/>
    </row>
    <row r="417" spans="2:6">
      <c r="B417" s="465"/>
      <c r="C417" s="465"/>
      <c r="D417" s="465"/>
      <c r="E417" s="554"/>
      <c r="F417" s="465"/>
    </row>
    <row r="418" spans="2:6">
      <c r="B418" s="465"/>
      <c r="C418" s="465"/>
      <c r="D418" s="465"/>
      <c r="E418" s="554"/>
      <c r="F418" s="465"/>
    </row>
    <row r="419" spans="2:6">
      <c r="B419" s="465"/>
      <c r="C419" s="465"/>
      <c r="D419" s="465"/>
      <c r="E419" s="554"/>
      <c r="F419" s="465"/>
    </row>
    <row r="420" spans="2:6">
      <c r="B420" s="465"/>
      <c r="C420" s="465"/>
      <c r="D420" s="465"/>
      <c r="E420" s="554"/>
      <c r="F420" s="465"/>
    </row>
    <row r="421" spans="2:6">
      <c r="B421" s="465"/>
      <c r="C421" s="465"/>
      <c r="D421" s="465"/>
      <c r="E421" s="554"/>
      <c r="F421" s="465"/>
    </row>
    <row r="422" spans="2:6">
      <c r="B422" s="465"/>
      <c r="C422" s="465"/>
      <c r="D422" s="465"/>
      <c r="E422" s="554"/>
      <c r="F422" s="465"/>
    </row>
    <row r="423" spans="2:6">
      <c r="B423" s="465"/>
      <c r="C423" s="465"/>
      <c r="D423" s="465"/>
      <c r="E423" s="554"/>
      <c r="F423" s="465"/>
    </row>
    <row r="424" spans="2:6">
      <c r="B424" s="465"/>
      <c r="C424" s="465"/>
      <c r="D424" s="465"/>
      <c r="E424" s="554"/>
      <c r="F424" s="465"/>
    </row>
    <row r="425" spans="2:6">
      <c r="B425" s="465"/>
      <c r="C425" s="465"/>
      <c r="D425" s="465"/>
      <c r="E425" s="554"/>
      <c r="F425" s="465"/>
    </row>
    <row r="426" spans="2:6">
      <c r="B426" s="465"/>
      <c r="C426" s="465"/>
      <c r="D426" s="465"/>
      <c r="E426" s="554"/>
      <c r="F426" s="465"/>
    </row>
    <row r="427" spans="2:6">
      <c r="B427" s="465"/>
      <c r="C427" s="465"/>
      <c r="D427" s="465"/>
      <c r="E427" s="554"/>
      <c r="F427" s="465"/>
    </row>
    <row r="428" spans="2:6">
      <c r="B428" s="465"/>
      <c r="C428" s="465"/>
      <c r="D428" s="465"/>
      <c r="E428" s="554"/>
      <c r="F428" s="465"/>
    </row>
    <row r="429" spans="2:6">
      <c r="B429" s="465"/>
      <c r="C429" s="465"/>
      <c r="D429" s="465"/>
      <c r="E429" s="554"/>
      <c r="F429" s="465"/>
    </row>
    <row r="430" spans="2:6">
      <c r="B430" s="465"/>
      <c r="C430" s="465"/>
      <c r="D430" s="465"/>
      <c r="E430" s="554"/>
      <c r="F430" s="465"/>
    </row>
    <row r="431" spans="2:6">
      <c r="B431" s="465"/>
      <c r="C431" s="465"/>
      <c r="D431" s="465"/>
      <c r="E431" s="554"/>
      <c r="F431" s="465"/>
    </row>
    <row r="432" spans="2:6">
      <c r="B432" s="465"/>
      <c r="C432" s="465"/>
      <c r="D432" s="465"/>
      <c r="E432" s="554"/>
      <c r="F432" s="465"/>
    </row>
    <row r="433" spans="2:6">
      <c r="B433" s="465"/>
      <c r="C433" s="465"/>
      <c r="D433" s="465"/>
      <c r="E433" s="554"/>
      <c r="F433" s="465"/>
    </row>
    <row r="434" spans="2:6">
      <c r="B434" s="465"/>
      <c r="C434" s="465"/>
      <c r="D434" s="465"/>
      <c r="E434" s="554"/>
      <c r="F434" s="465"/>
    </row>
    <row r="435" spans="2:6">
      <c r="B435" s="465"/>
      <c r="C435" s="465"/>
      <c r="D435" s="465"/>
      <c r="E435" s="554"/>
      <c r="F435" s="465"/>
    </row>
    <row r="436" spans="2:6">
      <c r="B436" s="465"/>
      <c r="C436" s="465"/>
      <c r="D436" s="465"/>
      <c r="E436" s="554"/>
      <c r="F436" s="465"/>
    </row>
    <row r="437" spans="2:6">
      <c r="B437" s="465"/>
      <c r="C437" s="465"/>
      <c r="D437" s="465"/>
      <c r="E437" s="554"/>
      <c r="F437" s="465"/>
    </row>
    <row r="438" spans="2:6">
      <c r="B438" s="465"/>
      <c r="C438" s="465"/>
      <c r="D438" s="465"/>
      <c r="E438" s="554"/>
      <c r="F438" s="465"/>
    </row>
    <row r="439" spans="2:6">
      <c r="B439" s="465"/>
      <c r="C439" s="465"/>
      <c r="D439" s="465"/>
      <c r="E439" s="554"/>
      <c r="F439" s="465"/>
    </row>
    <row r="440" spans="2:6">
      <c r="B440" s="465"/>
      <c r="C440" s="465"/>
      <c r="D440" s="465"/>
      <c r="E440" s="554"/>
      <c r="F440" s="465"/>
    </row>
    <row r="441" spans="2:6">
      <c r="B441" s="465"/>
      <c r="C441" s="465"/>
      <c r="D441" s="465"/>
      <c r="E441" s="554"/>
      <c r="F441" s="465"/>
    </row>
    <row r="442" spans="2:6">
      <c r="B442" s="465"/>
      <c r="C442" s="465"/>
      <c r="D442" s="465"/>
      <c r="E442" s="554"/>
      <c r="F442" s="465"/>
    </row>
    <row r="443" spans="2:6">
      <c r="B443" s="465"/>
      <c r="C443" s="465"/>
      <c r="D443" s="465"/>
      <c r="E443" s="554"/>
      <c r="F443" s="465"/>
    </row>
    <row r="444" spans="2:6">
      <c r="B444" s="465"/>
      <c r="C444" s="465"/>
      <c r="D444" s="465"/>
      <c r="E444" s="554"/>
      <c r="F444" s="465"/>
    </row>
    <row r="445" spans="2:6">
      <c r="B445" s="465"/>
      <c r="C445" s="465"/>
      <c r="D445" s="465"/>
      <c r="E445" s="554"/>
      <c r="F445" s="465"/>
    </row>
    <row r="446" spans="2:6">
      <c r="B446" s="465"/>
      <c r="C446" s="465"/>
      <c r="D446" s="465"/>
      <c r="E446" s="554"/>
      <c r="F446" s="465"/>
    </row>
    <row r="447" spans="2:6">
      <c r="B447" s="465"/>
      <c r="C447" s="465"/>
      <c r="D447" s="465"/>
      <c r="E447" s="554"/>
      <c r="F447" s="465"/>
    </row>
    <row r="448" spans="2:6">
      <c r="B448" s="465"/>
      <c r="C448" s="465"/>
      <c r="D448" s="465"/>
      <c r="E448" s="554"/>
      <c r="F448" s="465"/>
    </row>
    <row r="449" spans="2:6">
      <c r="B449" s="465"/>
      <c r="C449" s="465"/>
      <c r="D449" s="465"/>
      <c r="E449" s="554"/>
      <c r="F449" s="465"/>
    </row>
    <row r="450" spans="2:6">
      <c r="B450" s="465"/>
      <c r="C450" s="465"/>
      <c r="D450" s="465"/>
      <c r="E450" s="554"/>
      <c r="F450" s="465"/>
    </row>
    <row r="451" spans="2:6">
      <c r="B451" s="465"/>
      <c r="C451" s="465"/>
      <c r="D451" s="465"/>
      <c r="E451" s="554"/>
      <c r="F451" s="465"/>
    </row>
    <row r="452" spans="2:6">
      <c r="B452" s="465"/>
      <c r="C452" s="465"/>
      <c r="D452" s="465"/>
      <c r="E452" s="554"/>
      <c r="F452" s="465"/>
    </row>
    <row r="453" spans="2:6">
      <c r="B453" s="465"/>
      <c r="C453" s="465"/>
      <c r="D453" s="465"/>
      <c r="E453" s="554"/>
      <c r="F453" s="465"/>
    </row>
    <row r="454" spans="2:6">
      <c r="B454" s="465"/>
      <c r="C454" s="465"/>
      <c r="D454" s="465"/>
      <c r="E454" s="554"/>
      <c r="F454" s="465"/>
    </row>
    <row r="455" spans="2:6">
      <c r="B455" s="465"/>
      <c r="C455" s="465"/>
      <c r="D455" s="465"/>
      <c r="E455" s="554"/>
      <c r="F455" s="465"/>
    </row>
    <row r="456" spans="2:6">
      <c r="B456" s="465"/>
      <c r="C456" s="465"/>
      <c r="D456" s="465"/>
      <c r="E456" s="554"/>
      <c r="F456" s="465"/>
    </row>
    <row r="457" spans="2:6">
      <c r="B457" s="465"/>
      <c r="C457" s="465"/>
      <c r="D457" s="465"/>
      <c r="E457" s="554"/>
      <c r="F457" s="465"/>
    </row>
    <row r="458" spans="2:6">
      <c r="B458" s="465"/>
      <c r="C458" s="465"/>
      <c r="D458" s="465"/>
      <c r="E458" s="554"/>
      <c r="F458" s="465"/>
    </row>
    <row r="459" spans="2:6">
      <c r="B459" s="465"/>
      <c r="C459" s="465"/>
      <c r="D459" s="465"/>
      <c r="E459" s="554"/>
      <c r="F459" s="465"/>
    </row>
    <row r="460" spans="2:6">
      <c r="B460" s="465"/>
      <c r="C460" s="465"/>
      <c r="D460" s="465"/>
      <c r="E460" s="554"/>
      <c r="F460" s="465"/>
    </row>
    <row r="461" spans="2:6">
      <c r="B461" s="465"/>
      <c r="C461" s="465"/>
      <c r="D461" s="465"/>
      <c r="E461" s="554"/>
      <c r="F461" s="465"/>
    </row>
    <row r="462" spans="2:6">
      <c r="B462" s="465"/>
      <c r="C462" s="465"/>
      <c r="D462" s="465"/>
      <c r="E462" s="554"/>
      <c r="F462" s="465"/>
    </row>
    <row r="463" spans="2:6">
      <c r="B463" s="465"/>
      <c r="C463" s="465"/>
      <c r="D463" s="465"/>
      <c r="E463" s="554"/>
      <c r="F463" s="465"/>
    </row>
    <row r="464" spans="2:6">
      <c r="B464" s="465"/>
      <c r="C464" s="465"/>
      <c r="D464" s="465"/>
      <c r="E464" s="554"/>
      <c r="F464" s="465"/>
    </row>
    <row r="465" spans="2:6">
      <c r="B465" s="465"/>
      <c r="C465" s="465"/>
      <c r="D465" s="465"/>
      <c r="E465" s="554"/>
      <c r="F465" s="465"/>
    </row>
    <row r="466" spans="2:6">
      <c r="B466" s="465"/>
      <c r="C466" s="465"/>
      <c r="D466" s="465"/>
      <c r="E466" s="554"/>
      <c r="F466" s="465"/>
    </row>
    <row r="467" spans="2:6">
      <c r="B467" s="465"/>
      <c r="C467" s="465"/>
      <c r="D467" s="465"/>
      <c r="E467" s="554"/>
      <c r="F467" s="465"/>
    </row>
    <row r="468" spans="2:6">
      <c r="B468" s="465"/>
      <c r="C468" s="465"/>
      <c r="D468" s="465"/>
      <c r="E468" s="554"/>
      <c r="F468" s="465"/>
    </row>
    <row r="469" spans="2:6">
      <c r="B469" s="465"/>
      <c r="C469" s="465"/>
      <c r="D469" s="465"/>
      <c r="E469" s="554"/>
      <c r="F469" s="465"/>
    </row>
    <row r="470" spans="2:6">
      <c r="B470" s="465"/>
      <c r="C470" s="465"/>
      <c r="D470" s="465"/>
      <c r="E470" s="554"/>
      <c r="F470" s="465"/>
    </row>
    <row r="471" spans="2:6">
      <c r="B471" s="465"/>
      <c r="C471" s="465"/>
      <c r="D471" s="465"/>
      <c r="E471" s="554"/>
      <c r="F471" s="465"/>
    </row>
    <row r="472" spans="2:6">
      <c r="B472" s="465"/>
      <c r="C472" s="465"/>
      <c r="D472" s="465"/>
      <c r="E472" s="554"/>
      <c r="F472" s="465"/>
    </row>
    <row r="473" spans="2:6">
      <c r="B473" s="465"/>
      <c r="C473" s="465"/>
      <c r="D473" s="465"/>
      <c r="E473" s="554"/>
      <c r="F473" s="465"/>
    </row>
    <row r="474" spans="2:6">
      <c r="B474" s="465"/>
      <c r="C474" s="465"/>
      <c r="D474" s="465"/>
      <c r="E474" s="554"/>
      <c r="F474" s="465"/>
    </row>
    <row r="475" spans="2:6">
      <c r="B475" s="465"/>
      <c r="C475" s="465"/>
      <c r="D475" s="465"/>
      <c r="E475" s="554"/>
      <c r="F475" s="465"/>
    </row>
    <row r="476" spans="2:6">
      <c r="B476" s="465"/>
      <c r="C476" s="465"/>
      <c r="D476" s="465"/>
      <c r="E476" s="554"/>
      <c r="F476" s="465"/>
    </row>
    <row r="477" spans="2:6">
      <c r="B477" s="465"/>
      <c r="C477" s="465"/>
      <c r="D477" s="465"/>
      <c r="E477" s="554"/>
      <c r="F477" s="465"/>
    </row>
    <row r="478" spans="2:6">
      <c r="B478" s="465"/>
      <c r="C478" s="465"/>
      <c r="D478" s="465"/>
      <c r="E478" s="554"/>
      <c r="F478" s="465"/>
    </row>
    <row r="479" spans="2:6">
      <c r="B479" s="465"/>
      <c r="C479" s="465"/>
      <c r="D479" s="465"/>
      <c r="E479" s="554"/>
      <c r="F479" s="465"/>
    </row>
    <row r="480" spans="2:6">
      <c r="B480" s="465"/>
      <c r="C480" s="465"/>
      <c r="D480" s="465"/>
      <c r="E480" s="554"/>
      <c r="F480" s="465"/>
    </row>
    <row r="481" spans="2:6">
      <c r="B481" s="465"/>
      <c r="C481" s="465"/>
      <c r="D481" s="465"/>
      <c r="E481" s="554"/>
      <c r="F481" s="465"/>
    </row>
    <row r="482" spans="2:6">
      <c r="B482" s="465"/>
      <c r="C482" s="465"/>
      <c r="D482" s="465"/>
      <c r="E482" s="554"/>
      <c r="F482" s="465"/>
    </row>
    <row r="483" spans="2:6">
      <c r="B483" s="465"/>
      <c r="C483" s="465"/>
      <c r="D483" s="465"/>
      <c r="E483" s="554"/>
      <c r="F483" s="465"/>
    </row>
    <row r="484" spans="2:6">
      <c r="B484" s="465"/>
      <c r="C484" s="465"/>
      <c r="D484" s="465"/>
      <c r="E484" s="554"/>
      <c r="F484" s="465"/>
    </row>
    <row r="485" spans="2:6">
      <c r="B485" s="465"/>
      <c r="C485" s="465"/>
      <c r="D485" s="465"/>
      <c r="E485" s="554"/>
      <c r="F485" s="465"/>
    </row>
    <row r="486" spans="2:6">
      <c r="B486" s="465"/>
      <c r="C486" s="465"/>
      <c r="D486" s="465"/>
      <c r="E486" s="554"/>
      <c r="F486" s="465"/>
    </row>
    <row r="487" spans="2:6">
      <c r="B487" s="465"/>
      <c r="C487" s="465"/>
      <c r="D487" s="465"/>
      <c r="E487" s="554"/>
      <c r="F487" s="465"/>
    </row>
    <row r="488" spans="2:6">
      <c r="B488" s="465"/>
      <c r="C488" s="465"/>
      <c r="D488" s="465"/>
      <c r="E488" s="554"/>
      <c r="F488" s="465"/>
    </row>
    <row r="489" spans="2:6">
      <c r="B489" s="465"/>
      <c r="C489" s="465"/>
      <c r="D489" s="465"/>
      <c r="E489" s="554"/>
      <c r="F489" s="465"/>
    </row>
    <row r="490" spans="2:6">
      <c r="B490" s="465"/>
      <c r="C490" s="465"/>
      <c r="D490" s="465"/>
      <c r="E490" s="554"/>
      <c r="F490" s="465"/>
    </row>
    <row r="491" spans="2:6">
      <c r="B491" s="465"/>
      <c r="C491" s="465"/>
      <c r="D491" s="465"/>
      <c r="E491" s="554"/>
      <c r="F491" s="465"/>
    </row>
    <row r="492" spans="2:6">
      <c r="B492" s="465"/>
      <c r="C492" s="465"/>
      <c r="D492" s="465"/>
      <c r="E492" s="554"/>
      <c r="F492" s="465"/>
    </row>
    <row r="493" spans="2:6">
      <c r="B493" s="465"/>
      <c r="C493" s="465"/>
      <c r="D493" s="465"/>
      <c r="E493" s="554"/>
      <c r="F493" s="465"/>
    </row>
    <row r="494" spans="2:6">
      <c r="B494" s="465"/>
      <c r="C494" s="465"/>
      <c r="D494" s="465"/>
      <c r="E494" s="554"/>
      <c r="F494" s="465"/>
    </row>
    <row r="495" spans="2:6">
      <c r="B495" s="465"/>
      <c r="C495" s="465"/>
      <c r="D495" s="465"/>
      <c r="E495" s="554"/>
      <c r="F495" s="465"/>
    </row>
    <row r="496" spans="2:6">
      <c r="B496" s="465"/>
      <c r="C496" s="465"/>
      <c r="D496" s="465"/>
      <c r="E496" s="554"/>
      <c r="F496" s="465"/>
    </row>
    <row r="497" spans="2:6">
      <c r="B497" s="465"/>
      <c r="C497" s="465"/>
      <c r="D497" s="465"/>
      <c r="E497" s="554"/>
      <c r="F497" s="465"/>
    </row>
    <row r="498" spans="2:6">
      <c r="B498" s="465"/>
      <c r="C498" s="465"/>
      <c r="D498" s="465"/>
      <c r="E498" s="554"/>
      <c r="F498" s="465"/>
    </row>
    <row r="499" spans="2:6">
      <c r="B499" s="465"/>
      <c r="C499" s="465"/>
      <c r="D499" s="465"/>
      <c r="E499" s="554"/>
      <c r="F499" s="465"/>
    </row>
    <row r="500" spans="2:6">
      <c r="B500" s="465"/>
      <c r="C500" s="465"/>
      <c r="D500" s="465"/>
      <c r="E500" s="554"/>
      <c r="F500" s="465"/>
    </row>
    <row r="501" spans="2:6">
      <c r="B501" s="465"/>
      <c r="C501" s="465"/>
      <c r="D501" s="465"/>
      <c r="E501" s="554"/>
      <c r="F501" s="465"/>
    </row>
    <row r="502" spans="2:6">
      <c r="B502" s="465"/>
      <c r="C502" s="465"/>
      <c r="D502" s="465"/>
      <c r="E502" s="554"/>
      <c r="F502" s="465"/>
    </row>
    <row r="503" spans="2:6">
      <c r="B503" s="465"/>
      <c r="C503" s="465"/>
      <c r="D503" s="465"/>
      <c r="E503" s="554"/>
      <c r="F503" s="465"/>
    </row>
    <row r="504" spans="2:6">
      <c r="B504" s="465"/>
      <c r="C504" s="465"/>
      <c r="D504" s="465"/>
      <c r="E504" s="554"/>
      <c r="F504" s="465"/>
    </row>
    <row r="505" spans="2:6">
      <c r="B505" s="465"/>
      <c r="C505" s="465"/>
      <c r="D505" s="465"/>
      <c r="E505" s="554"/>
      <c r="F505" s="465"/>
    </row>
    <row r="506" spans="2:6">
      <c r="B506" s="465"/>
      <c r="C506" s="465"/>
      <c r="D506" s="465"/>
      <c r="E506" s="554"/>
      <c r="F506" s="465"/>
    </row>
    <row r="507" spans="2:6">
      <c r="B507" s="465"/>
      <c r="C507" s="465"/>
      <c r="D507" s="465"/>
      <c r="E507" s="554"/>
      <c r="F507" s="465"/>
    </row>
    <row r="508" spans="2:6">
      <c r="B508" s="465"/>
      <c r="C508" s="465"/>
      <c r="D508" s="465"/>
      <c r="E508" s="554"/>
      <c r="F508" s="465"/>
    </row>
    <row r="509" spans="2:6">
      <c r="B509" s="465"/>
      <c r="C509" s="465"/>
      <c r="D509" s="465"/>
      <c r="E509" s="554"/>
      <c r="F509" s="465"/>
    </row>
    <row r="510" spans="2:6">
      <c r="B510" s="465"/>
      <c r="C510" s="465"/>
      <c r="D510" s="465"/>
      <c r="E510" s="554"/>
      <c r="F510" s="465"/>
    </row>
    <row r="511" spans="2:6">
      <c r="B511" s="465"/>
      <c r="C511" s="465"/>
      <c r="D511" s="465"/>
      <c r="E511" s="554"/>
      <c r="F511" s="465"/>
    </row>
    <row r="512" spans="2:6">
      <c r="B512" s="465"/>
      <c r="C512" s="465"/>
      <c r="D512" s="465"/>
      <c r="E512" s="554"/>
      <c r="F512" s="465"/>
    </row>
    <row r="513" spans="2:6">
      <c r="B513" s="465"/>
      <c r="C513" s="465"/>
      <c r="D513" s="465"/>
      <c r="E513" s="554"/>
      <c r="F513" s="465"/>
    </row>
    <row r="514" spans="2:6">
      <c r="B514" s="465"/>
      <c r="C514" s="465"/>
      <c r="D514" s="465"/>
      <c r="E514" s="554"/>
      <c r="F514" s="465"/>
    </row>
    <row r="515" spans="2:6">
      <c r="B515" s="465"/>
      <c r="C515" s="465"/>
      <c r="D515" s="465"/>
      <c r="E515" s="554"/>
      <c r="F515" s="465"/>
    </row>
    <row r="516" spans="2:6">
      <c r="B516" s="465"/>
      <c r="C516" s="465"/>
      <c r="D516" s="465"/>
      <c r="E516" s="554"/>
      <c r="F516" s="465"/>
    </row>
    <row r="517" spans="2:6">
      <c r="B517" s="465"/>
      <c r="C517" s="465"/>
      <c r="D517" s="465"/>
      <c r="E517" s="554"/>
      <c r="F517" s="465"/>
    </row>
    <row r="518" spans="2:6">
      <c r="B518" s="465"/>
      <c r="C518" s="465"/>
      <c r="D518" s="465"/>
      <c r="E518" s="554"/>
      <c r="F518" s="465"/>
    </row>
    <row r="519" spans="2:6">
      <c r="B519" s="465"/>
      <c r="C519" s="465"/>
      <c r="D519" s="465"/>
      <c r="E519" s="554"/>
      <c r="F519" s="465"/>
    </row>
    <row r="520" spans="2:6">
      <c r="B520" s="465"/>
      <c r="C520" s="465"/>
      <c r="D520" s="465"/>
      <c r="E520" s="554"/>
      <c r="F520" s="465"/>
    </row>
    <row r="521" spans="2:6">
      <c r="B521" s="465"/>
      <c r="C521" s="465"/>
      <c r="D521" s="465"/>
      <c r="E521" s="554"/>
      <c r="F521" s="465"/>
    </row>
    <row r="522" spans="2:6">
      <c r="B522" s="465"/>
      <c r="C522" s="465"/>
      <c r="D522" s="465"/>
      <c r="E522" s="554"/>
      <c r="F522" s="465"/>
    </row>
    <row r="523" spans="2:6">
      <c r="B523" s="465"/>
      <c r="C523" s="465"/>
      <c r="D523" s="465"/>
      <c r="E523" s="554"/>
      <c r="F523" s="465"/>
    </row>
    <row r="524" spans="2:6">
      <c r="B524" s="465"/>
      <c r="C524" s="465"/>
      <c r="D524" s="465"/>
      <c r="E524" s="554"/>
      <c r="F524" s="465"/>
    </row>
    <row r="525" spans="2:6">
      <c r="B525" s="465"/>
      <c r="C525" s="465"/>
      <c r="D525" s="465"/>
      <c r="E525" s="554"/>
      <c r="F525" s="465"/>
    </row>
    <row r="526" spans="2:6">
      <c r="B526" s="465"/>
      <c r="C526" s="465"/>
      <c r="D526" s="465"/>
      <c r="E526" s="554"/>
      <c r="F526" s="465"/>
    </row>
    <row r="527" spans="2:6">
      <c r="B527" s="465"/>
      <c r="C527" s="465"/>
      <c r="D527" s="465"/>
      <c r="E527" s="554"/>
      <c r="F527" s="465"/>
    </row>
    <row r="528" spans="2:6">
      <c r="B528" s="465"/>
      <c r="C528" s="465"/>
      <c r="D528" s="465"/>
      <c r="E528" s="554"/>
      <c r="F528" s="465"/>
    </row>
    <row r="529" spans="2:6">
      <c r="B529" s="465"/>
      <c r="C529" s="465"/>
      <c r="D529" s="465"/>
      <c r="E529" s="554"/>
      <c r="F529" s="465"/>
    </row>
    <row r="530" spans="2:6">
      <c r="B530" s="465"/>
      <c r="C530" s="465"/>
      <c r="D530" s="465"/>
      <c r="E530" s="554"/>
      <c r="F530" s="465"/>
    </row>
    <row r="531" spans="2:6">
      <c r="B531" s="465"/>
      <c r="C531" s="465"/>
      <c r="D531" s="465"/>
      <c r="E531" s="554"/>
      <c r="F531" s="465"/>
    </row>
    <row r="532" spans="2:6">
      <c r="B532" s="465"/>
      <c r="C532" s="465"/>
      <c r="D532" s="465"/>
      <c r="E532" s="554"/>
      <c r="F532" s="465"/>
    </row>
    <row r="533" spans="2:6">
      <c r="B533" s="465"/>
      <c r="C533" s="465"/>
      <c r="D533" s="465"/>
      <c r="E533" s="554"/>
      <c r="F533" s="465"/>
    </row>
    <row r="534" spans="2:6">
      <c r="B534" s="465"/>
      <c r="C534" s="465"/>
      <c r="D534" s="465"/>
      <c r="E534" s="554"/>
      <c r="F534" s="465"/>
    </row>
    <row r="535" spans="2:6">
      <c r="B535" s="465"/>
      <c r="C535" s="465"/>
      <c r="D535" s="465"/>
      <c r="E535" s="554"/>
      <c r="F535" s="465"/>
    </row>
    <row r="536" spans="2:6">
      <c r="B536" s="465"/>
      <c r="C536" s="465"/>
      <c r="D536" s="465"/>
      <c r="E536" s="554"/>
      <c r="F536" s="465"/>
    </row>
    <row r="537" spans="2:6">
      <c r="B537" s="465"/>
      <c r="C537" s="465"/>
      <c r="D537" s="465"/>
      <c r="E537" s="554"/>
      <c r="F537" s="465"/>
    </row>
    <row r="538" spans="2:6">
      <c r="B538" s="465"/>
      <c r="C538" s="465"/>
      <c r="D538" s="465"/>
      <c r="E538" s="554"/>
      <c r="F538" s="465"/>
    </row>
    <row r="539" spans="2:6">
      <c r="B539" s="465"/>
      <c r="C539" s="465"/>
      <c r="D539" s="465"/>
      <c r="E539" s="554"/>
      <c r="F539" s="465"/>
    </row>
    <row r="540" spans="2:6">
      <c r="B540" s="465"/>
      <c r="C540" s="465"/>
      <c r="D540" s="465"/>
      <c r="E540" s="554"/>
      <c r="F540" s="465"/>
    </row>
    <row r="541" spans="2:6">
      <c r="B541" s="465"/>
      <c r="C541" s="465"/>
      <c r="D541" s="465"/>
      <c r="E541" s="554"/>
      <c r="F541" s="465"/>
    </row>
    <row r="542" spans="2:6">
      <c r="B542" s="465"/>
      <c r="C542" s="465"/>
      <c r="D542" s="465"/>
      <c r="E542" s="554"/>
      <c r="F542" s="465"/>
    </row>
    <row r="543" spans="2:6">
      <c r="B543" s="465"/>
      <c r="C543" s="465"/>
      <c r="D543" s="465"/>
      <c r="E543" s="554"/>
      <c r="F543" s="465"/>
    </row>
    <row r="544" spans="2:6">
      <c r="B544" s="465"/>
      <c r="C544" s="465"/>
      <c r="D544" s="465"/>
      <c r="E544" s="554"/>
      <c r="F544" s="465"/>
    </row>
    <row r="545" spans="2:6">
      <c r="B545" s="465"/>
      <c r="C545" s="465"/>
      <c r="D545" s="465"/>
      <c r="E545" s="554"/>
      <c r="F545" s="465"/>
    </row>
    <row r="546" spans="2:6">
      <c r="B546" s="465"/>
      <c r="C546" s="465"/>
      <c r="D546" s="465"/>
      <c r="E546" s="554"/>
      <c r="F546" s="465"/>
    </row>
    <row r="547" spans="2:6">
      <c r="B547" s="465"/>
      <c r="C547" s="465"/>
      <c r="D547" s="465"/>
      <c r="E547" s="554"/>
      <c r="F547" s="465"/>
    </row>
    <row r="548" spans="2:6">
      <c r="B548" s="465"/>
      <c r="C548" s="465"/>
      <c r="D548" s="465"/>
      <c r="E548" s="554"/>
      <c r="F548" s="465"/>
    </row>
    <row r="549" spans="2:6">
      <c r="B549" s="465"/>
      <c r="C549" s="465"/>
      <c r="D549" s="465"/>
      <c r="E549" s="554"/>
      <c r="F549" s="465"/>
    </row>
    <row r="550" spans="2:6">
      <c r="B550" s="465"/>
      <c r="C550" s="465"/>
      <c r="D550" s="465"/>
      <c r="E550" s="554"/>
      <c r="F550" s="465"/>
    </row>
    <row r="551" spans="2:6">
      <c r="B551" s="465"/>
      <c r="C551" s="465"/>
      <c r="D551" s="465"/>
      <c r="E551" s="554"/>
      <c r="F551" s="465"/>
    </row>
    <row r="552" spans="2:6">
      <c r="B552" s="465"/>
      <c r="C552" s="465"/>
      <c r="D552" s="465"/>
      <c r="E552" s="554"/>
      <c r="F552" s="465"/>
    </row>
    <row r="553" spans="2:6">
      <c r="B553" s="465"/>
      <c r="C553" s="465"/>
      <c r="D553" s="465"/>
      <c r="E553" s="554"/>
      <c r="F553" s="465"/>
    </row>
    <row r="554" spans="2:6">
      <c r="B554" s="465"/>
      <c r="C554" s="465"/>
      <c r="D554" s="465"/>
      <c r="E554" s="554"/>
      <c r="F554" s="465"/>
    </row>
    <row r="555" spans="2:6">
      <c r="B555" s="465"/>
      <c r="C555" s="465"/>
      <c r="D555" s="465"/>
      <c r="E555" s="554"/>
      <c r="F555" s="465"/>
    </row>
    <row r="556" spans="2:6">
      <c r="B556" s="465"/>
      <c r="C556" s="465"/>
      <c r="D556" s="465"/>
      <c r="E556" s="554"/>
      <c r="F556" s="465"/>
    </row>
    <row r="557" spans="2:6">
      <c r="B557" s="465"/>
      <c r="C557" s="465"/>
      <c r="D557" s="465"/>
      <c r="E557" s="554"/>
      <c r="F557" s="465"/>
    </row>
    <row r="558" spans="2:6">
      <c r="B558" s="465"/>
      <c r="C558" s="465"/>
      <c r="D558" s="465"/>
      <c r="E558" s="554"/>
      <c r="F558" s="465"/>
    </row>
    <row r="559" spans="2:6">
      <c r="B559" s="465"/>
      <c r="C559" s="465"/>
      <c r="D559" s="465"/>
      <c r="E559" s="554"/>
      <c r="F559" s="465"/>
    </row>
    <row r="560" spans="2:6">
      <c r="B560" s="465"/>
      <c r="C560" s="465"/>
      <c r="D560" s="465"/>
      <c r="E560" s="554"/>
      <c r="F560" s="465"/>
    </row>
    <row r="561" spans="2:6">
      <c r="B561" s="465"/>
      <c r="C561" s="465"/>
      <c r="D561" s="465"/>
      <c r="E561" s="554"/>
      <c r="F561" s="465"/>
    </row>
    <row r="562" spans="2:6">
      <c r="B562" s="465"/>
      <c r="C562" s="465"/>
      <c r="D562" s="465"/>
      <c r="E562" s="554"/>
      <c r="F562" s="465"/>
    </row>
    <row r="563" spans="2:6">
      <c r="B563" s="465"/>
      <c r="C563" s="465"/>
      <c r="D563" s="465"/>
      <c r="E563" s="554"/>
      <c r="F563" s="465"/>
    </row>
    <row r="564" spans="2:6">
      <c r="B564" s="465"/>
      <c r="C564" s="465"/>
      <c r="D564" s="465"/>
      <c r="E564" s="554"/>
      <c r="F564" s="465"/>
    </row>
    <row r="565" spans="2:6">
      <c r="B565" s="465"/>
      <c r="C565" s="465"/>
      <c r="D565" s="465"/>
      <c r="E565" s="554"/>
      <c r="F565" s="465"/>
    </row>
    <row r="566" spans="2:6">
      <c r="B566" s="465"/>
      <c r="C566" s="465"/>
      <c r="D566" s="465"/>
      <c r="E566" s="554"/>
      <c r="F566" s="465"/>
    </row>
    <row r="567" spans="2:6">
      <c r="B567" s="465"/>
      <c r="C567" s="465"/>
      <c r="D567" s="465"/>
      <c r="E567" s="554"/>
      <c r="F567" s="465"/>
    </row>
    <row r="568" spans="2:6">
      <c r="B568" s="465"/>
      <c r="C568" s="465"/>
      <c r="D568" s="465"/>
      <c r="E568" s="554"/>
      <c r="F568" s="465"/>
    </row>
    <row r="569" spans="2:6">
      <c r="B569" s="465"/>
      <c r="C569" s="465"/>
      <c r="D569" s="465"/>
      <c r="E569" s="554"/>
      <c r="F569" s="465"/>
    </row>
    <row r="570" spans="2:6">
      <c r="B570" s="465"/>
      <c r="C570" s="465"/>
      <c r="D570" s="465"/>
      <c r="E570" s="554"/>
      <c r="F570" s="465"/>
    </row>
    <row r="571" spans="2:6">
      <c r="B571" s="465"/>
      <c r="C571" s="465"/>
      <c r="D571" s="465"/>
      <c r="E571" s="554"/>
      <c r="F571" s="465"/>
    </row>
    <row r="572" spans="2:6">
      <c r="B572" s="465"/>
      <c r="C572" s="465"/>
      <c r="D572" s="465"/>
      <c r="E572" s="554"/>
      <c r="F572" s="465"/>
    </row>
    <row r="573" spans="2:6">
      <c r="B573" s="465"/>
      <c r="C573" s="465"/>
      <c r="D573" s="465"/>
      <c r="E573" s="554"/>
      <c r="F573" s="465"/>
    </row>
    <row r="574" spans="2:6">
      <c r="B574" s="465"/>
      <c r="C574" s="465"/>
      <c r="D574" s="465"/>
      <c r="E574" s="554"/>
      <c r="F574" s="465"/>
    </row>
    <row r="575" spans="2:6">
      <c r="B575" s="465"/>
      <c r="C575" s="465"/>
      <c r="D575" s="465"/>
      <c r="E575" s="554"/>
      <c r="F575" s="465"/>
    </row>
    <row r="576" spans="2:6">
      <c r="B576" s="465"/>
      <c r="C576" s="465"/>
      <c r="D576" s="465"/>
      <c r="E576" s="554"/>
      <c r="F576" s="465"/>
    </row>
    <row r="577" spans="2:6">
      <c r="B577" s="465"/>
      <c r="C577" s="465"/>
      <c r="D577" s="465"/>
      <c r="E577" s="554"/>
      <c r="F577" s="465"/>
    </row>
    <row r="578" spans="2:6">
      <c r="B578" s="465"/>
      <c r="C578" s="465"/>
      <c r="D578" s="465"/>
      <c r="E578" s="554"/>
      <c r="F578" s="465"/>
    </row>
    <row r="579" spans="2:6">
      <c r="B579" s="465"/>
      <c r="C579" s="465"/>
      <c r="D579" s="465"/>
      <c r="E579" s="554"/>
      <c r="F579" s="465"/>
    </row>
    <row r="580" spans="2:6">
      <c r="B580" s="465"/>
      <c r="C580" s="465"/>
      <c r="D580" s="465"/>
      <c r="E580" s="554"/>
      <c r="F580" s="465"/>
    </row>
    <row r="581" spans="2:6">
      <c r="B581" s="465"/>
      <c r="C581" s="465"/>
      <c r="D581" s="465"/>
      <c r="E581" s="554"/>
      <c r="F581" s="465"/>
    </row>
    <row r="582" spans="2:6">
      <c r="B582" s="465"/>
      <c r="C582" s="465"/>
      <c r="D582" s="465"/>
      <c r="E582" s="554"/>
      <c r="F582" s="465"/>
    </row>
    <row r="583" spans="2:6">
      <c r="B583" s="465"/>
      <c r="C583" s="465"/>
      <c r="D583" s="465"/>
      <c r="E583" s="554"/>
      <c r="F583" s="465"/>
    </row>
    <row r="584" spans="2:6">
      <c r="B584" s="465"/>
      <c r="C584" s="465"/>
      <c r="D584" s="465"/>
      <c r="E584" s="554"/>
      <c r="F584" s="465"/>
    </row>
    <row r="585" spans="2:6">
      <c r="B585" s="465"/>
      <c r="C585" s="465"/>
      <c r="D585" s="465"/>
      <c r="E585" s="554"/>
      <c r="F585" s="465"/>
    </row>
    <row r="586" spans="2:6">
      <c r="B586" s="465"/>
      <c r="C586" s="465"/>
      <c r="D586" s="465"/>
      <c r="E586" s="554"/>
      <c r="F586" s="465"/>
    </row>
    <row r="587" spans="2:6">
      <c r="B587" s="465"/>
      <c r="C587" s="465"/>
      <c r="D587" s="465"/>
      <c r="E587" s="554"/>
      <c r="F587" s="465"/>
    </row>
    <row r="588" spans="2:6">
      <c r="B588" s="465"/>
      <c r="C588" s="465"/>
      <c r="D588" s="465"/>
      <c r="E588" s="554"/>
      <c r="F588" s="465"/>
    </row>
    <row r="589" spans="2:6">
      <c r="B589" s="465"/>
      <c r="C589" s="465"/>
      <c r="D589" s="465"/>
      <c r="E589" s="554"/>
      <c r="F589" s="465"/>
    </row>
    <row r="590" spans="2:6">
      <c r="B590" s="465"/>
      <c r="C590" s="465"/>
      <c r="D590" s="465"/>
      <c r="E590" s="554"/>
      <c r="F590" s="465"/>
    </row>
    <row r="591" spans="2:6">
      <c r="B591" s="465"/>
      <c r="C591" s="465"/>
      <c r="D591" s="465"/>
      <c r="E591" s="554"/>
      <c r="F591" s="465"/>
    </row>
    <row r="592" spans="2:6">
      <c r="B592" s="465"/>
      <c r="C592" s="465"/>
      <c r="D592" s="465"/>
      <c r="E592" s="554"/>
      <c r="F592" s="465"/>
    </row>
    <row r="593" spans="2:6">
      <c r="B593" s="465"/>
      <c r="C593" s="465"/>
      <c r="D593" s="465"/>
      <c r="E593" s="554"/>
      <c r="F593" s="465"/>
    </row>
    <row r="594" spans="2:6">
      <c r="B594" s="465"/>
      <c r="C594" s="465"/>
      <c r="D594" s="465"/>
      <c r="E594" s="554"/>
      <c r="F594" s="465"/>
    </row>
    <row r="595" spans="2:6">
      <c r="B595" s="465"/>
      <c r="C595" s="465"/>
      <c r="D595" s="465"/>
      <c r="E595" s="554"/>
      <c r="F595" s="465"/>
    </row>
    <row r="596" spans="2:6">
      <c r="B596" s="465"/>
      <c r="C596" s="465"/>
      <c r="D596" s="465"/>
      <c r="E596" s="554"/>
      <c r="F596" s="465"/>
    </row>
    <row r="597" spans="2:6">
      <c r="B597" s="465"/>
      <c r="C597" s="465"/>
      <c r="D597" s="465"/>
      <c r="E597" s="554"/>
      <c r="F597" s="465"/>
    </row>
    <row r="598" spans="2:6">
      <c r="B598" s="465"/>
      <c r="C598" s="465"/>
      <c r="D598" s="465"/>
      <c r="E598" s="554"/>
      <c r="F598" s="465"/>
    </row>
    <row r="599" spans="2:6">
      <c r="B599" s="465"/>
      <c r="C599" s="465"/>
      <c r="D599" s="465"/>
      <c r="E599" s="554"/>
      <c r="F599" s="465"/>
    </row>
    <row r="600" spans="2:6">
      <c r="B600" s="465"/>
      <c r="C600" s="465"/>
      <c r="D600" s="465"/>
      <c r="E600" s="554"/>
      <c r="F600" s="465"/>
    </row>
    <row r="601" spans="2:6">
      <c r="B601" s="465"/>
      <c r="C601" s="465"/>
      <c r="D601" s="465"/>
      <c r="E601" s="554"/>
      <c r="F601" s="465"/>
    </row>
    <row r="602" spans="2:6">
      <c r="B602" s="465"/>
      <c r="C602" s="465"/>
      <c r="D602" s="465"/>
      <c r="E602" s="554"/>
      <c r="F602" s="465"/>
    </row>
    <row r="603" spans="2:6">
      <c r="B603" s="465"/>
      <c r="C603" s="465"/>
      <c r="D603" s="465"/>
      <c r="E603" s="554"/>
      <c r="F603" s="465"/>
    </row>
    <row r="604" spans="2:6">
      <c r="B604" s="465"/>
      <c r="C604" s="465"/>
      <c r="D604" s="465"/>
      <c r="E604" s="554"/>
      <c r="F604" s="465"/>
    </row>
    <row r="605" spans="2:6">
      <c r="B605" s="465"/>
      <c r="C605" s="465"/>
      <c r="D605" s="465"/>
      <c r="E605" s="554"/>
      <c r="F605" s="465"/>
    </row>
    <row r="606" spans="2:6">
      <c r="B606" s="465"/>
      <c r="C606" s="465"/>
      <c r="D606" s="465"/>
      <c r="E606" s="554"/>
      <c r="F606" s="465"/>
    </row>
    <row r="607" spans="2:6">
      <c r="B607" s="465"/>
      <c r="C607" s="465"/>
      <c r="D607" s="465"/>
      <c r="E607" s="554"/>
      <c r="F607" s="465"/>
    </row>
    <row r="608" spans="2:6">
      <c r="B608" s="465"/>
      <c r="C608" s="465"/>
      <c r="D608" s="465"/>
      <c r="E608" s="554"/>
      <c r="F608" s="465"/>
    </row>
    <row r="609" spans="2:6">
      <c r="B609" s="465"/>
      <c r="C609" s="465"/>
      <c r="D609" s="465"/>
      <c r="E609" s="554"/>
      <c r="F609" s="465"/>
    </row>
    <row r="610" spans="2:6">
      <c r="B610" s="465"/>
      <c r="C610" s="465"/>
      <c r="D610" s="465"/>
      <c r="E610" s="554"/>
      <c r="F610" s="465"/>
    </row>
    <row r="611" spans="2:6">
      <c r="B611" s="465"/>
      <c r="C611" s="465"/>
      <c r="D611" s="465"/>
      <c r="E611" s="554"/>
      <c r="F611" s="465"/>
    </row>
    <row r="612" spans="2:6">
      <c r="B612" s="465"/>
      <c r="C612" s="465"/>
      <c r="D612" s="465"/>
      <c r="E612" s="554"/>
      <c r="F612" s="465"/>
    </row>
    <row r="613" spans="2:6">
      <c r="B613" s="465"/>
      <c r="C613" s="465"/>
      <c r="D613" s="465"/>
      <c r="E613" s="554"/>
      <c r="F613" s="465"/>
    </row>
    <row r="614" spans="2:6">
      <c r="B614" s="465"/>
      <c r="C614" s="465"/>
      <c r="D614" s="465"/>
      <c r="E614" s="554"/>
      <c r="F614" s="465"/>
    </row>
    <row r="615" spans="2:6">
      <c r="B615" s="465"/>
      <c r="C615" s="465"/>
      <c r="D615" s="465"/>
      <c r="E615" s="554"/>
      <c r="F615" s="465"/>
    </row>
    <row r="616" spans="2:6">
      <c r="B616" s="465"/>
      <c r="C616" s="465"/>
      <c r="D616" s="465"/>
      <c r="E616" s="554"/>
      <c r="F616" s="465"/>
    </row>
    <row r="617" spans="2:6">
      <c r="B617" s="465"/>
      <c r="C617" s="465"/>
      <c r="D617" s="465"/>
      <c r="E617" s="554"/>
      <c r="F617" s="465"/>
    </row>
    <row r="618" spans="2:6">
      <c r="B618" s="465"/>
      <c r="C618" s="465"/>
      <c r="D618" s="465"/>
      <c r="E618" s="554"/>
      <c r="F618" s="465"/>
    </row>
    <row r="619" spans="2:6">
      <c r="B619" s="465"/>
      <c r="C619" s="465"/>
      <c r="D619" s="465"/>
      <c r="E619" s="554"/>
      <c r="F619" s="465"/>
    </row>
    <row r="620" spans="2:6">
      <c r="B620" s="465"/>
      <c r="C620" s="465"/>
      <c r="D620" s="465"/>
      <c r="E620" s="554"/>
      <c r="F620" s="465"/>
    </row>
    <row r="621" spans="2:6">
      <c r="B621" s="465"/>
      <c r="C621" s="465"/>
      <c r="D621" s="465"/>
      <c r="E621" s="554"/>
      <c r="F621" s="465"/>
    </row>
    <row r="622" spans="2:6">
      <c r="B622" s="465"/>
      <c r="C622" s="465"/>
      <c r="D622" s="465"/>
      <c r="E622" s="554"/>
      <c r="F622" s="465"/>
    </row>
    <row r="623" spans="2:6">
      <c r="B623" s="465"/>
      <c r="C623" s="465"/>
      <c r="D623" s="465"/>
      <c r="E623" s="554"/>
      <c r="F623" s="465"/>
    </row>
    <row r="624" spans="2:6">
      <c r="B624" s="465"/>
      <c r="C624" s="465"/>
      <c r="D624" s="465"/>
      <c r="E624" s="554"/>
      <c r="F624" s="465"/>
    </row>
    <row r="625" spans="2:6">
      <c r="B625" s="465"/>
      <c r="C625" s="465"/>
      <c r="D625" s="465"/>
      <c r="E625" s="554"/>
      <c r="F625" s="465"/>
    </row>
    <row r="626" spans="2:6">
      <c r="B626" s="465"/>
      <c r="C626" s="465"/>
      <c r="D626" s="465"/>
      <c r="E626" s="554"/>
      <c r="F626" s="465"/>
    </row>
    <row r="627" spans="2:6">
      <c r="B627" s="465"/>
      <c r="C627" s="465"/>
      <c r="D627" s="465"/>
      <c r="E627" s="554"/>
      <c r="F627" s="465"/>
    </row>
    <row r="628" spans="2:6">
      <c r="B628" s="465"/>
      <c r="C628" s="465"/>
      <c r="D628" s="465"/>
      <c r="E628" s="554"/>
      <c r="F628" s="465"/>
    </row>
    <row r="629" spans="2:6">
      <c r="B629" s="465"/>
      <c r="C629" s="465"/>
      <c r="D629" s="465"/>
      <c r="E629" s="554"/>
      <c r="F629" s="465"/>
    </row>
    <row r="630" spans="2:6">
      <c r="B630" s="465"/>
      <c r="C630" s="465"/>
      <c r="D630" s="465"/>
      <c r="E630" s="554"/>
      <c r="F630" s="465"/>
    </row>
    <row r="631" spans="2:6">
      <c r="B631" s="465"/>
      <c r="C631" s="465"/>
      <c r="D631" s="465"/>
      <c r="E631" s="554"/>
      <c r="F631" s="465"/>
    </row>
    <row r="632" spans="2:6">
      <c r="B632" s="465"/>
      <c r="C632" s="465"/>
      <c r="D632" s="465"/>
      <c r="E632" s="554"/>
      <c r="F632" s="465"/>
    </row>
    <row r="633" spans="2:6">
      <c r="B633" s="465"/>
      <c r="C633" s="465"/>
      <c r="D633" s="465"/>
      <c r="E633" s="554"/>
      <c r="F633" s="465"/>
    </row>
    <row r="634" spans="2:6">
      <c r="B634" s="465"/>
      <c r="C634" s="465"/>
      <c r="D634" s="465"/>
      <c r="E634" s="554"/>
      <c r="F634" s="465"/>
    </row>
    <row r="635" spans="2:6">
      <c r="B635" s="465"/>
      <c r="C635" s="465"/>
      <c r="D635" s="465"/>
      <c r="E635" s="554"/>
      <c r="F635" s="465"/>
    </row>
    <row r="636" spans="2:6">
      <c r="B636" s="465"/>
      <c r="C636" s="465"/>
      <c r="D636" s="465"/>
      <c r="E636" s="554"/>
      <c r="F636" s="465"/>
    </row>
    <row r="637" spans="2:6">
      <c r="B637" s="465"/>
      <c r="C637" s="465"/>
      <c r="D637" s="465"/>
      <c r="E637" s="554"/>
      <c r="F637" s="465"/>
    </row>
    <row r="638" spans="2:6">
      <c r="B638" s="465"/>
      <c r="C638" s="465"/>
      <c r="D638" s="465"/>
      <c r="E638" s="554"/>
      <c r="F638" s="465"/>
    </row>
    <row r="639" spans="2:6">
      <c r="B639" s="465"/>
      <c r="C639" s="465"/>
      <c r="D639" s="465"/>
      <c r="E639" s="554"/>
      <c r="F639" s="465"/>
    </row>
    <row r="640" spans="2:6">
      <c r="B640" s="465"/>
      <c r="C640" s="465"/>
      <c r="D640" s="465"/>
      <c r="E640" s="554"/>
      <c r="F640" s="465"/>
    </row>
    <row r="641" spans="2:6">
      <c r="B641" s="465"/>
      <c r="C641" s="465"/>
      <c r="D641" s="465"/>
      <c r="E641" s="554"/>
      <c r="F641" s="465"/>
    </row>
    <row r="642" spans="2:6">
      <c r="B642" s="465"/>
      <c r="C642" s="465"/>
      <c r="D642" s="465"/>
      <c r="E642" s="554"/>
      <c r="F642" s="465"/>
    </row>
    <row r="643" spans="2:6">
      <c r="B643" s="465"/>
      <c r="C643" s="465"/>
      <c r="D643" s="465"/>
      <c r="E643" s="554"/>
      <c r="F643" s="465"/>
    </row>
    <row r="644" spans="2:6">
      <c r="B644" s="465"/>
      <c r="C644" s="465"/>
      <c r="D644" s="465"/>
      <c r="E644" s="554"/>
      <c r="F644" s="465"/>
    </row>
    <row r="645" spans="2:6">
      <c r="B645" s="465"/>
      <c r="C645" s="465"/>
      <c r="D645" s="465"/>
      <c r="E645" s="554"/>
      <c r="F645" s="465"/>
    </row>
    <row r="646" spans="2:6">
      <c r="B646" s="465"/>
      <c r="C646" s="465"/>
      <c r="D646" s="465"/>
      <c r="E646" s="554"/>
      <c r="F646" s="465"/>
    </row>
    <row r="647" spans="2:6">
      <c r="B647" s="465"/>
      <c r="C647" s="465"/>
      <c r="D647" s="465"/>
      <c r="E647" s="554"/>
      <c r="F647" s="465"/>
    </row>
    <row r="648" spans="2:6">
      <c r="B648" s="465"/>
      <c r="C648" s="465"/>
      <c r="D648" s="465"/>
      <c r="E648" s="554"/>
      <c r="F648" s="465"/>
    </row>
    <row r="649" spans="2:6">
      <c r="B649" s="465"/>
      <c r="C649" s="465"/>
      <c r="D649" s="465"/>
      <c r="E649" s="554"/>
      <c r="F649" s="465"/>
    </row>
    <row r="650" spans="2:6">
      <c r="B650" s="465"/>
      <c r="C650" s="465"/>
      <c r="D650" s="465"/>
      <c r="E650" s="554"/>
      <c r="F650" s="465"/>
    </row>
    <row r="651" spans="2:6">
      <c r="B651" s="465"/>
      <c r="C651" s="465"/>
      <c r="D651" s="465"/>
      <c r="E651" s="554"/>
      <c r="F651" s="465"/>
    </row>
    <row r="652" spans="2:6">
      <c r="B652" s="465"/>
      <c r="C652" s="465"/>
      <c r="D652" s="465"/>
      <c r="E652" s="554"/>
      <c r="F652" s="465"/>
    </row>
    <row r="653" spans="2:6">
      <c r="B653" s="465"/>
      <c r="C653" s="465"/>
      <c r="D653" s="465"/>
      <c r="E653" s="554"/>
      <c r="F653" s="465"/>
    </row>
    <row r="654" spans="2:6">
      <c r="B654" s="465"/>
      <c r="C654" s="465"/>
      <c r="D654" s="465"/>
      <c r="E654" s="554"/>
      <c r="F654" s="465"/>
    </row>
    <row r="655" spans="2:6">
      <c r="B655" s="465"/>
      <c r="C655" s="465"/>
      <c r="D655" s="465"/>
      <c r="E655" s="554"/>
      <c r="F655" s="465"/>
    </row>
    <row r="656" spans="2:6">
      <c r="B656" s="465"/>
      <c r="C656" s="465"/>
      <c r="D656" s="465"/>
      <c r="E656" s="554"/>
      <c r="F656" s="465"/>
    </row>
    <row r="657" spans="2:6">
      <c r="B657" s="465"/>
      <c r="C657" s="465"/>
      <c r="D657" s="465"/>
      <c r="E657" s="554"/>
      <c r="F657" s="465"/>
    </row>
    <row r="658" spans="2:6">
      <c r="B658" s="465"/>
      <c r="C658" s="465"/>
      <c r="D658" s="465"/>
      <c r="E658" s="554"/>
      <c r="F658" s="465"/>
    </row>
    <row r="659" spans="2:6">
      <c r="B659" s="465"/>
      <c r="C659" s="465"/>
      <c r="D659" s="465"/>
      <c r="E659" s="554"/>
      <c r="F659" s="465"/>
    </row>
    <row r="660" spans="2:6">
      <c r="B660" s="465"/>
      <c r="C660" s="465"/>
      <c r="D660" s="465"/>
      <c r="E660" s="554"/>
      <c r="F660" s="465"/>
    </row>
    <row r="661" spans="2:6">
      <c r="B661" s="465"/>
      <c r="C661" s="465"/>
      <c r="D661" s="465"/>
      <c r="E661" s="554"/>
      <c r="F661" s="465"/>
    </row>
    <row r="662" spans="2:6">
      <c r="B662" s="465"/>
      <c r="C662" s="465"/>
      <c r="D662" s="465"/>
      <c r="E662" s="554"/>
      <c r="F662" s="465"/>
    </row>
    <row r="663" spans="2:6">
      <c r="B663" s="465"/>
      <c r="C663" s="465"/>
      <c r="D663" s="465"/>
      <c r="E663" s="554"/>
      <c r="F663" s="465"/>
    </row>
    <row r="664" spans="2:6">
      <c r="B664" s="465"/>
      <c r="C664" s="465"/>
      <c r="D664" s="465"/>
      <c r="E664" s="554"/>
      <c r="F664" s="465"/>
    </row>
    <row r="665" spans="2:6">
      <c r="B665" s="465"/>
      <c r="C665" s="465"/>
      <c r="D665" s="465"/>
      <c r="E665" s="554"/>
      <c r="F665" s="465"/>
    </row>
    <row r="666" spans="2:6">
      <c r="B666" s="465"/>
      <c r="C666" s="465"/>
      <c r="D666" s="465"/>
      <c r="E666" s="554"/>
      <c r="F666" s="465"/>
    </row>
    <row r="667" spans="2:6">
      <c r="B667" s="465"/>
      <c r="C667" s="465"/>
      <c r="D667" s="465"/>
      <c r="E667" s="554"/>
      <c r="F667" s="465"/>
    </row>
    <row r="668" spans="2:6">
      <c r="B668" s="465"/>
      <c r="C668" s="465"/>
      <c r="D668" s="465"/>
      <c r="E668" s="554"/>
      <c r="F668" s="465"/>
    </row>
    <row r="669" spans="2:6">
      <c r="B669" s="465"/>
      <c r="C669" s="465"/>
      <c r="D669" s="465"/>
      <c r="E669" s="554"/>
      <c r="F669" s="465"/>
    </row>
    <row r="670" spans="2:6">
      <c r="B670" s="465"/>
      <c r="C670" s="465"/>
      <c r="D670" s="465"/>
      <c r="E670" s="554"/>
      <c r="F670" s="465"/>
    </row>
    <row r="671" spans="2:6">
      <c r="B671" s="465"/>
      <c r="C671" s="465"/>
      <c r="D671" s="465"/>
      <c r="E671" s="554"/>
      <c r="F671" s="465"/>
    </row>
    <row r="672" spans="2:6">
      <c r="B672" s="465"/>
      <c r="C672" s="465"/>
      <c r="D672" s="465"/>
      <c r="E672" s="554"/>
      <c r="F672" s="465"/>
    </row>
    <row r="673" spans="2:6">
      <c r="B673" s="465"/>
      <c r="C673" s="465"/>
      <c r="D673" s="465"/>
      <c r="E673" s="554"/>
      <c r="F673" s="465"/>
    </row>
    <row r="674" spans="2:6">
      <c r="B674" s="465"/>
      <c r="C674" s="465"/>
      <c r="D674" s="465"/>
      <c r="E674" s="554"/>
      <c r="F674" s="465"/>
    </row>
    <row r="675" spans="2:6">
      <c r="B675" s="465"/>
      <c r="C675" s="465"/>
      <c r="D675" s="465"/>
      <c r="E675" s="554"/>
      <c r="F675" s="465"/>
    </row>
    <row r="676" spans="2:6">
      <c r="B676" s="465"/>
      <c r="C676" s="465"/>
      <c r="D676" s="465"/>
      <c r="E676" s="554"/>
      <c r="F676" s="465"/>
    </row>
    <row r="677" spans="2:6">
      <c r="B677" s="465"/>
      <c r="C677" s="465"/>
      <c r="D677" s="465"/>
      <c r="E677" s="554"/>
      <c r="F677" s="465"/>
    </row>
    <row r="678" spans="2:6">
      <c r="B678" s="465"/>
      <c r="C678" s="465"/>
      <c r="D678" s="465"/>
      <c r="E678" s="554"/>
      <c r="F678" s="465"/>
    </row>
    <row r="679" spans="2:6">
      <c r="B679" s="465"/>
      <c r="C679" s="465"/>
      <c r="D679" s="465"/>
      <c r="E679" s="554"/>
      <c r="F679" s="465"/>
    </row>
    <row r="680" spans="2:6">
      <c r="B680" s="465"/>
      <c r="C680" s="465"/>
      <c r="D680" s="465"/>
      <c r="E680" s="554"/>
      <c r="F680" s="465"/>
    </row>
    <row r="681" spans="2:6">
      <c r="B681" s="465"/>
      <c r="C681" s="465"/>
      <c r="D681" s="465"/>
      <c r="E681" s="554"/>
      <c r="F681" s="465"/>
    </row>
    <row r="682" spans="2:6">
      <c r="B682" s="465"/>
      <c r="C682" s="465"/>
      <c r="D682" s="465"/>
      <c r="E682" s="554"/>
      <c r="F682" s="465"/>
    </row>
    <row r="683" spans="2:6">
      <c r="B683" s="465"/>
      <c r="C683" s="465"/>
      <c r="D683" s="465"/>
      <c r="E683" s="554"/>
      <c r="F683" s="465"/>
    </row>
    <row r="684" spans="2:6">
      <c r="B684" s="465"/>
      <c r="C684" s="465"/>
      <c r="D684" s="465"/>
      <c r="E684" s="554"/>
      <c r="F684" s="465"/>
    </row>
    <row r="685" spans="2:6">
      <c r="B685" s="465"/>
      <c r="C685" s="465"/>
      <c r="D685" s="465"/>
      <c r="E685" s="554"/>
      <c r="F685" s="465"/>
    </row>
    <row r="686" spans="2:6">
      <c r="B686" s="465"/>
      <c r="C686" s="465"/>
      <c r="D686" s="465"/>
      <c r="E686" s="554"/>
      <c r="F686" s="465"/>
    </row>
    <row r="687" spans="2:6">
      <c r="B687" s="465"/>
      <c r="C687" s="465"/>
      <c r="D687" s="465"/>
      <c r="E687" s="554"/>
      <c r="F687" s="465"/>
    </row>
    <row r="688" spans="2:6">
      <c r="B688" s="465"/>
      <c r="C688" s="465"/>
      <c r="D688" s="465"/>
      <c r="E688" s="554"/>
      <c r="F688" s="465"/>
    </row>
    <row r="689" spans="2:6">
      <c r="B689" s="465"/>
      <c r="C689" s="465"/>
      <c r="D689" s="465"/>
      <c r="E689" s="554"/>
      <c r="F689" s="465"/>
    </row>
    <row r="690" spans="2:6">
      <c r="B690" s="465"/>
      <c r="C690" s="465"/>
      <c r="D690" s="465"/>
      <c r="E690" s="554"/>
      <c r="F690" s="465"/>
    </row>
    <row r="691" spans="2:6">
      <c r="B691" s="465"/>
      <c r="C691" s="465"/>
      <c r="D691" s="465"/>
      <c r="E691" s="554"/>
      <c r="F691" s="465"/>
    </row>
    <row r="692" spans="2:6">
      <c r="B692" s="465"/>
      <c r="C692" s="465"/>
      <c r="D692" s="465"/>
      <c r="E692" s="554"/>
      <c r="F692" s="465"/>
    </row>
    <row r="693" spans="2:6">
      <c r="B693" s="465"/>
      <c r="C693" s="465"/>
      <c r="D693" s="465"/>
      <c r="E693" s="554"/>
      <c r="F693" s="465"/>
    </row>
    <row r="694" spans="2:6">
      <c r="B694" s="465"/>
      <c r="C694" s="465"/>
      <c r="D694" s="465"/>
      <c r="E694" s="554"/>
      <c r="F694" s="465"/>
    </row>
    <row r="695" spans="2:6">
      <c r="B695" s="465"/>
      <c r="C695" s="465"/>
      <c r="D695" s="465"/>
      <c r="E695" s="554"/>
      <c r="F695" s="465"/>
    </row>
    <row r="696" spans="2:6">
      <c r="B696" s="465"/>
      <c r="C696" s="465"/>
      <c r="D696" s="465"/>
      <c r="E696" s="554"/>
      <c r="F696" s="465"/>
    </row>
    <row r="697" spans="2:6">
      <c r="B697" s="465"/>
      <c r="C697" s="465"/>
      <c r="D697" s="465"/>
      <c r="E697" s="554"/>
      <c r="F697" s="465"/>
    </row>
    <row r="698" spans="2:6">
      <c r="B698" s="465"/>
      <c r="C698" s="465"/>
      <c r="D698" s="465"/>
      <c r="E698" s="554"/>
      <c r="F698" s="465"/>
    </row>
    <row r="699" spans="2:6">
      <c r="B699" s="465"/>
      <c r="C699" s="465"/>
      <c r="D699" s="465"/>
      <c r="E699" s="554"/>
      <c r="F699" s="465"/>
    </row>
    <row r="700" spans="2:6">
      <c r="B700" s="465"/>
      <c r="C700" s="465"/>
      <c r="D700" s="465"/>
      <c r="E700" s="554"/>
      <c r="F700" s="465"/>
    </row>
    <row r="701" spans="2:6">
      <c r="B701" s="465"/>
      <c r="C701" s="465"/>
      <c r="D701" s="465"/>
      <c r="E701" s="554"/>
      <c r="F701" s="465"/>
    </row>
    <row r="702" spans="2:6">
      <c r="B702" s="465"/>
      <c r="C702" s="465"/>
      <c r="D702" s="465"/>
      <c r="E702" s="554"/>
      <c r="F702" s="465"/>
    </row>
    <row r="703" spans="2:6">
      <c r="B703" s="465"/>
      <c r="C703" s="465"/>
      <c r="D703" s="465"/>
      <c r="E703" s="554"/>
      <c r="F703" s="465"/>
    </row>
    <row r="704" spans="2:6">
      <c r="B704" s="465"/>
      <c r="C704" s="465"/>
      <c r="D704" s="465"/>
      <c r="E704" s="554"/>
      <c r="F704" s="465"/>
    </row>
    <row r="705" spans="2:6">
      <c r="B705" s="465"/>
      <c r="C705" s="465"/>
      <c r="D705" s="465"/>
      <c r="E705" s="554"/>
      <c r="F705" s="465"/>
    </row>
    <row r="706" spans="2:6">
      <c r="B706" s="465"/>
      <c r="C706" s="465"/>
      <c r="D706" s="465"/>
      <c r="E706" s="554"/>
      <c r="F706" s="465"/>
    </row>
    <row r="707" spans="2:6">
      <c r="B707" s="465"/>
      <c r="C707" s="465"/>
      <c r="D707" s="465"/>
      <c r="E707" s="554"/>
      <c r="F707" s="465"/>
    </row>
    <row r="708" spans="2:6">
      <c r="B708" s="465"/>
      <c r="C708" s="465"/>
      <c r="D708" s="465"/>
      <c r="E708" s="554"/>
      <c r="F708" s="465"/>
    </row>
    <row r="709" spans="2:6">
      <c r="B709" s="465"/>
      <c r="C709" s="465"/>
      <c r="D709" s="465"/>
      <c r="E709" s="554"/>
      <c r="F709" s="465"/>
    </row>
    <row r="710" spans="2:6">
      <c r="B710" s="465"/>
      <c r="C710" s="465"/>
      <c r="D710" s="465"/>
      <c r="E710" s="554"/>
      <c r="F710" s="465"/>
    </row>
    <row r="711" spans="2:6">
      <c r="B711" s="465"/>
      <c r="C711" s="465"/>
      <c r="D711" s="465"/>
      <c r="E711" s="554"/>
      <c r="F711" s="465"/>
    </row>
    <row r="712" spans="2:6">
      <c r="B712" s="465"/>
      <c r="C712" s="465"/>
      <c r="D712" s="465"/>
      <c r="E712" s="554"/>
      <c r="F712" s="465"/>
    </row>
    <row r="713" spans="2:6">
      <c r="B713" s="465"/>
      <c r="C713" s="465"/>
      <c r="D713" s="465"/>
      <c r="E713" s="554"/>
      <c r="F713" s="465"/>
    </row>
    <row r="714" spans="2:6">
      <c r="B714" s="465"/>
      <c r="C714" s="465"/>
      <c r="D714" s="465"/>
      <c r="E714" s="554"/>
      <c r="F714" s="465"/>
    </row>
    <row r="715" spans="2:6">
      <c r="B715" s="465"/>
      <c r="C715" s="465"/>
      <c r="D715" s="465"/>
      <c r="E715" s="554"/>
      <c r="F715" s="465"/>
    </row>
    <row r="716" spans="2:6">
      <c r="B716" s="465"/>
      <c r="C716" s="465"/>
      <c r="D716" s="465"/>
      <c r="E716" s="554"/>
      <c r="F716" s="465"/>
    </row>
    <row r="717" spans="2:6">
      <c r="B717" s="465"/>
      <c r="C717" s="465"/>
      <c r="D717" s="465"/>
      <c r="E717" s="554"/>
      <c r="F717" s="465"/>
    </row>
    <row r="718" spans="2:6">
      <c r="B718" s="465"/>
      <c r="C718" s="465"/>
      <c r="D718" s="465"/>
      <c r="E718" s="554"/>
      <c r="F718" s="465"/>
    </row>
    <row r="719" spans="2:6">
      <c r="B719" s="465"/>
      <c r="C719" s="465"/>
      <c r="D719" s="465"/>
      <c r="E719" s="554"/>
      <c r="F719" s="465"/>
    </row>
    <row r="720" spans="2:6">
      <c r="B720" s="465"/>
      <c r="C720" s="465"/>
      <c r="D720" s="465"/>
      <c r="E720" s="554"/>
      <c r="F720" s="465"/>
    </row>
    <row r="721" spans="2:6">
      <c r="B721" s="465"/>
      <c r="C721" s="465"/>
      <c r="D721" s="465"/>
      <c r="E721" s="554"/>
      <c r="F721" s="465"/>
    </row>
    <row r="722" spans="2:6">
      <c r="B722" s="465"/>
      <c r="C722" s="465"/>
      <c r="D722" s="465"/>
      <c r="E722" s="554"/>
      <c r="F722" s="465"/>
    </row>
    <row r="723" spans="2:6">
      <c r="B723" s="465"/>
      <c r="C723" s="465"/>
      <c r="D723" s="465"/>
      <c r="E723" s="554"/>
      <c r="F723" s="465"/>
    </row>
    <row r="724" spans="2:6">
      <c r="B724" s="465"/>
      <c r="C724" s="465"/>
      <c r="D724" s="465"/>
      <c r="E724" s="554"/>
      <c r="F724" s="465"/>
    </row>
    <row r="725" spans="2:6">
      <c r="B725" s="465"/>
      <c r="C725" s="465"/>
      <c r="D725" s="465"/>
      <c r="E725" s="554"/>
      <c r="F725" s="465"/>
    </row>
    <row r="726" spans="2:6">
      <c r="B726" s="465"/>
      <c r="C726" s="465"/>
      <c r="D726" s="465"/>
      <c r="E726" s="554"/>
      <c r="F726" s="465"/>
    </row>
    <row r="727" spans="2:6">
      <c r="B727" s="465"/>
      <c r="C727" s="465"/>
      <c r="D727" s="465"/>
      <c r="E727" s="554"/>
      <c r="F727" s="465"/>
    </row>
    <row r="728" spans="2:6">
      <c r="B728" s="465"/>
      <c r="C728" s="465"/>
      <c r="D728" s="465"/>
      <c r="E728" s="554"/>
      <c r="F728" s="465"/>
    </row>
    <row r="729" spans="2:6">
      <c r="B729" s="465"/>
      <c r="C729" s="465"/>
      <c r="D729" s="465"/>
      <c r="E729" s="554"/>
      <c r="F729" s="465"/>
    </row>
    <row r="730" spans="2:6">
      <c r="B730" s="465"/>
      <c r="C730" s="465"/>
      <c r="D730" s="465"/>
      <c r="E730" s="554"/>
      <c r="F730" s="465"/>
    </row>
    <row r="731" spans="2:6">
      <c r="B731" s="465"/>
      <c r="C731" s="465"/>
      <c r="D731" s="465"/>
      <c r="E731" s="554"/>
      <c r="F731" s="465"/>
    </row>
    <row r="732" spans="2:6">
      <c r="B732" s="465"/>
      <c r="C732" s="465"/>
      <c r="D732" s="465"/>
      <c r="E732" s="554"/>
      <c r="F732" s="465"/>
    </row>
    <row r="733" spans="2:6">
      <c r="B733" s="465"/>
      <c r="C733" s="465"/>
      <c r="D733" s="465"/>
      <c r="E733" s="554"/>
      <c r="F733" s="465"/>
    </row>
    <row r="734" spans="2:6">
      <c r="B734" s="465"/>
      <c r="C734" s="465"/>
      <c r="D734" s="465"/>
      <c r="E734" s="554"/>
      <c r="F734" s="465"/>
    </row>
    <row r="735" spans="2:6">
      <c r="B735" s="465"/>
      <c r="C735" s="465"/>
      <c r="D735" s="465"/>
      <c r="E735" s="554"/>
      <c r="F735" s="465"/>
    </row>
    <row r="736" spans="2:6">
      <c r="B736" s="465"/>
      <c r="C736" s="465"/>
      <c r="D736" s="465"/>
      <c r="E736" s="554"/>
      <c r="F736" s="465"/>
    </row>
    <row r="737" spans="2:6">
      <c r="B737" s="465"/>
      <c r="C737" s="465"/>
      <c r="D737" s="465"/>
      <c r="E737" s="554"/>
      <c r="F737" s="465"/>
    </row>
    <row r="738" spans="2:6">
      <c r="B738" s="465"/>
      <c r="C738" s="465"/>
      <c r="D738" s="465"/>
      <c r="E738" s="554"/>
      <c r="F738" s="465"/>
    </row>
    <row r="739" spans="2:6">
      <c r="B739" s="465"/>
      <c r="C739" s="465"/>
      <c r="D739" s="465"/>
      <c r="E739" s="554"/>
      <c r="F739" s="465"/>
    </row>
    <row r="740" spans="2:6">
      <c r="B740" s="465"/>
      <c r="C740" s="465"/>
      <c r="D740" s="465"/>
      <c r="E740" s="554"/>
      <c r="F740" s="465"/>
    </row>
    <row r="741" spans="2:6">
      <c r="B741" s="465"/>
      <c r="C741" s="465"/>
      <c r="D741" s="465"/>
      <c r="E741" s="554"/>
      <c r="F741" s="465"/>
    </row>
    <row r="742" spans="2:6">
      <c r="B742" s="465"/>
      <c r="C742" s="465"/>
      <c r="D742" s="465"/>
      <c r="E742" s="554"/>
      <c r="F742" s="465"/>
    </row>
    <row r="743" spans="2:6">
      <c r="B743" s="465"/>
      <c r="C743" s="465"/>
      <c r="D743" s="465"/>
      <c r="E743" s="554"/>
      <c r="F743" s="465"/>
    </row>
    <row r="744" spans="2:6">
      <c r="B744" s="465"/>
      <c r="C744" s="465"/>
      <c r="D744" s="465"/>
      <c r="E744" s="554"/>
      <c r="F744" s="465"/>
    </row>
    <row r="745" spans="2:6">
      <c r="B745" s="465"/>
      <c r="C745" s="465"/>
      <c r="D745" s="465"/>
      <c r="E745" s="554"/>
      <c r="F745" s="465"/>
    </row>
    <row r="746" spans="2:6">
      <c r="B746" s="465"/>
      <c r="C746" s="465"/>
      <c r="D746" s="465"/>
      <c r="E746" s="554"/>
      <c r="F746" s="465"/>
    </row>
    <row r="747" spans="2:6">
      <c r="B747" s="465"/>
      <c r="C747" s="465"/>
      <c r="D747" s="465"/>
      <c r="E747" s="554"/>
      <c r="F747" s="465"/>
    </row>
    <row r="748" spans="2:6">
      <c r="B748" s="465"/>
      <c r="C748" s="465"/>
      <c r="D748" s="465"/>
      <c r="E748" s="554"/>
      <c r="F748" s="465"/>
    </row>
    <row r="749" spans="2:6">
      <c r="B749" s="465"/>
      <c r="C749" s="465"/>
      <c r="D749" s="465"/>
      <c r="E749" s="554"/>
      <c r="F749" s="465"/>
    </row>
    <row r="750" spans="2:6">
      <c r="B750" s="465"/>
      <c r="C750" s="465"/>
      <c r="D750" s="465"/>
      <c r="E750" s="554"/>
      <c r="F750" s="465"/>
    </row>
    <row r="751" spans="2:6">
      <c r="B751" s="465"/>
      <c r="C751" s="465"/>
      <c r="D751" s="465"/>
      <c r="E751" s="554"/>
      <c r="F751" s="465"/>
    </row>
    <row r="752" spans="2:6">
      <c r="B752" s="465"/>
      <c r="C752" s="465"/>
      <c r="D752" s="465"/>
      <c r="E752" s="554"/>
      <c r="F752" s="465"/>
    </row>
    <row r="753" spans="2:6">
      <c r="B753" s="465"/>
      <c r="C753" s="465"/>
      <c r="D753" s="465"/>
      <c r="E753" s="554"/>
      <c r="F753" s="465"/>
    </row>
    <row r="754" spans="2:6">
      <c r="B754" s="465"/>
      <c r="C754" s="465"/>
      <c r="D754" s="465"/>
      <c r="E754" s="554"/>
      <c r="F754" s="465"/>
    </row>
    <row r="755" spans="2:6">
      <c r="B755" s="465"/>
      <c r="C755" s="465"/>
      <c r="D755" s="465"/>
      <c r="E755" s="554"/>
      <c r="F755" s="465"/>
    </row>
    <row r="756" spans="2:6">
      <c r="B756" s="465"/>
      <c r="C756" s="465"/>
      <c r="D756" s="465"/>
      <c r="E756" s="554"/>
      <c r="F756" s="465"/>
    </row>
    <row r="757" spans="2:6">
      <c r="B757" s="465"/>
      <c r="C757" s="465"/>
      <c r="D757" s="465"/>
      <c r="E757" s="554"/>
      <c r="F757" s="465"/>
    </row>
    <row r="758" spans="2:6">
      <c r="B758" s="465"/>
      <c r="C758" s="465"/>
      <c r="D758" s="465"/>
      <c r="E758" s="554"/>
      <c r="F758" s="465"/>
    </row>
    <row r="759" spans="2:6">
      <c r="B759" s="465"/>
      <c r="C759" s="465"/>
      <c r="D759" s="465"/>
      <c r="E759" s="554"/>
      <c r="F759" s="465"/>
    </row>
    <row r="760" spans="2:6">
      <c r="B760" s="465"/>
      <c r="C760" s="465"/>
      <c r="D760" s="465"/>
      <c r="E760" s="554"/>
      <c r="F760" s="465"/>
    </row>
    <row r="761" spans="2:6">
      <c r="B761" s="465"/>
      <c r="C761" s="465"/>
      <c r="D761" s="465"/>
      <c r="E761" s="554"/>
      <c r="F761" s="465"/>
    </row>
    <row r="762" spans="2:6">
      <c r="B762" s="465"/>
      <c r="C762" s="465"/>
      <c r="D762" s="465"/>
      <c r="E762" s="554"/>
      <c r="F762" s="465"/>
    </row>
    <row r="763" spans="2:6">
      <c r="B763" s="465"/>
      <c r="C763" s="465"/>
      <c r="D763" s="465"/>
      <c r="E763" s="554"/>
      <c r="F763" s="465"/>
    </row>
    <row r="764" spans="2:6">
      <c r="B764" s="465"/>
      <c r="C764" s="465"/>
      <c r="D764" s="465"/>
      <c r="E764" s="554"/>
      <c r="F764" s="465"/>
    </row>
    <row r="765" spans="2:6">
      <c r="B765" s="465"/>
      <c r="C765" s="465"/>
      <c r="D765" s="465"/>
      <c r="E765" s="554"/>
      <c r="F765" s="465"/>
    </row>
    <row r="766" spans="2:6">
      <c r="B766" s="465"/>
      <c r="C766" s="465"/>
      <c r="D766" s="465"/>
      <c r="E766" s="554"/>
      <c r="F766" s="465"/>
    </row>
    <row r="767" spans="2:6">
      <c r="B767" s="465"/>
      <c r="C767" s="465"/>
      <c r="D767" s="465"/>
      <c r="E767" s="554"/>
      <c r="F767" s="465"/>
    </row>
    <row r="768" spans="2:6">
      <c r="B768" s="465"/>
      <c r="C768" s="465"/>
      <c r="D768" s="465"/>
      <c r="E768" s="554"/>
      <c r="F768" s="465"/>
    </row>
    <row r="769" spans="2:6">
      <c r="B769" s="465"/>
      <c r="C769" s="465"/>
      <c r="D769" s="465"/>
      <c r="E769" s="554"/>
      <c r="F769" s="465"/>
    </row>
    <row r="770" spans="2:6">
      <c r="B770" s="465"/>
      <c r="C770" s="465"/>
      <c r="D770" s="465"/>
      <c r="E770" s="554"/>
      <c r="F770" s="465"/>
    </row>
    <row r="771" spans="2:6">
      <c r="B771" s="465"/>
      <c r="C771" s="465"/>
      <c r="D771" s="465"/>
      <c r="E771" s="554"/>
      <c r="F771" s="465"/>
    </row>
    <row r="772" spans="2:6">
      <c r="B772" s="465"/>
      <c r="C772" s="465"/>
      <c r="D772" s="465"/>
      <c r="E772" s="554"/>
      <c r="F772" s="465"/>
    </row>
    <row r="773" spans="2:6">
      <c r="B773" s="465"/>
      <c r="C773" s="465"/>
      <c r="D773" s="465"/>
      <c r="E773" s="554"/>
      <c r="F773" s="465"/>
    </row>
    <row r="774" spans="2:6">
      <c r="B774" s="465"/>
      <c r="C774" s="465"/>
      <c r="D774" s="465"/>
      <c r="E774" s="554"/>
      <c r="F774" s="465"/>
    </row>
    <row r="775" spans="2:6">
      <c r="B775" s="465"/>
      <c r="C775" s="465"/>
      <c r="D775" s="465"/>
      <c r="E775" s="554"/>
      <c r="F775" s="465"/>
    </row>
    <row r="776" spans="2:6">
      <c r="B776" s="465"/>
      <c r="C776" s="465"/>
      <c r="D776" s="465"/>
      <c r="E776" s="554"/>
      <c r="F776" s="465"/>
    </row>
    <row r="777" spans="2:6">
      <c r="B777" s="465"/>
      <c r="C777" s="465"/>
      <c r="D777" s="465"/>
      <c r="E777" s="554"/>
      <c r="F777" s="465"/>
    </row>
    <row r="778" spans="2:6">
      <c r="B778" s="465"/>
      <c r="C778" s="465"/>
      <c r="D778" s="465"/>
      <c r="E778" s="554"/>
      <c r="F778" s="465"/>
    </row>
    <row r="779" spans="2:6">
      <c r="B779" s="465"/>
      <c r="C779" s="465"/>
      <c r="D779" s="465"/>
      <c r="E779" s="554"/>
      <c r="F779" s="465"/>
    </row>
    <row r="780" spans="2:6">
      <c r="B780" s="465"/>
      <c r="C780" s="465"/>
      <c r="D780" s="465"/>
      <c r="E780" s="554"/>
      <c r="F780" s="465"/>
    </row>
    <row r="781" spans="2:6">
      <c r="B781" s="465"/>
      <c r="C781" s="465"/>
      <c r="D781" s="465"/>
      <c r="E781" s="554"/>
      <c r="F781" s="465"/>
    </row>
    <row r="782" spans="2:6">
      <c r="B782" s="465"/>
      <c r="C782" s="465"/>
      <c r="D782" s="465"/>
      <c r="E782" s="554"/>
      <c r="F782" s="465"/>
    </row>
    <row r="783" spans="2:6">
      <c r="B783" s="465"/>
      <c r="C783" s="465"/>
      <c r="D783" s="465"/>
      <c r="E783" s="554"/>
      <c r="F783" s="465"/>
    </row>
    <row r="784" spans="2:6">
      <c r="B784" s="465"/>
      <c r="C784" s="465"/>
      <c r="D784" s="465"/>
      <c r="E784" s="554"/>
      <c r="F784" s="465"/>
    </row>
    <row r="785" spans="2:6">
      <c r="B785" s="465"/>
      <c r="C785" s="465"/>
      <c r="D785" s="465"/>
      <c r="E785" s="554"/>
      <c r="F785" s="465"/>
    </row>
    <row r="786" spans="2:6">
      <c r="B786" s="465"/>
      <c r="C786" s="465"/>
      <c r="D786" s="465"/>
      <c r="E786" s="554"/>
      <c r="F786" s="465"/>
    </row>
    <row r="787" spans="2:6">
      <c r="B787" s="465"/>
      <c r="C787" s="465"/>
      <c r="D787" s="465"/>
      <c r="E787" s="554"/>
      <c r="F787" s="465"/>
    </row>
    <row r="788" spans="2:6">
      <c r="B788" s="465"/>
      <c r="C788" s="465"/>
      <c r="D788" s="465"/>
      <c r="E788" s="554"/>
      <c r="F788" s="465"/>
    </row>
    <row r="789" spans="2:6">
      <c r="B789" s="465"/>
      <c r="C789" s="465"/>
      <c r="D789" s="465"/>
      <c r="E789" s="554"/>
      <c r="F789" s="465"/>
    </row>
    <row r="790" spans="2:6">
      <c r="B790" s="465"/>
      <c r="C790" s="465"/>
      <c r="D790" s="465"/>
      <c r="E790" s="554"/>
      <c r="F790" s="465"/>
    </row>
    <row r="791" spans="2:6">
      <c r="B791" s="465"/>
      <c r="C791" s="465"/>
      <c r="D791" s="465"/>
      <c r="E791" s="554"/>
      <c r="F791" s="465"/>
    </row>
    <row r="792" spans="2:6">
      <c r="B792" s="465"/>
      <c r="C792" s="465"/>
      <c r="D792" s="465"/>
      <c r="E792" s="554"/>
      <c r="F792" s="465"/>
    </row>
    <row r="793" spans="2:6">
      <c r="B793" s="465"/>
      <c r="C793" s="465"/>
      <c r="D793" s="465"/>
      <c r="E793" s="554"/>
      <c r="F793" s="465"/>
    </row>
    <row r="794" spans="2:6">
      <c r="B794" s="465"/>
      <c r="C794" s="465"/>
      <c r="D794" s="465"/>
      <c r="E794" s="554"/>
      <c r="F794" s="465"/>
    </row>
    <row r="795" spans="2:6">
      <c r="B795" s="465"/>
      <c r="C795" s="465"/>
      <c r="D795" s="465"/>
      <c r="E795" s="554"/>
      <c r="F795" s="465"/>
    </row>
    <row r="796" spans="2:6">
      <c r="B796" s="465"/>
      <c r="C796" s="465"/>
      <c r="D796" s="465"/>
      <c r="E796" s="554"/>
      <c r="F796" s="465"/>
    </row>
    <row r="797" spans="2:6">
      <c r="B797" s="465"/>
      <c r="C797" s="465"/>
      <c r="D797" s="465"/>
      <c r="E797" s="554"/>
      <c r="F797" s="465"/>
    </row>
    <row r="798" spans="2:6">
      <c r="B798" s="465"/>
      <c r="C798" s="465"/>
      <c r="D798" s="465"/>
      <c r="E798" s="554"/>
      <c r="F798" s="465"/>
    </row>
    <row r="799" spans="2:6">
      <c r="B799" s="465"/>
      <c r="C799" s="465"/>
      <c r="D799" s="465"/>
      <c r="E799" s="554"/>
      <c r="F799" s="465"/>
    </row>
    <row r="800" spans="2:6">
      <c r="B800" s="465"/>
      <c r="C800" s="465"/>
      <c r="D800" s="465"/>
      <c r="E800" s="554"/>
      <c r="F800" s="465"/>
    </row>
    <row r="801" spans="2:6">
      <c r="B801" s="465"/>
      <c r="C801" s="465"/>
      <c r="D801" s="465"/>
      <c r="E801" s="554"/>
      <c r="F801" s="465"/>
    </row>
    <row r="802" spans="2:6">
      <c r="B802" s="465"/>
      <c r="C802" s="465"/>
      <c r="D802" s="465"/>
      <c r="E802" s="554"/>
      <c r="F802" s="465"/>
    </row>
    <row r="803" spans="2:6">
      <c r="B803" s="465"/>
      <c r="C803" s="465"/>
      <c r="D803" s="465"/>
      <c r="E803" s="554"/>
      <c r="F803" s="465"/>
    </row>
    <row r="804" spans="2:6">
      <c r="B804" s="465"/>
      <c r="C804" s="465"/>
      <c r="D804" s="465"/>
      <c r="E804" s="554"/>
      <c r="F804" s="465"/>
    </row>
    <row r="805" spans="2:6">
      <c r="B805" s="465"/>
      <c r="C805" s="465"/>
      <c r="D805" s="465"/>
      <c r="E805" s="554"/>
      <c r="F805" s="465"/>
    </row>
    <row r="806" spans="2:6">
      <c r="B806" s="465"/>
      <c r="C806" s="465"/>
      <c r="D806" s="465"/>
      <c r="E806" s="554"/>
      <c r="F806" s="465"/>
    </row>
    <row r="807" spans="2:6">
      <c r="B807" s="465"/>
      <c r="C807" s="465"/>
      <c r="D807" s="465"/>
      <c r="E807" s="554"/>
      <c r="F807" s="465"/>
    </row>
    <row r="808" spans="2:6">
      <c r="B808" s="465"/>
      <c r="C808" s="465"/>
      <c r="D808" s="465"/>
      <c r="E808" s="554"/>
      <c r="F808" s="465"/>
    </row>
    <row r="809" spans="2:6">
      <c r="B809" s="465"/>
      <c r="C809" s="465"/>
      <c r="D809" s="465"/>
      <c r="E809" s="554"/>
      <c r="F809" s="465"/>
    </row>
    <row r="810" spans="2:6">
      <c r="B810" s="465"/>
      <c r="C810" s="465"/>
      <c r="D810" s="465"/>
      <c r="E810" s="554"/>
      <c r="F810" s="465"/>
    </row>
    <row r="811" spans="2:6">
      <c r="B811" s="465"/>
      <c r="C811" s="465"/>
      <c r="D811" s="465"/>
      <c r="E811" s="554"/>
      <c r="F811" s="465"/>
    </row>
    <row r="812" spans="2:6">
      <c r="B812" s="465"/>
      <c r="C812" s="465"/>
      <c r="D812" s="465"/>
      <c r="E812" s="554"/>
      <c r="F812" s="465"/>
    </row>
    <row r="813" spans="2:6">
      <c r="B813" s="465"/>
      <c r="C813" s="465"/>
      <c r="D813" s="465"/>
      <c r="E813" s="554"/>
      <c r="F813" s="465"/>
    </row>
    <row r="814" spans="2:6">
      <c r="B814" s="465"/>
      <c r="C814" s="465"/>
      <c r="D814" s="465"/>
      <c r="E814" s="554"/>
      <c r="F814" s="465"/>
    </row>
    <row r="815" spans="2:6">
      <c r="B815" s="465"/>
      <c r="C815" s="465"/>
      <c r="D815" s="465"/>
      <c r="E815" s="554"/>
      <c r="F815" s="465"/>
    </row>
    <row r="816" spans="2:6">
      <c r="B816" s="465"/>
      <c r="C816" s="465"/>
      <c r="D816" s="465"/>
      <c r="E816" s="554"/>
      <c r="F816" s="465"/>
    </row>
    <row r="817" spans="2:6">
      <c r="B817" s="465"/>
      <c r="C817" s="465"/>
      <c r="D817" s="465"/>
      <c r="E817" s="554"/>
      <c r="F817" s="465"/>
    </row>
    <row r="818" spans="2:6">
      <c r="B818" s="465"/>
      <c r="C818" s="465"/>
      <c r="D818" s="465"/>
      <c r="E818" s="554"/>
      <c r="F818" s="465"/>
    </row>
    <row r="819" spans="2:6">
      <c r="B819" s="465"/>
      <c r="C819" s="465"/>
      <c r="D819" s="465"/>
      <c r="E819" s="554"/>
      <c r="F819" s="465"/>
    </row>
    <row r="820" spans="2:6">
      <c r="B820" s="465"/>
      <c r="C820" s="465"/>
      <c r="D820" s="465"/>
      <c r="E820" s="554"/>
      <c r="F820" s="465"/>
    </row>
    <row r="821" spans="2:6">
      <c r="B821" s="465"/>
      <c r="C821" s="465"/>
      <c r="D821" s="465"/>
      <c r="E821" s="554"/>
      <c r="F821" s="465"/>
    </row>
    <row r="822" spans="2:6">
      <c r="B822" s="465"/>
      <c r="C822" s="465"/>
      <c r="D822" s="465"/>
      <c r="E822" s="554"/>
      <c r="F822" s="465"/>
    </row>
    <row r="823" spans="2:6">
      <c r="B823" s="465"/>
      <c r="C823" s="465"/>
      <c r="D823" s="465"/>
      <c r="E823" s="554"/>
      <c r="F823" s="465"/>
    </row>
    <row r="824" spans="2:6">
      <c r="B824" s="465"/>
      <c r="C824" s="465"/>
      <c r="D824" s="465"/>
      <c r="E824" s="554"/>
      <c r="F824" s="465"/>
    </row>
    <row r="825" spans="2:6">
      <c r="B825" s="465"/>
      <c r="C825" s="465"/>
      <c r="D825" s="465"/>
      <c r="E825" s="554"/>
      <c r="F825" s="465"/>
    </row>
    <row r="826" spans="2:6">
      <c r="B826" s="465"/>
      <c r="C826" s="465"/>
      <c r="D826" s="465"/>
      <c r="E826" s="554"/>
      <c r="F826" s="465"/>
    </row>
    <row r="827" spans="2:6">
      <c r="B827" s="465"/>
      <c r="C827" s="465"/>
      <c r="D827" s="465"/>
      <c r="E827" s="554"/>
      <c r="F827" s="465"/>
    </row>
    <row r="828" spans="2:6">
      <c r="B828" s="465"/>
      <c r="C828" s="465"/>
      <c r="D828" s="465"/>
      <c r="E828" s="554"/>
      <c r="F828" s="465"/>
    </row>
    <row r="829" spans="2:6">
      <c r="B829" s="465"/>
      <c r="C829" s="465"/>
      <c r="D829" s="465"/>
      <c r="E829" s="554"/>
      <c r="F829" s="465"/>
    </row>
    <row r="830" spans="2:6">
      <c r="B830" s="465"/>
      <c r="C830" s="465"/>
      <c r="D830" s="465"/>
      <c r="E830" s="554"/>
      <c r="F830" s="465"/>
    </row>
    <row r="831" spans="2:6">
      <c r="B831" s="465"/>
      <c r="C831" s="465"/>
      <c r="D831" s="465"/>
      <c r="E831" s="554"/>
      <c r="F831" s="465"/>
    </row>
    <row r="832" spans="2:6">
      <c r="B832" s="465"/>
      <c r="C832" s="465"/>
      <c r="D832" s="465"/>
      <c r="E832" s="554"/>
      <c r="F832" s="465"/>
    </row>
    <row r="833" spans="2:6">
      <c r="B833" s="465"/>
      <c r="C833" s="465"/>
      <c r="D833" s="465"/>
      <c r="E833" s="554"/>
      <c r="F833" s="465"/>
    </row>
    <row r="834" spans="2:6">
      <c r="B834" s="465"/>
      <c r="C834" s="465"/>
      <c r="D834" s="465"/>
      <c r="E834" s="554"/>
      <c r="F834" s="465"/>
    </row>
    <row r="835" spans="2:6">
      <c r="B835" s="465"/>
      <c r="C835" s="465"/>
      <c r="D835" s="465"/>
      <c r="E835" s="554"/>
      <c r="F835" s="465"/>
    </row>
    <row r="836" spans="2:6">
      <c r="B836" s="465"/>
      <c r="C836" s="465"/>
      <c r="D836" s="465"/>
      <c r="E836" s="554"/>
      <c r="F836" s="465"/>
    </row>
    <row r="837" spans="2:6">
      <c r="B837" s="465"/>
      <c r="C837" s="465"/>
      <c r="D837" s="465"/>
      <c r="E837" s="554"/>
      <c r="F837" s="465"/>
    </row>
    <row r="838" spans="2:6">
      <c r="B838" s="465"/>
      <c r="C838" s="465"/>
      <c r="D838" s="465"/>
      <c r="E838" s="554"/>
      <c r="F838" s="465"/>
    </row>
    <row r="839" spans="2:6">
      <c r="B839" s="465"/>
      <c r="C839" s="465"/>
      <c r="D839" s="465"/>
      <c r="E839" s="554"/>
      <c r="F839" s="465"/>
    </row>
    <row r="840" spans="2:6">
      <c r="B840" s="465"/>
      <c r="C840" s="465"/>
      <c r="D840" s="465"/>
      <c r="E840" s="554"/>
      <c r="F840" s="465"/>
    </row>
    <row r="841" spans="2:6">
      <c r="B841" s="465"/>
      <c r="C841" s="465"/>
      <c r="D841" s="465"/>
      <c r="E841" s="554"/>
      <c r="F841" s="465"/>
    </row>
    <row r="842" spans="2:6">
      <c r="B842" s="465"/>
      <c r="C842" s="465"/>
      <c r="D842" s="465"/>
      <c r="E842" s="554"/>
      <c r="F842" s="465"/>
    </row>
    <row r="843" spans="2:6">
      <c r="B843" s="465"/>
      <c r="C843" s="465"/>
      <c r="D843" s="465"/>
      <c r="E843" s="554"/>
      <c r="F843" s="465"/>
    </row>
    <row r="844" spans="2:6">
      <c r="B844" s="465"/>
      <c r="C844" s="465"/>
      <c r="D844" s="465"/>
      <c r="E844" s="554"/>
      <c r="F844" s="465"/>
    </row>
    <row r="845" spans="2:6">
      <c r="B845" s="465"/>
      <c r="C845" s="465"/>
      <c r="D845" s="465"/>
      <c r="E845" s="554"/>
      <c r="F845" s="465"/>
    </row>
    <row r="846" spans="2:6">
      <c r="B846" s="465"/>
      <c r="C846" s="465"/>
      <c r="D846" s="465"/>
      <c r="E846" s="554"/>
      <c r="F846" s="465"/>
    </row>
    <row r="847" spans="2:6">
      <c r="B847" s="465"/>
      <c r="C847" s="465"/>
      <c r="D847" s="465"/>
      <c r="E847" s="554"/>
      <c r="F847" s="465"/>
    </row>
    <row r="848" spans="2:6">
      <c r="B848" s="465"/>
      <c r="C848" s="465"/>
      <c r="D848" s="465"/>
      <c r="E848" s="554"/>
      <c r="F848" s="465"/>
    </row>
    <row r="849" spans="2:6">
      <c r="B849" s="465"/>
      <c r="C849" s="465"/>
      <c r="D849" s="465"/>
      <c r="E849" s="554"/>
      <c r="F849" s="465"/>
    </row>
    <row r="850" spans="2:6">
      <c r="B850" s="465"/>
      <c r="C850" s="465"/>
      <c r="D850" s="465"/>
      <c r="E850" s="554"/>
      <c r="F850" s="465"/>
    </row>
    <row r="851" spans="2:6">
      <c r="B851" s="465"/>
      <c r="C851" s="465"/>
      <c r="D851" s="465"/>
      <c r="E851" s="554"/>
      <c r="F851" s="465"/>
    </row>
    <row r="852" spans="2:6">
      <c r="B852" s="465"/>
      <c r="C852" s="465"/>
      <c r="D852" s="465"/>
      <c r="E852" s="554"/>
      <c r="F852" s="465"/>
    </row>
    <row r="853" spans="2:6">
      <c r="B853" s="465"/>
      <c r="C853" s="465"/>
      <c r="D853" s="465"/>
      <c r="E853" s="554"/>
      <c r="F853" s="465"/>
    </row>
    <row r="854" spans="2:6">
      <c r="B854" s="465"/>
      <c r="C854" s="465"/>
      <c r="D854" s="465"/>
      <c r="E854" s="554"/>
      <c r="F854" s="465"/>
    </row>
    <row r="855" spans="2:6">
      <c r="B855" s="465"/>
      <c r="C855" s="465"/>
      <c r="D855" s="465"/>
      <c r="E855" s="554"/>
      <c r="F855" s="465"/>
    </row>
    <row r="856" spans="2:6">
      <c r="B856" s="465"/>
      <c r="C856" s="465"/>
      <c r="D856" s="465"/>
      <c r="E856" s="554"/>
      <c r="F856" s="465"/>
    </row>
    <row r="857" spans="2:6">
      <c r="B857" s="465"/>
      <c r="C857" s="465"/>
      <c r="D857" s="465"/>
      <c r="E857" s="554"/>
      <c r="F857" s="465"/>
    </row>
    <row r="858" spans="2:6">
      <c r="B858" s="465"/>
      <c r="C858" s="465"/>
      <c r="D858" s="465"/>
      <c r="E858" s="554"/>
      <c r="F858" s="465"/>
    </row>
    <row r="859" spans="2:6">
      <c r="B859" s="465"/>
      <c r="C859" s="465"/>
      <c r="D859" s="465"/>
      <c r="E859" s="554"/>
      <c r="F859" s="465"/>
    </row>
    <row r="860" spans="2:6">
      <c r="B860" s="465"/>
      <c r="C860" s="465"/>
      <c r="D860" s="465"/>
      <c r="E860" s="554"/>
      <c r="F860" s="465"/>
    </row>
    <row r="861" spans="2:6">
      <c r="B861" s="465"/>
      <c r="C861" s="465"/>
      <c r="D861" s="465"/>
      <c r="E861" s="554"/>
      <c r="F861" s="465"/>
    </row>
    <row r="862" spans="2:6">
      <c r="B862" s="465"/>
      <c r="C862" s="465"/>
      <c r="D862" s="465"/>
      <c r="E862" s="554"/>
      <c r="F862" s="465"/>
    </row>
    <row r="863" spans="2:6">
      <c r="B863" s="465"/>
      <c r="C863" s="465"/>
      <c r="D863" s="465"/>
      <c r="E863" s="554"/>
      <c r="F863" s="465"/>
    </row>
    <row r="864" spans="2:6">
      <c r="B864" s="465"/>
      <c r="C864" s="465"/>
      <c r="D864" s="465"/>
      <c r="E864" s="554"/>
      <c r="F864" s="465"/>
    </row>
    <row r="865" spans="2:6">
      <c r="B865" s="465"/>
      <c r="C865" s="465"/>
      <c r="D865" s="465"/>
      <c r="E865" s="554"/>
      <c r="F865" s="465"/>
    </row>
    <row r="866" spans="2:6">
      <c r="B866" s="465"/>
      <c r="C866" s="465"/>
      <c r="D866" s="465"/>
      <c r="E866" s="554"/>
      <c r="F866" s="465"/>
    </row>
    <row r="867" spans="2:6">
      <c r="B867" s="465"/>
      <c r="C867" s="465"/>
      <c r="D867" s="465"/>
      <c r="E867" s="554"/>
      <c r="F867" s="465"/>
    </row>
    <row r="868" spans="2:6">
      <c r="B868" s="465"/>
      <c r="C868" s="465"/>
      <c r="D868" s="465"/>
      <c r="E868" s="554"/>
      <c r="F868" s="465"/>
    </row>
    <row r="869" spans="2:6">
      <c r="B869" s="465"/>
      <c r="C869" s="465"/>
      <c r="D869" s="465"/>
      <c r="E869" s="554"/>
      <c r="F869" s="465"/>
    </row>
    <row r="870" spans="2:6">
      <c r="B870" s="465"/>
      <c r="C870" s="465"/>
      <c r="D870" s="465"/>
      <c r="E870" s="554"/>
      <c r="F870" s="465"/>
    </row>
    <row r="871" spans="2:6">
      <c r="B871" s="465"/>
      <c r="C871" s="465"/>
      <c r="D871" s="465"/>
      <c r="E871" s="554"/>
      <c r="F871" s="465"/>
    </row>
    <row r="872" spans="2:6">
      <c r="B872" s="465"/>
      <c r="C872" s="465"/>
      <c r="D872" s="465"/>
      <c r="E872" s="554"/>
      <c r="F872" s="465"/>
    </row>
    <row r="873" spans="2:6">
      <c r="B873" s="465"/>
      <c r="C873" s="465"/>
      <c r="D873" s="465"/>
      <c r="E873" s="554"/>
      <c r="F873" s="465"/>
    </row>
    <row r="874" spans="2:6">
      <c r="B874" s="465"/>
      <c r="C874" s="465"/>
      <c r="D874" s="465"/>
      <c r="E874" s="554"/>
      <c r="F874" s="465"/>
    </row>
    <row r="875" spans="2:6">
      <c r="B875" s="465"/>
      <c r="C875" s="465"/>
      <c r="D875" s="465"/>
      <c r="E875" s="554"/>
      <c r="F875" s="465"/>
    </row>
    <row r="876" spans="2:6">
      <c r="B876" s="465"/>
      <c r="C876" s="465"/>
      <c r="D876" s="465"/>
      <c r="E876" s="554"/>
      <c r="F876" s="465"/>
    </row>
    <row r="877" spans="2:6">
      <c r="B877" s="465"/>
      <c r="C877" s="465"/>
      <c r="D877" s="465"/>
      <c r="E877" s="554"/>
      <c r="F877" s="465"/>
    </row>
    <row r="878" spans="2:6">
      <c r="B878" s="465"/>
      <c r="C878" s="465"/>
      <c r="D878" s="465"/>
      <c r="E878" s="554"/>
      <c r="F878" s="465"/>
    </row>
    <row r="879" spans="2:6">
      <c r="B879" s="465"/>
      <c r="C879" s="465"/>
      <c r="D879" s="465"/>
      <c r="E879" s="554"/>
      <c r="F879" s="465"/>
    </row>
    <row r="880" spans="2:6">
      <c r="B880" s="465"/>
      <c r="C880" s="465"/>
      <c r="D880" s="465"/>
      <c r="E880" s="554"/>
      <c r="F880" s="465"/>
    </row>
    <row r="881" spans="2:6">
      <c r="B881" s="465"/>
      <c r="C881" s="465"/>
      <c r="D881" s="465"/>
      <c r="E881" s="554"/>
      <c r="F881" s="465"/>
    </row>
    <row r="882" spans="2:6">
      <c r="B882" s="465"/>
      <c r="C882" s="465"/>
      <c r="D882" s="465"/>
      <c r="E882" s="554"/>
      <c r="F882" s="465"/>
    </row>
    <row r="883" spans="2:6">
      <c r="B883" s="465"/>
      <c r="C883" s="465"/>
      <c r="D883" s="465"/>
      <c r="E883" s="554"/>
      <c r="F883" s="465"/>
    </row>
    <row r="884" spans="2:6">
      <c r="B884" s="465"/>
      <c r="C884" s="465"/>
      <c r="D884" s="465"/>
      <c r="E884" s="554"/>
      <c r="F884" s="465"/>
    </row>
    <row r="885" spans="2:6">
      <c r="B885" s="465"/>
      <c r="C885" s="465"/>
      <c r="D885" s="465"/>
      <c r="E885" s="554"/>
      <c r="F885" s="465"/>
    </row>
    <row r="886" spans="2:6">
      <c r="B886" s="465"/>
      <c r="C886" s="465"/>
      <c r="D886" s="465"/>
      <c r="E886" s="554"/>
      <c r="F886" s="465"/>
    </row>
    <row r="887" spans="2:6">
      <c r="B887" s="465"/>
      <c r="C887" s="465"/>
      <c r="D887" s="465"/>
      <c r="E887" s="554"/>
      <c r="F887" s="465"/>
    </row>
    <row r="888" spans="2:6">
      <c r="B888" s="465"/>
      <c r="C888" s="465"/>
      <c r="D888" s="465"/>
      <c r="E888" s="554"/>
      <c r="F888" s="465"/>
    </row>
    <row r="889" spans="2:6">
      <c r="B889" s="465"/>
      <c r="C889" s="465"/>
      <c r="D889" s="465"/>
      <c r="E889" s="554"/>
      <c r="F889" s="465"/>
    </row>
    <row r="890" spans="2:6">
      <c r="B890" s="465"/>
      <c r="C890" s="465"/>
      <c r="D890" s="465"/>
      <c r="E890" s="554"/>
      <c r="F890" s="465"/>
    </row>
    <row r="891" spans="2:6">
      <c r="B891" s="465"/>
      <c r="C891" s="465"/>
      <c r="D891" s="465"/>
      <c r="E891" s="554"/>
      <c r="F891" s="465"/>
    </row>
    <row r="892" spans="2:6">
      <c r="B892" s="465"/>
      <c r="C892" s="465"/>
      <c r="D892" s="465"/>
      <c r="E892" s="554"/>
      <c r="F892" s="465"/>
    </row>
    <row r="893" spans="2:6">
      <c r="B893" s="465"/>
      <c r="C893" s="465"/>
      <c r="D893" s="465"/>
      <c r="E893" s="554"/>
      <c r="F893" s="465"/>
    </row>
    <row r="894" spans="2:6">
      <c r="B894" s="465"/>
      <c r="C894" s="465"/>
      <c r="D894" s="465"/>
      <c r="E894" s="554"/>
      <c r="F894" s="465"/>
    </row>
    <row r="895" spans="2:6">
      <c r="B895" s="465"/>
      <c r="C895" s="465"/>
      <c r="D895" s="465"/>
      <c r="E895" s="554"/>
      <c r="F895" s="465"/>
    </row>
    <row r="896" spans="2:6">
      <c r="B896" s="465"/>
      <c r="C896" s="465"/>
      <c r="D896" s="465"/>
      <c r="E896" s="554"/>
      <c r="F896" s="465"/>
    </row>
    <row r="897" spans="2:6">
      <c r="B897" s="465"/>
      <c r="C897" s="465"/>
      <c r="D897" s="465"/>
      <c r="E897" s="554"/>
      <c r="F897" s="465"/>
    </row>
    <row r="898" spans="2:6">
      <c r="B898" s="465"/>
      <c r="C898" s="465"/>
      <c r="D898" s="465"/>
      <c r="E898" s="554"/>
      <c r="F898" s="465"/>
    </row>
    <row r="899" spans="2:6">
      <c r="B899" s="465"/>
      <c r="C899" s="465"/>
      <c r="D899" s="465"/>
      <c r="E899" s="554"/>
      <c r="F899" s="465"/>
    </row>
    <row r="900" spans="2:6">
      <c r="B900" s="465"/>
      <c r="C900" s="465"/>
      <c r="D900" s="465"/>
      <c r="E900" s="554"/>
      <c r="F900" s="465"/>
    </row>
    <row r="901" spans="2:6">
      <c r="B901" s="465"/>
      <c r="C901" s="465"/>
      <c r="D901" s="465"/>
      <c r="E901" s="554"/>
      <c r="F901" s="465"/>
    </row>
    <row r="902" spans="2:6">
      <c r="B902" s="465"/>
      <c r="C902" s="465"/>
      <c r="D902" s="465"/>
      <c r="E902" s="554"/>
      <c r="F902" s="465"/>
    </row>
    <row r="903" spans="2:6">
      <c r="B903" s="465"/>
      <c r="C903" s="465"/>
      <c r="D903" s="465"/>
      <c r="E903" s="554"/>
      <c r="F903" s="465"/>
    </row>
    <row r="904" spans="2:6">
      <c r="B904" s="465"/>
      <c r="C904" s="465"/>
      <c r="D904" s="465"/>
      <c r="E904" s="554"/>
      <c r="F904" s="465"/>
    </row>
    <row r="905" spans="2:6">
      <c r="B905" s="465"/>
      <c r="C905" s="465"/>
      <c r="D905" s="465"/>
      <c r="E905" s="554"/>
      <c r="F905" s="465"/>
    </row>
    <row r="906" spans="2:6">
      <c r="B906" s="465"/>
      <c r="C906" s="465"/>
      <c r="D906" s="465"/>
      <c r="E906" s="554"/>
      <c r="F906" s="465"/>
    </row>
    <row r="907" spans="2:6">
      <c r="B907" s="465"/>
      <c r="C907" s="465"/>
      <c r="D907" s="465"/>
      <c r="E907" s="554"/>
      <c r="F907" s="465"/>
    </row>
    <row r="908" spans="2:6">
      <c r="B908" s="465"/>
      <c r="C908" s="465"/>
      <c r="D908" s="465"/>
      <c r="E908" s="554"/>
      <c r="F908" s="465"/>
    </row>
    <row r="909" spans="2:6">
      <c r="B909" s="465"/>
      <c r="C909" s="465"/>
      <c r="D909" s="465"/>
      <c r="E909" s="554"/>
      <c r="F909" s="465"/>
    </row>
    <row r="910" spans="2:6">
      <c r="B910" s="465"/>
      <c r="C910" s="465"/>
      <c r="D910" s="465"/>
      <c r="E910" s="554"/>
      <c r="F910" s="465"/>
    </row>
    <row r="911" spans="2:6">
      <c r="B911" s="465"/>
      <c r="C911" s="465"/>
      <c r="D911" s="465"/>
      <c r="E911" s="554"/>
      <c r="F911" s="465"/>
    </row>
    <row r="912" spans="2:6">
      <c r="B912" s="465"/>
      <c r="C912" s="465"/>
      <c r="D912" s="465"/>
      <c r="E912" s="554"/>
      <c r="F912" s="465"/>
    </row>
    <row r="913" spans="2:6">
      <c r="B913" s="465"/>
      <c r="C913" s="465"/>
      <c r="D913" s="465"/>
      <c r="E913" s="554"/>
      <c r="F913" s="465"/>
    </row>
    <row r="914" spans="2:6">
      <c r="B914" s="465"/>
      <c r="C914" s="465"/>
      <c r="D914" s="465"/>
      <c r="E914" s="554"/>
      <c r="F914" s="465"/>
    </row>
    <row r="915" spans="2:6">
      <c r="B915" s="465"/>
      <c r="C915" s="465"/>
      <c r="D915" s="465"/>
      <c r="E915" s="554"/>
      <c r="F915" s="465"/>
    </row>
    <row r="916" spans="2:6">
      <c r="B916" s="465"/>
      <c r="C916" s="465"/>
      <c r="D916" s="465"/>
      <c r="E916" s="554"/>
      <c r="F916" s="465"/>
    </row>
    <row r="917" spans="2:6">
      <c r="B917" s="465"/>
      <c r="C917" s="465"/>
      <c r="D917" s="465"/>
      <c r="E917" s="554"/>
      <c r="F917" s="465"/>
    </row>
    <row r="918" spans="2:6">
      <c r="B918" s="465"/>
      <c r="C918" s="465"/>
      <c r="D918" s="465"/>
      <c r="E918" s="554"/>
      <c r="F918" s="465"/>
    </row>
    <row r="919" spans="2:6">
      <c r="B919" s="465"/>
      <c r="C919" s="465"/>
      <c r="D919" s="465"/>
      <c r="E919" s="554"/>
      <c r="F919" s="465"/>
    </row>
    <row r="920" spans="2:6">
      <c r="B920" s="465"/>
      <c r="C920" s="465"/>
      <c r="D920" s="465"/>
      <c r="E920" s="554"/>
      <c r="F920" s="465"/>
    </row>
    <row r="921" spans="2:6">
      <c r="B921" s="465"/>
      <c r="C921" s="465"/>
      <c r="D921" s="465"/>
      <c r="E921" s="554"/>
      <c r="F921" s="465"/>
    </row>
    <row r="922" spans="2:6">
      <c r="B922" s="465"/>
      <c r="C922" s="465"/>
      <c r="D922" s="465"/>
      <c r="E922" s="554"/>
      <c r="F922" s="465"/>
    </row>
    <row r="923" spans="2:6">
      <c r="B923" s="465"/>
      <c r="C923" s="465"/>
      <c r="D923" s="465"/>
      <c r="E923" s="554"/>
      <c r="F923" s="465"/>
    </row>
    <row r="924" spans="2:6">
      <c r="B924" s="465"/>
      <c r="C924" s="465"/>
      <c r="D924" s="465"/>
      <c r="E924" s="554"/>
      <c r="F924" s="465"/>
    </row>
    <row r="925" spans="2:6">
      <c r="B925" s="465"/>
      <c r="C925" s="465"/>
      <c r="D925" s="465"/>
      <c r="E925" s="554"/>
      <c r="F925" s="465"/>
    </row>
    <row r="926" spans="2:6">
      <c r="B926" s="465"/>
      <c r="C926" s="465"/>
      <c r="D926" s="465"/>
      <c r="E926" s="554"/>
      <c r="F926" s="465"/>
    </row>
    <row r="927" spans="2:6">
      <c r="B927" s="465"/>
      <c r="C927" s="465"/>
      <c r="D927" s="465"/>
      <c r="E927" s="554"/>
      <c r="F927" s="465"/>
    </row>
    <row r="928" spans="2:6">
      <c r="B928" s="465"/>
      <c r="C928" s="465"/>
      <c r="D928" s="465"/>
      <c r="E928" s="554"/>
      <c r="F928" s="465"/>
    </row>
    <row r="929" spans="2:6">
      <c r="B929" s="465"/>
      <c r="C929" s="465"/>
      <c r="D929" s="465"/>
      <c r="E929" s="554"/>
      <c r="F929" s="465"/>
    </row>
    <row r="930" spans="2:6">
      <c r="B930" s="465"/>
      <c r="C930" s="465"/>
      <c r="D930" s="465"/>
      <c r="E930" s="554"/>
      <c r="F930" s="465"/>
    </row>
    <row r="931" spans="2:6">
      <c r="B931" s="465"/>
      <c r="C931" s="465"/>
      <c r="D931" s="465"/>
      <c r="E931" s="554"/>
      <c r="F931" s="465"/>
    </row>
    <row r="932" spans="2:6">
      <c r="B932" s="465"/>
      <c r="C932" s="465"/>
      <c r="D932" s="465"/>
      <c r="E932" s="554"/>
      <c r="F932" s="465"/>
    </row>
    <row r="933" spans="2:6">
      <c r="B933" s="465"/>
      <c r="C933" s="465"/>
      <c r="D933" s="465"/>
      <c r="E933" s="554"/>
      <c r="F933" s="465"/>
    </row>
    <row r="934" spans="2:6">
      <c r="B934" s="465"/>
      <c r="C934" s="465"/>
      <c r="D934" s="465"/>
      <c r="E934" s="554"/>
      <c r="F934" s="465"/>
    </row>
    <row r="935" spans="2:6">
      <c r="B935" s="465"/>
      <c r="C935" s="465"/>
      <c r="D935" s="465"/>
      <c r="E935" s="554"/>
      <c r="F935" s="465"/>
    </row>
    <row r="936" spans="2:6">
      <c r="B936" s="465"/>
      <c r="C936" s="465"/>
      <c r="D936" s="465"/>
      <c r="E936" s="554"/>
      <c r="F936" s="465"/>
    </row>
    <row r="937" spans="2:6">
      <c r="B937" s="465"/>
      <c r="C937" s="465"/>
      <c r="D937" s="465"/>
      <c r="E937" s="554"/>
      <c r="F937" s="465"/>
    </row>
    <row r="938" spans="2:6">
      <c r="B938" s="465"/>
      <c r="C938" s="465"/>
      <c r="D938" s="465"/>
      <c r="E938" s="554"/>
      <c r="F938" s="465"/>
    </row>
    <row r="939" spans="2:6">
      <c r="B939" s="465"/>
      <c r="C939" s="465"/>
      <c r="D939" s="465"/>
      <c r="E939" s="554"/>
      <c r="F939" s="465"/>
    </row>
    <row r="940" spans="2:6">
      <c r="B940" s="465"/>
      <c r="C940" s="465"/>
      <c r="D940" s="465"/>
      <c r="E940" s="554"/>
      <c r="F940" s="465"/>
    </row>
    <row r="941" spans="2:6">
      <c r="B941" s="465"/>
      <c r="C941" s="465"/>
      <c r="D941" s="465"/>
      <c r="E941" s="554"/>
      <c r="F941" s="465"/>
    </row>
    <row r="942" spans="2:6">
      <c r="B942" s="465"/>
      <c r="C942" s="465"/>
      <c r="D942" s="465"/>
      <c r="E942" s="554"/>
      <c r="F942" s="465"/>
    </row>
    <row r="943" spans="2:6">
      <c r="B943" s="465"/>
      <c r="C943" s="465"/>
      <c r="D943" s="465"/>
      <c r="E943" s="554"/>
      <c r="F943" s="465"/>
    </row>
    <row r="944" spans="2:6">
      <c r="B944" s="465"/>
      <c r="C944" s="465"/>
      <c r="D944" s="465"/>
      <c r="E944" s="554"/>
      <c r="F944" s="465"/>
    </row>
    <row r="945" spans="2:6">
      <c r="B945" s="465"/>
      <c r="C945" s="465"/>
      <c r="D945" s="465"/>
      <c r="E945" s="554"/>
      <c r="F945" s="465"/>
    </row>
    <row r="946" spans="2:6">
      <c r="B946" s="465"/>
      <c r="C946" s="465"/>
      <c r="D946" s="465"/>
      <c r="E946" s="554"/>
      <c r="F946" s="465"/>
    </row>
    <row r="947" spans="2:6">
      <c r="B947" s="465"/>
      <c r="C947" s="465"/>
      <c r="D947" s="465"/>
      <c r="E947" s="554"/>
      <c r="F947" s="465"/>
    </row>
    <row r="948" spans="2:6">
      <c r="B948" s="465"/>
      <c r="C948" s="465"/>
      <c r="D948" s="465"/>
      <c r="E948" s="554"/>
      <c r="F948" s="465"/>
    </row>
    <row r="949" spans="2:6">
      <c r="B949" s="465"/>
      <c r="C949" s="465"/>
      <c r="D949" s="465"/>
      <c r="E949" s="554"/>
      <c r="F949" s="465"/>
    </row>
    <row r="950" spans="2:6">
      <c r="B950" s="465"/>
      <c r="C950" s="465"/>
      <c r="D950" s="465"/>
      <c r="E950" s="554"/>
      <c r="F950" s="465"/>
    </row>
    <row r="951" spans="2:6">
      <c r="B951" s="465"/>
      <c r="C951" s="465"/>
      <c r="D951" s="465"/>
      <c r="E951" s="554"/>
      <c r="F951" s="465"/>
    </row>
    <row r="952" spans="2:6">
      <c r="B952" s="465"/>
      <c r="C952" s="465"/>
      <c r="D952" s="465"/>
      <c r="E952" s="554"/>
      <c r="F952" s="465"/>
    </row>
    <row r="953" spans="2:6">
      <c r="B953" s="465"/>
      <c r="C953" s="465"/>
      <c r="D953" s="465"/>
      <c r="E953" s="554"/>
      <c r="F953" s="465"/>
    </row>
    <row r="954" spans="2:6">
      <c r="B954" s="465"/>
      <c r="C954" s="465"/>
      <c r="D954" s="465"/>
      <c r="E954" s="554"/>
      <c r="F954" s="465"/>
    </row>
    <row r="955" spans="2:6">
      <c r="B955" s="465"/>
      <c r="C955" s="465"/>
      <c r="D955" s="465"/>
      <c r="E955" s="554"/>
      <c r="F955" s="465"/>
    </row>
    <row r="956" spans="2:6">
      <c r="B956" s="465"/>
      <c r="C956" s="465"/>
      <c r="D956" s="465"/>
      <c r="E956" s="554"/>
      <c r="F956" s="465"/>
    </row>
    <row r="957" spans="2:6">
      <c r="B957" s="465"/>
      <c r="C957" s="465"/>
      <c r="D957" s="465"/>
      <c r="E957" s="554"/>
      <c r="F957" s="465"/>
    </row>
    <row r="958" spans="2:6">
      <c r="B958" s="465"/>
      <c r="C958" s="465"/>
      <c r="D958" s="465"/>
      <c r="E958" s="554"/>
      <c r="F958" s="465"/>
    </row>
    <row r="959" spans="2:6">
      <c r="B959" s="465"/>
      <c r="C959" s="465"/>
      <c r="D959" s="465"/>
      <c r="E959" s="554"/>
      <c r="F959" s="465"/>
    </row>
    <row r="960" spans="2:6">
      <c r="B960" s="465"/>
      <c r="C960" s="465"/>
      <c r="D960" s="465"/>
      <c r="E960" s="554"/>
      <c r="F960" s="465"/>
    </row>
    <row r="961" spans="2:6">
      <c r="B961" s="465"/>
      <c r="C961" s="465"/>
      <c r="D961" s="465"/>
      <c r="E961" s="554"/>
      <c r="F961" s="465"/>
    </row>
    <row r="962" spans="2:6">
      <c r="B962" s="465"/>
      <c r="C962" s="465"/>
      <c r="D962" s="465"/>
      <c r="E962" s="554"/>
      <c r="F962" s="465"/>
    </row>
    <row r="963" spans="2:6">
      <c r="B963" s="465"/>
      <c r="C963" s="465"/>
      <c r="D963" s="465"/>
      <c r="E963" s="554"/>
      <c r="F963" s="465"/>
    </row>
    <row r="964" spans="2:6">
      <c r="B964" s="465"/>
      <c r="C964" s="465"/>
      <c r="D964" s="465"/>
      <c r="E964" s="554"/>
      <c r="F964" s="465"/>
    </row>
    <row r="965" spans="2:6">
      <c r="B965" s="465"/>
      <c r="C965" s="465"/>
      <c r="D965" s="465"/>
      <c r="E965" s="554"/>
      <c r="F965" s="465"/>
    </row>
    <row r="966" spans="2:6">
      <c r="B966" s="465"/>
      <c r="C966" s="465"/>
      <c r="D966" s="465"/>
      <c r="E966" s="554"/>
      <c r="F966" s="465"/>
    </row>
    <row r="967" spans="2:6">
      <c r="B967" s="465"/>
      <c r="C967" s="465"/>
      <c r="D967" s="465"/>
      <c r="E967" s="554"/>
      <c r="F967" s="465"/>
    </row>
    <row r="968" spans="2:6">
      <c r="B968" s="465"/>
      <c r="C968" s="465"/>
      <c r="D968" s="465"/>
      <c r="E968" s="554"/>
      <c r="F968" s="465"/>
    </row>
    <row r="969" spans="2:6">
      <c r="B969" s="465"/>
      <c r="C969" s="465"/>
      <c r="D969" s="465"/>
      <c r="E969" s="554"/>
      <c r="F969" s="465"/>
    </row>
    <row r="970" spans="2:6">
      <c r="B970" s="465"/>
      <c r="C970" s="465"/>
      <c r="D970" s="465"/>
      <c r="E970" s="554"/>
      <c r="F970" s="465"/>
    </row>
    <row r="971" spans="2:6">
      <c r="B971" s="465"/>
      <c r="C971" s="465"/>
      <c r="D971" s="465"/>
      <c r="E971" s="554"/>
      <c r="F971" s="465"/>
    </row>
    <row r="972" spans="2:6">
      <c r="B972" s="465"/>
      <c r="C972" s="465"/>
      <c r="D972" s="465"/>
      <c r="E972" s="554"/>
      <c r="F972" s="465"/>
    </row>
    <row r="973" spans="2:6">
      <c r="B973" s="465"/>
      <c r="C973" s="465"/>
      <c r="D973" s="465"/>
      <c r="E973" s="554"/>
      <c r="F973" s="465"/>
    </row>
    <row r="974" spans="2:6">
      <c r="B974" s="465"/>
      <c r="C974" s="465"/>
      <c r="D974" s="465"/>
      <c r="E974" s="554"/>
      <c r="F974" s="465"/>
    </row>
    <row r="975" spans="2:6">
      <c r="B975" s="465"/>
      <c r="C975" s="465"/>
      <c r="D975" s="465"/>
      <c r="E975" s="554"/>
      <c r="F975" s="465"/>
    </row>
    <row r="976" spans="2:6">
      <c r="B976" s="465"/>
      <c r="C976" s="465"/>
      <c r="D976" s="465"/>
      <c r="E976" s="554"/>
      <c r="F976" s="465"/>
    </row>
    <row r="977" spans="2:6">
      <c r="B977" s="465"/>
      <c r="C977" s="465"/>
      <c r="D977" s="465"/>
      <c r="E977" s="554"/>
      <c r="F977" s="465"/>
    </row>
    <row r="978" spans="2:6">
      <c r="B978" s="465"/>
      <c r="C978" s="465"/>
      <c r="D978" s="465"/>
      <c r="E978" s="554"/>
      <c r="F978" s="465"/>
    </row>
    <row r="979" spans="2:6">
      <c r="B979" s="465"/>
      <c r="C979" s="465"/>
      <c r="D979" s="465"/>
      <c r="E979" s="554"/>
      <c r="F979" s="465"/>
    </row>
    <row r="980" spans="2:6">
      <c r="B980" s="465"/>
      <c r="C980" s="465"/>
      <c r="D980" s="465"/>
      <c r="E980" s="554"/>
      <c r="F980" s="465"/>
    </row>
    <row r="981" spans="2:6">
      <c r="B981" s="465"/>
      <c r="C981" s="465"/>
      <c r="D981" s="465"/>
      <c r="E981" s="554"/>
      <c r="F981" s="465"/>
    </row>
    <row r="982" spans="2:6">
      <c r="B982" s="465"/>
      <c r="C982" s="465"/>
      <c r="D982" s="465"/>
      <c r="E982" s="554"/>
      <c r="F982" s="465"/>
    </row>
    <row r="983" spans="2:6">
      <c r="B983" s="465"/>
      <c r="C983" s="465"/>
      <c r="D983" s="465"/>
      <c r="E983" s="554"/>
      <c r="F983" s="465"/>
    </row>
    <row r="984" spans="2:6">
      <c r="B984" s="465"/>
      <c r="C984" s="465"/>
      <c r="D984" s="465"/>
      <c r="E984" s="554"/>
      <c r="F984" s="465"/>
    </row>
    <row r="985" spans="2:6">
      <c r="B985" s="465"/>
      <c r="C985" s="465"/>
      <c r="D985" s="465"/>
      <c r="E985" s="554"/>
      <c r="F985" s="465"/>
    </row>
    <row r="986" spans="2:6">
      <c r="B986" s="465"/>
      <c r="C986" s="465"/>
      <c r="D986" s="465"/>
      <c r="E986" s="554"/>
      <c r="F986" s="465"/>
    </row>
    <row r="987" spans="2:6">
      <c r="B987" s="465"/>
      <c r="C987" s="465"/>
      <c r="D987" s="465"/>
      <c r="E987" s="554"/>
      <c r="F987" s="465"/>
    </row>
    <row r="988" spans="2:6">
      <c r="B988" s="465"/>
      <c r="C988" s="465"/>
      <c r="D988" s="465"/>
      <c r="E988" s="554"/>
      <c r="F988" s="465"/>
    </row>
    <row r="989" spans="2:6">
      <c r="B989" s="465"/>
      <c r="C989" s="465"/>
      <c r="D989" s="465"/>
      <c r="E989" s="554"/>
      <c r="F989" s="465"/>
    </row>
    <row r="990" spans="2:6">
      <c r="B990" s="465"/>
      <c r="C990" s="465"/>
      <c r="D990" s="465"/>
      <c r="E990" s="554"/>
      <c r="F990" s="465"/>
    </row>
    <row r="991" spans="2:6">
      <c r="B991" s="465"/>
      <c r="C991" s="465"/>
      <c r="D991" s="465"/>
      <c r="E991" s="554"/>
      <c r="F991" s="465"/>
    </row>
    <row r="992" spans="2:6">
      <c r="B992" s="465"/>
      <c r="C992" s="465"/>
      <c r="D992" s="465"/>
      <c r="E992" s="554"/>
      <c r="F992" s="465"/>
    </row>
    <row r="993" spans="2:6">
      <c r="B993" s="465"/>
      <c r="C993" s="465"/>
      <c r="D993" s="465"/>
      <c r="E993" s="554"/>
      <c r="F993" s="465"/>
    </row>
    <row r="994" spans="2:6">
      <c r="B994" s="465"/>
      <c r="C994" s="465"/>
      <c r="D994" s="465"/>
      <c r="E994" s="554"/>
      <c r="F994" s="465"/>
    </row>
    <row r="995" spans="2:6">
      <c r="B995" s="465"/>
      <c r="C995" s="465"/>
      <c r="D995" s="465"/>
      <c r="E995" s="554"/>
      <c r="F995" s="465"/>
    </row>
    <row r="996" spans="2:6">
      <c r="B996" s="465"/>
      <c r="C996" s="465"/>
      <c r="D996" s="465"/>
      <c r="E996" s="554"/>
      <c r="F996" s="465"/>
    </row>
    <row r="997" spans="2:6">
      <c r="B997" s="465"/>
      <c r="C997" s="465"/>
      <c r="D997" s="465"/>
      <c r="E997" s="554"/>
      <c r="F997" s="465"/>
    </row>
    <row r="998" spans="2:6">
      <c r="B998" s="465"/>
      <c r="C998" s="465"/>
      <c r="D998" s="465"/>
      <c r="E998" s="554"/>
      <c r="F998" s="465"/>
    </row>
    <row r="999" spans="2:6">
      <c r="B999" s="465"/>
      <c r="C999" s="465"/>
      <c r="D999" s="465"/>
      <c r="E999" s="554"/>
      <c r="F999" s="465"/>
    </row>
    <row r="1000" spans="2:6">
      <c r="B1000" s="465"/>
      <c r="C1000" s="465"/>
      <c r="D1000" s="465"/>
      <c r="E1000" s="554"/>
      <c r="F1000" s="465"/>
    </row>
    <row r="1001" spans="2:6">
      <c r="B1001" s="465"/>
      <c r="C1001" s="465"/>
      <c r="D1001" s="465"/>
      <c r="E1001" s="554"/>
      <c r="F1001" s="465"/>
    </row>
    <row r="1002" spans="2:6">
      <c r="B1002" s="465"/>
      <c r="C1002" s="465"/>
      <c r="D1002" s="465"/>
      <c r="E1002" s="554"/>
      <c r="F1002" s="465"/>
    </row>
    <row r="1003" spans="2:6">
      <c r="B1003" s="465"/>
      <c r="C1003" s="465"/>
      <c r="D1003" s="465"/>
      <c r="E1003" s="554"/>
      <c r="F1003" s="465"/>
    </row>
    <row r="1004" spans="2:6">
      <c r="B1004" s="465"/>
      <c r="C1004" s="465"/>
      <c r="D1004" s="465"/>
      <c r="E1004" s="554"/>
      <c r="F1004" s="465"/>
    </row>
    <row r="1005" spans="2:6">
      <c r="B1005" s="465"/>
      <c r="C1005" s="465"/>
      <c r="D1005" s="465"/>
      <c r="E1005" s="554"/>
      <c r="F1005" s="465"/>
    </row>
    <row r="1006" spans="2:6">
      <c r="B1006" s="465"/>
      <c r="C1006" s="465"/>
      <c r="D1006" s="465"/>
      <c r="E1006" s="554"/>
      <c r="F1006" s="465"/>
    </row>
    <row r="1007" spans="2:6">
      <c r="B1007" s="465"/>
      <c r="C1007" s="465"/>
      <c r="D1007" s="465"/>
      <c r="E1007" s="554"/>
      <c r="F1007" s="465"/>
    </row>
    <row r="1008" spans="2:6">
      <c r="B1008" s="465"/>
      <c r="C1008" s="465"/>
      <c r="D1008" s="465"/>
      <c r="E1008" s="554"/>
      <c r="F1008" s="465"/>
    </row>
    <row r="1009" spans="2:6">
      <c r="B1009" s="465"/>
      <c r="C1009" s="465"/>
      <c r="D1009" s="465"/>
      <c r="E1009" s="554"/>
      <c r="F1009" s="465"/>
    </row>
    <row r="1010" spans="2:6">
      <c r="B1010" s="465"/>
      <c r="C1010" s="465"/>
      <c r="D1010" s="465"/>
      <c r="E1010" s="554"/>
      <c r="F1010" s="465"/>
    </row>
    <row r="1011" spans="2:6">
      <c r="B1011" s="465"/>
      <c r="C1011" s="465"/>
      <c r="D1011" s="465"/>
      <c r="E1011" s="554"/>
      <c r="F1011" s="465"/>
    </row>
    <row r="1012" spans="2:6">
      <c r="B1012" s="465"/>
      <c r="C1012" s="465"/>
      <c r="D1012" s="465"/>
      <c r="E1012" s="554"/>
      <c r="F1012" s="465"/>
    </row>
    <row r="1013" spans="2:6">
      <c r="B1013" s="465"/>
      <c r="C1013" s="465"/>
      <c r="D1013" s="465"/>
      <c r="E1013" s="554"/>
      <c r="F1013" s="465"/>
    </row>
    <row r="1014" spans="2:6">
      <c r="B1014" s="465"/>
      <c r="C1014" s="465"/>
      <c r="D1014" s="465"/>
      <c r="E1014" s="554"/>
      <c r="F1014" s="465"/>
    </row>
    <row r="1015" spans="2:6">
      <c r="B1015" s="465"/>
      <c r="C1015" s="465"/>
      <c r="D1015" s="465"/>
      <c r="E1015" s="554"/>
      <c r="F1015" s="465"/>
    </row>
    <row r="1016" spans="2:6">
      <c r="B1016" s="465"/>
      <c r="C1016" s="465"/>
      <c r="D1016" s="465"/>
      <c r="E1016" s="554"/>
      <c r="F1016" s="465"/>
    </row>
    <row r="1017" spans="2:6">
      <c r="B1017" s="465"/>
      <c r="C1017" s="465"/>
      <c r="D1017" s="465"/>
      <c r="E1017" s="554"/>
      <c r="F1017" s="465"/>
    </row>
    <row r="1018" spans="2:6">
      <c r="B1018" s="465"/>
      <c r="C1018" s="465"/>
      <c r="D1018" s="465"/>
      <c r="E1018" s="554"/>
      <c r="F1018" s="465"/>
    </row>
    <row r="1019" spans="2:6">
      <c r="B1019" s="465"/>
      <c r="C1019" s="465"/>
      <c r="D1019" s="465"/>
      <c r="E1019" s="554"/>
      <c r="F1019" s="465"/>
    </row>
    <row r="1020" spans="2:6">
      <c r="B1020" s="465"/>
      <c r="C1020" s="465"/>
      <c r="D1020" s="465"/>
      <c r="E1020" s="554"/>
      <c r="F1020" s="465"/>
    </row>
    <row r="1021" spans="2:6">
      <c r="B1021" s="465"/>
      <c r="C1021" s="465"/>
      <c r="D1021" s="465"/>
      <c r="E1021" s="554"/>
      <c r="F1021" s="465"/>
    </row>
    <row r="1022" spans="2:6">
      <c r="B1022" s="465"/>
      <c r="C1022" s="465"/>
      <c r="D1022" s="465"/>
      <c r="E1022" s="554"/>
      <c r="F1022" s="465"/>
    </row>
    <row r="1023" spans="2:6">
      <c r="B1023" s="465"/>
      <c r="C1023" s="465"/>
      <c r="D1023" s="465"/>
      <c r="E1023" s="554"/>
      <c r="F1023" s="465"/>
    </row>
    <row r="1024" spans="2:6">
      <c r="B1024" s="465"/>
      <c r="C1024" s="465"/>
      <c r="D1024" s="465"/>
      <c r="E1024" s="554"/>
      <c r="F1024" s="465"/>
    </row>
    <row r="1025" spans="2:6">
      <c r="B1025" s="465"/>
      <c r="C1025" s="465"/>
      <c r="D1025" s="465"/>
      <c r="E1025" s="554"/>
      <c r="F1025" s="465"/>
    </row>
    <row r="1026" spans="2:6">
      <c r="B1026" s="465"/>
      <c r="C1026" s="465"/>
      <c r="D1026" s="465"/>
      <c r="E1026" s="554"/>
      <c r="F1026" s="465"/>
    </row>
    <row r="1027" spans="2:6">
      <c r="B1027" s="465"/>
      <c r="C1027" s="465"/>
      <c r="D1027" s="465"/>
      <c r="E1027" s="554"/>
      <c r="F1027" s="465"/>
    </row>
    <row r="1028" spans="2:6">
      <c r="B1028" s="465"/>
      <c r="C1028" s="465"/>
      <c r="D1028" s="465"/>
      <c r="E1028" s="554"/>
      <c r="F1028" s="465"/>
    </row>
    <row r="1029" spans="2:6">
      <c r="B1029" s="465"/>
      <c r="C1029" s="465"/>
      <c r="D1029" s="465"/>
      <c r="E1029" s="554"/>
      <c r="F1029" s="465"/>
    </row>
    <row r="1030" spans="2:6">
      <c r="B1030" s="465"/>
      <c r="C1030" s="465"/>
      <c r="D1030" s="465"/>
      <c r="E1030" s="554"/>
      <c r="F1030" s="465"/>
    </row>
    <row r="1031" spans="2:6">
      <c r="B1031" s="465"/>
      <c r="C1031" s="465"/>
      <c r="D1031" s="465"/>
      <c r="E1031" s="554"/>
      <c r="F1031" s="465"/>
    </row>
    <row r="1032" spans="2:6">
      <c r="B1032" s="465"/>
      <c r="C1032" s="465"/>
      <c r="D1032" s="465"/>
      <c r="E1032" s="554"/>
      <c r="F1032" s="465"/>
    </row>
    <row r="1033" spans="2:6">
      <c r="B1033" s="465"/>
      <c r="C1033" s="465"/>
      <c r="D1033" s="465"/>
      <c r="E1033" s="554"/>
      <c r="F1033" s="465"/>
    </row>
    <row r="1034" spans="2:6">
      <c r="B1034" s="465"/>
      <c r="C1034" s="465"/>
      <c r="D1034" s="465"/>
      <c r="E1034" s="554"/>
      <c r="F1034" s="465"/>
    </row>
    <row r="1035" spans="2:6">
      <c r="B1035" s="465"/>
      <c r="C1035" s="465"/>
      <c r="D1035" s="465"/>
      <c r="E1035" s="554"/>
      <c r="F1035" s="465"/>
    </row>
    <row r="1036" spans="2:6">
      <c r="B1036" s="465"/>
      <c r="C1036" s="465"/>
      <c r="D1036" s="465"/>
      <c r="E1036" s="554"/>
      <c r="F1036" s="465"/>
    </row>
    <row r="1037" spans="2:6">
      <c r="B1037" s="465"/>
      <c r="C1037" s="465"/>
      <c r="D1037" s="465"/>
      <c r="E1037" s="554"/>
      <c r="F1037" s="465"/>
    </row>
    <row r="1038" spans="2:6">
      <c r="B1038" s="465"/>
      <c r="C1038" s="465"/>
      <c r="D1038" s="465"/>
      <c r="E1038" s="554"/>
      <c r="F1038" s="465"/>
    </row>
    <row r="1039" spans="2:6">
      <c r="B1039" s="465"/>
      <c r="C1039" s="465"/>
      <c r="D1039" s="465"/>
      <c r="E1039" s="554"/>
      <c r="F1039" s="465"/>
    </row>
    <row r="1040" spans="2:6">
      <c r="B1040" s="465"/>
      <c r="C1040" s="465"/>
      <c r="D1040" s="465"/>
      <c r="E1040" s="554"/>
      <c r="F1040" s="465"/>
    </row>
    <row r="1041" spans="2:6">
      <c r="B1041" s="465"/>
      <c r="C1041" s="465"/>
      <c r="D1041" s="465"/>
      <c r="E1041" s="554"/>
      <c r="F1041" s="465"/>
    </row>
    <row r="1042" spans="2:6">
      <c r="B1042" s="465"/>
      <c r="C1042" s="465"/>
      <c r="D1042" s="465"/>
      <c r="E1042" s="554"/>
      <c r="F1042" s="465"/>
    </row>
    <row r="1043" spans="2:6">
      <c r="B1043" s="465"/>
      <c r="C1043" s="465"/>
      <c r="D1043" s="465"/>
      <c r="E1043" s="554"/>
      <c r="F1043" s="465"/>
    </row>
    <row r="1044" spans="2:6">
      <c r="B1044" s="465"/>
      <c r="C1044" s="465"/>
      <c r="D1044" s="465"/>
      <c r="E1044" s="554"/>
      <c r="F1044" s="465"/>
    </row>
    <row r="1045" spans="2:6">
      <c r="B1045" s="465"/>
      <c r="C1045" s="465"/>
      <c r="D1045" s="465"/>
      <c r="E1045" s="554"/>
      <c r="F1045" s="465"/>
    </row>
    <row r="1046" spans="2:6">
      <c r="B1046" s="465"/>
      <c r="C1046" s="465"/>
      <c r="D1046" s="465"/>
      <c r="E1046" s="554"/>
      <c r="F1046" s="465"/>
    </row>
    <row r="1047" spans="2:6">
      <c r="B1047" s="465"/>
      <c r="C1047" s="465"/>
      <c r="D1047" s="465"/>
      <c r="E1047" s="554"/>
      <c r="F1047" s="465"/>
    </row>
    <row r="1048" spans="2:6">
      <c r="B1048" s="465"/>
      <c r="C1048" s="465"/>
      <c r="D1048" s="465"/>
      <c r="E1048" s="554"/>
      <c r="F1048" s="465"/>
    </row>
    <row r="1049" spans="2:6">
      <c r="B1049" s="465"/>
      <c r="C1049" s="465"/>
      <c r="D1049" s="465"/>
      <c r="E1049" s="554"/>
      <c r="F1049" s="465"/>
    </row>
    <row r="1050" spans="2:6">
      <c r="B1050" s="465"/>
      <c r="C1050" s="465"/>
      <c r="D1050" s="465"/>
      <c r="E1050" s="554"/>
      <c r="F1050" s="465"/>
    </row>
    <row r="1051" spans="2:6">
      <c r="B1051" s="465"/>
      <c r="C1051" s="465"/>
      <c r="D1051" s="465"/>
      <c r="E1051" s="554"/>
      <c r="F1051" s="465"/>
    </row>
    <row r="1052" spans="2:6">
      <c r="B1052" s="465"/>
      <c r="C1052" s="465"/>
      <c r="D1052" s="465"/>
      <c r="E1052" s="554"/>
      <c r="F1052" s="465"/>
    </row>
    <row r="1053" spans="2:6">
      <c r="B1053" s="465"/>
      <c r="C1053" s="465"/>
      <c r="D1053" s="465"/>
      <c r="E1053" s="554"/>
      <c r="F1053" s="465"/>
    </row>
    <row r="1054" spans="2:6">
      <c r="B1054" s="465"/>
      <c r="C1054" s="465"/>
      <c r="D1054" s="465"/>
      <c r="E1054" s="554"/>
      <c r="F1054" s="465"/>
    </row>
    <row r="1055" spans="2:6">
      <c r="B1055" s="465"/>
      <c r="C1055" s="465"/>
      <c r="D1055" s="465"/>
      <c r="E1055" s="554"/>
      <c r="F1055" s="465"/>
    </row>
    <row r="1056" spans="2:6">
      <c r="B1056" s="465"/>
      <c r="C1056" s="465"/>
      <c r="D1056" s="465"/>
      <c r="E1056" s="554"/>
      <c r="F1056" s="465"/>
    </row>
    <row r="1057" spans="2:6">
      <c r="B1057" s="465"/>
      <c r="C1057" s="465"/>
      <c r="D1057" s="465"/>
      <c r="E1057" s="554"/>
      <c r="F1057" s="465"/>
    </row>
    <row r="1058" spans="2:6">
      <c r="B1058" s="465"/>
      <c r="C1058" s="465"/>
      <c r="D1058" s="465"/>
      <c r="E1058" s="554"/>
      <c r="F1058" s="465"/>
    </row>
    <row r="1059" spans="2:6">
      <c r="B1059" s="465"/>
      <c r="C1059" s="465"/>
      <c r="D1059" s="465"/>
      <c r="E1059" s="554"/>
      <c r="F1059" s="465"/>
    </row>
    <row r="1060" spans="2:6">
      <c r="B1060" s="465"/>
      <c r="C1060" s="465"/>
      <c r="D1060" s="465"/>
      <c r="E1060" s="554"/>
      <c r="F1060" s="465"/>
    </row>
    <row r="1061" spans="2:6">
      <c r="B1061" s="465"/>
      <c r="C1061" s="465"/>
      <c r="D1061" s="465"/>
      <c r="E1061" s="554"/>
      <c r="F1061" s="465"/>
    </row>
    <row r="1062" spans="2:6">
      <c r="B1062" s="465"/>
      <c r="C1062" s="465"/>
      <c r="D1062" s="465"/>
      <c r="E1062" s="554"/>
      <c r="F1062" s="465"/>
    </row>
    <row r="1063" spans="2:6">
      <c r="B1063" s="465"/>
      <c r="C1063" s="465"/>
      <c r="D1063" s="465"/>
      <c r="E1063" s="554"/>
      <c r="F1063" s="465"/>
    </row>
    <row r="1064" spans="2:6">
      <c r="B1064" s="465"/>
      <c r="C1064" s="465"/>
      <c r="D1064" s="465"/>
      <c r="E1064" s="554"/>
      <c r="F1064" s="465"/>
    </row>
    <row r="1065" spans="2:6">
      <c r="B1065" s="465"/>
      <c r="C1065" s="465"/>
      <c r="D1065" s="465"/>
      <c r="E1065" s="554"/>
      <c r="F1065" s="465"/>
    </row>
    <row r="1066" spans="2:6">
      <c r="B1066" s="465"/>
      <c r="C1066" s="465"/>
      <c r="D1066" s="465"/>
      <c r="E1066" s="554"/>
      <c r="F1066" s="465"/>
    </row>
    <row r="1067" spans="2:6">
      <c r="B1067" s="465"/>
      <c r="C1067" s="465"/>
      <c r="D1067" s="465"/>
      <c r="E1067" s="554"/>
      <c r="F1067" s="465"/>
    </row>
    <row r="1068" spans="2:6">
      <c r="B1068" s="465"/>
      <c r="C1068" s="465"/>
      <c r="D1068" s="465"/>
      <c r="E1068" s="554"/>
      <c r="F1068" s="465"/>
    </row>
    <row r="1069" spans="2:6">
      <c r="B1069" s="465"/>
      <c r="C1069" s="465"/>
      <c r="D1069" s="465"/>
      <c r="E1069" s="554"/>
      <c r="F1069" s="465"/>
    </row>
    <row r="1070" spans="2:6">
      <c r="B1070" s="465"/>
      <c r="C1070" s="465"/>
      <c r="D1070" s="465"/>
      <c r="E1070" s="554"/>
      <c r="F1070" s="465"/>
    </row>
    <row r="1071" spans="2:6">
      <c r="B1071" s="465"/>
      <c r="C1071" s="465"/>
      <c r="D1071" s="465"/>
      <c r="E1071" s="554"/>
      <c r="F1071" s="465"/>
    </row>
    <row r="1072" spans="2:6">
      <c r="B1072" s="465"/>
      <c r="C1072" s="465"/>
      <c r="D1072" s="465"/>
      <c r="E1072" s="554"/>
      <c r="F1072" s="465"/>
    </row>
    <row r="1073" spans="2:6">
      <c r="B1073" s="465"/>
      <c r="C1073" s="465"/>
      <c r="D1073" s="465"/>
      <c r="E1073" s="554"/>
      <c r="F1073" s="465"/>
    </row>
    <row r="1074" spans="2:6">
      <c r="B1074" s="465"/>
      <c r="C1074" s="465"/>
      <c r="D1074" s="465"/>
      <c r="E1074" s="554"/>
      <c r="F1074" s="465"/>
    </row>
    <row r="1075" spans="2:6">
      <c r="B1075" s="465"/>
      <c r="C1075" s="465"/>
      <c r="D1075" s="465"/>
      <c r="E1075" s="554"/>
      <c r="F1075" s="465"/>
    </row>
    <row r="1076" spans="2:6">
      <c r="B1076" s="465"/>
      <c r="C1076" s="465"/>
      <c r="D1076" s="465"/>
      <c r="E1076" s="554"/>
      <c r="F1076" s="465"/>
    </row>
    <row r="1077" spans="2:6">
      <c r="B1077" s="465"/>
      <c r="C1077" s="465"/>
      <c r="D1077" s="465"/>
      <c r="E1077" s="554"/>
      <c r="F1077" s="465"/>
    </row>
    <row r="1078" spans="2:6">
      <c r="B1078" s="465"/>
      <c r="C1078" s="465"/>
      <c r="D1078" s="465"/>
      <c r="E1078" s="554"/>
      <c r="F1078" s="465"/>
    </row>
    <row r="1079" spans="2:6">
      <c r="B1079" s="465"/>
      <c r="C1079" s="465"/>
      <c r="D1079" s="465"/>
      <c r="E1079" s="554"/>
      <c r="F1079" s="465"/>
    </row>
    <row r="1080" spans="2:6">
      <c r="B1080" s="465"/>
      <c r="C1080" s="465"/>
      <c r="D1080" s="465"/>
      <c r="E1080" s="554"/>
      <c r="F1080" s="465"/>
    </row>
    <row r="1081" spans="2:6">
      <c r="B1081" s="465"/>
      <c r="C1081" s="465"/>
      <c r="D1081" s="465"/>
      <c r="E1081" s="554"/>
      <c r="F1081" s="465"/>
    </row>
    <row r="1082" spans="2:6">
      <c r="B1082" s="465"/>
      <c r="C1082" s="465"/>
      <c r="D1082" s="465"/>
      <c r="E1082" s="554"/>
      <c r="F1082" s="465"/>
    </row>
    <row r="1083" spans="2:6">
      <c r="B1083" s="465"/>
      <c r="C1083" s="465"/>
      <c r="D1083" s="465"/>
      <c r="E1083" s="554"/>
      <c r="F1083" s="465"/>
    </row>
    <row r="1084" spans="2:6">
      <c r="B1084" s="465"/>
      <c r="C1084" s="465"/>
      <c r="D1084" s="465"/>
      <c r="E1084" s="554"/>
      <c r="F1084" s="465"/>
    </row>
    <row r="1085" spans="2:6">
      <c r="B1085" s="465"/>
      <c r="C1085" s="465"/>
      <c r="D1085" s="465"/>
      <c r="E1085" s="554"/>
      <c r="F1085" s="465"/>
    </row>
    <row r="1086" spans="2:6">
      <c r="B1086" s="465"/>
      <c r="C1086" s="465"/>
      <c r="D1086" s="465"/>
      <c r="E1086" s="554"/>
      <c r="F1086" s="465"/>
    </row>
    <row r="1087" spans="2:6">
      <c r="B1087" s="465"/>
      <c r="C1087" s="465"/>
      <c r="D1087" s="465"/>
      <c r="E1087" s="554"/>
      <c r="F1087" s="465"/>
    </row>
    <row r="1088" spans="2:6">
      <c r="B1088" s="465"/>
      <c r="C1088" s="465"/>
      <c r="D1088" s="465"/>
      <c r="E1088" s="554"/>
      <c r="F1088" s="465"/>
    </row>
    <row r="1089" spans="2:6">
      <c r="B1089" s="465"/>
      <c r="C1089" s="465"/>
      <c r="D1089" s="465"/>
      <c r="E1089" s="554"/>
      <c r="F1089" s="465"/>
    </row>
    <row r="1090" spans="2:6">
      <c r="B1090" s="465"/>
      <c r="C1090" s="465"/>
      <c r="D1090" s="465"/>
      <c r="E1090" s="554"/>
      <c r="F1090" s="465"/>
    </row>
    <row r="1091" spans="2:6">
      <c r="B1091" s="465"/>
      <c r="C1091" s="465"/>
      <c r="D1091" s="465"/>
      <c r="E1091" s="554"/>
      <c r="F1091" s="465"/>
    </row>
    <row r="1092" spans="2:6">
      <c r="B1092" s="465"/>
      <c r="C1092" s="465"/>
      <c r="D1092" s="465"/>
      <c r="E1092" s="554"/>
      <c r="F1092" s="465"/>
    </row>
    <row r="1093" spans="2:6">
      <c r="B1093" s="465"/>
      <c r="C1093" s="465"/>
      <c r="D1093" s="465"/>
      <c r="E1093" s="554"/>
      <c r="F1093" s="465"/>
    </row>
    <row r="1094" spans="2:6">
      <c r="B1094" s="465"/>
      <c r="C1094" s="465"/>
      <c r="D1094" s="465"/>
      <c r="E1094" s="554"/>
      <c r="F1094" s="465"/>
    </row>
    <row r="1095" spans="2:6">
      <c r="B1095" s="465"/>
      <c r="C1095" s="465"/>
      <c r="D1095" s="465"/>
      <c r="E1095" s="554"/>
      <c r="F1095" s="465"/>
    </row>
    <row r="1096" spans="2:6">
      <c r="B1096" s="465"/>
      <c r="C1096" s="465"/>
      <c r="D1096" s="465"/>
      <c r="E1096" s="554"/>
      <c r="F1096" s="465"/>
    </row>
    <row r="1097" spans="2:6">
      <c r="B1097" s="465"/>
      <c r="C1097" s="465"/>
      <c r="D1097" s="465"/>
      <c r="E1097" s="554"/>
      <c r="F1097" s="465"/>
    </row>
    <row r="1098" spans="2:6">
      <c r="B1098" s="465"/>
      <c r="C1098" s="465"/>
      <c r="D1098" s="465"/>
      <c r="E1098" s="554"/>
      <c r="F1098" s="465"/>
    </row>
    <row r="1099" spans="2:6">
      <c r="B1099" s="465"/>
      <c r="C1099" s="465"/>
      <c r="D1099" s="465"/>
      <c r="E1099" s="554"/>
      <c r="F1099" s="465"/>
    </row>
    <row r="1100" spans="2:6">
      <c r="B1100" s="465"/>
      <c r="C1100" s="465"/>
      <c r="D1100" s="465"/>
      <c r="E1100" s="554"/>
      <c r="F1100" s="465"/>
    </row>
    <row r="1101" spans="2:6">
      <c r="B1101" s="465"/>
      <c r="C1101" s="465"/>
      <c r="D1101" s="465"/>
      <c r="E1101" s="554"/>
      <c r="F1101" s="465"/>
    </row>
    <row r="1102" spans="2:6">
      <c r="B1102" s="465"/>
      <c r="C1102" s="465"/>
      <c r="D1102" s="465"/>
      <c r="E1102" s="554"/>
      <c r="F1102" s="465"/>
    </row>
    <row r="1103" spans="2:6">
      <c r="B1103" s="465"/>
      <c r="C1103" s="465"/>
      <c r="D1103" s="465"/>
      <c r="E1103" s="554"/>
      <c r="F1103" s="465"/>
    </row>
    <row r="1104" spans="2:6">
      <c r="B1104" s="465"/>
      <c r="C1104" s="465"/>
      <c r="D1104" s="465"/>
      <c r="E1104" s="554"/>
      <c r="F1104" s="465"/>
    </row>
    <row r="1105" spans="2:6">
      <c r="B1105" s="465"/>
      <c r="C1105" s="465"/>
      <c r="D1105" s="465"/>
      <c r="E1105" s="554"/>
      <c r="F1105" s="465"/>
    </row>
    <row r="1106" spans="2:6">
      <c r="B1106" s="465"/>
      <c r="C1106" s="465"/>
      <c r="D1106" s="465"/>
      <c r="E1106" s="554"/>
      <c r="F1106" s="465"/>
    </row>
    <row r="1107" spans="2:6">
      <c r="B1107" s="465"/>
      <c r="C1107" s="465"/>
      <c r="D1107" s="465"/>
      <c r="E1107" s="554"/>
      <c r="F1107" s="465"/>
    </row>
    <row r="1108" spans="2:6">
      <c r="B1108" s="465"/>
      <c r="C1108" s="465"/>
      <c r="D1108" s="465"/>
      <c r="E1108" s="554"/>
      <c r="F1108" s="465"/>
    </row>
    <row r="1109" spans="2:6">
      <c r="B1109" s="465"/>
      <c r="C1109" s="465"/>
      <c r="D1109" s="465"/>
      <c r="E1109" s="554"/>
      <c r="F1109" s="465"/>
    </row>
    <row r="1110" spans="2:6">
      <c r="B1110" s="465"/>
      <c r="C1110" s="465"/>
      <c r="D1110" s="465"/>
      <c r="E1110" s="554"/>
      <c r="F1110" s="465"/>
    </row>
    <row r="1111" spans="2:6">
      <c r="B1111" s="465"/>
      <c r="C1111" s="465"/>
      <c r="D1111" s="465"/>
      <c r="E1111" s="554"/>
      <c r="F1111" s="465"/>
    </row>
    <row r="1112" spans="2:6">
      <c r="B1112" s="465"/>
      <c r="C1112" s="465"/>
      <c r="D1112" s="465"/>
      <c r="E1112" s="554"/>
      <c r="F1112" s="465"/>
    </row>
    <row r="1113" spans="2:6">
      <c r="B1113" s="465"/>
      <c r="C1113" s="465"/>
      <c r="D1113" s="465"/>
      <c r="E1113" s="554"/>
      <c r="F1113" s="465"/>
    </row>
    <row r="1114" spans="2:6">
      <c r="B1114" s="465"/>
      <c r="C1114" s="465"/>
      <c r="D1114" s="465"/>
      <c r="E1114" s="554"/>
      <c r="F1114" s="465"/>
    </row>
    <row r="1115" spans="2:6">
      <c r="B1115" s="465"/>
      <c r="C1115" s="465"/>
      <c r="D1115" s="465"/>
      <c r="E1115" s="554"/>
      <c r="F1115" s="465"/>
    </row>
    <row r="1116" spans="2:6">
      <c r="B1116" s="465"/>
      <c r="C1116" s="465"/>
      <c r="D1116" s="465"/>
      <c r="E1116" s="554"/>
      <c r="F1116" s="465"/>
    </row>
    <row r="1117" spans="2:6">
      <c r="B1117" s="465"/>
      <c r="C1117" s="465"/>
      <c r="D1117" s="465"/>
      <c r="E1117" s="554"/>
      <c r="F1117" s="465"/>
    </row>
    <row r="1118" spans="2:6">
      <c r="B1118" s="465"/>
      <c r="C1118" s="465"/>
      <c r="D1118" s="465"/>
      <c r="E1118" s="554"/>
      <c r="F1118" s="465"/>
    </row>
    <row r="1119" spans="2:6">
      <c r="B1119" s="465"/>
      <c r="C1119" s="465"/>
      <c r="D1119" s="465"/>
      <c r="E1119" s="554"/>
      <c r="F1119" s="465"/>
    </row>
    <row r="1120" spans="2:6">
      <c r="B1120" s="465"/>
      <c r="C1120" s="465"/>
      <c r="D1120" s="465"/>
      <c r="E1120" s="554"/>
      <c r="F1120" s="465"/>
    </row>
    <row r="1121" spans="2:6">
      <c r="B1121" s="465"/>
      <c r="C1121" s="465"/>
      <c r="D1121" s="465"/>
      <c r="E1121" s="554"/>
      <c r="F1121" s="465"/>
    </row>
    <row r="1122" spans="2:6">
      <c r="B1122" s="465"/>
      <c r="C1122" s="465"/>
      <c r="D1122" s="465"/>
      <c r="E1122" s="554"/>
      <c r="F1122" s="465"/>
    </row>
    <row r="1123" spans="2:6">
      <c r="B1123" s="465"/>
      <c r="C1123" s="465"/>
      <c r="D1123" s="465"/>
      <c r="E1123" s="554"/>
      <c r="F1123" s="465"/>
    </row>
    <row r="1124" spans="2:6">
      <c r="B1124" s="465"/>
      <c r="C1124" s="465"/>
      <c r="D1124" s="465"/>
      <c r="E1124" s="554"/>
      <c r="F1124" s="465"/>
    </row>
    <row r="1125" spans="2:6">
      <c r="B1125" s="465"/>
      <c r="C1125" s="465"/>
      <c r="D1125" s="465"/>
      <c r="E1125" s="554"/>
      <c r="F1125" s="465"/>
    </row>
    <row r="1126" spans="2:6">
      <c r="B1126" s="465"/>
      <c r="C1126" s="465"/>
      <c r="D1126" s="465"/>
      <c r="E1126" s="554"/>
      <c r="F1126" s="465"/>
    </row>
    <row r="1127" spans="2:6">
      <c r="B1127" s="465"/>
      <c r="C1127" s="465"/>
      <c r="D1127" s="465"/>
      <c r="E1127" s="554"/>
      <c r="F1127" s="465"/>
    </row>
    <row r="1128" spans="2:6">
      <c r="B1128" s="465"/>
      <c r="C1128" s="465"/>
      <c r="D1128" s="465"/>
      <c r="E1128" s="554"/>
      <c r="F1128" s="465"/>
    </row>
    <row r="1129" spans="2:6">
      <c r="B1129" s="465"/>
      <c r="C1129" s="465"/>
      <c r="D1129" s="465"/>
      <c r="E1129" s="554"/>
      <c r="F1129" s="465"/>
    </row>
    <row r="1130" spans="2:6">
      <c r="B1130" s="465"/>
      <c r="C1130" s="465"/>
      <c r="D1130" s="465"/>
      <c r="E1130" s="554"/>
      <c r="F1130" s="465"/>
    </row>
    <row r="1131" spans="2:6">
      <c r="B1131" s="465"/>
      <c r="C1131" s="465"/>
      <c r="D1131" s="465"/>
      <c r="E1131" s="554"/>
      <c r="F1131" s="465"/>
    </row>
    <row r="1132" spans="2:6">
      <c r="B1132" s="465"/>
      <c r="C1132" s="465"/>
      <c r="D1132" s="465"/>
      <c r="E1132" s="554"/>
      <c r="F1132" s="465"/>
    </row>
    <row r="1133" spans="2:6">
      <c r="B1133" s="465"/>
      <c r="C1133" s="465"/>
      <c r="D1133" s="465"/>
      <c r="E1133" s="554"/>
      <c r="F1133" s="465"/>
    </row>
    <row r="1134" spans="2:6">
      <c r="B1134" s="465"/>
      <c r="C1134" s="465"/>
      <c r="D1134" s="465"/>
      <c r="E1134" s="554"/>
      <c r="F1134" s="465"/>
    </row>
    <row r="1135" spans="2:6">
      <c r="B1135" s="465"/>
      <c r="C1135" s="465"/>
      <c r="D1135" s="465"/>
      <c r="E1135" s="554"/>
      <c r="F1135" s="465"/>
    </row>
    <row r="1136" spans="2:6">
      <c r="B1136" s="465"/>
      <c r="C1136" s="465"/>
      <c r="D1136" s="465"/>
      <c r="E1136" s="554"/>
      <c r="F1136" s="465"/>
    </row>
    <row r="1137" spans="2:6">
      <c r="B1137" s="465"/>
      <c r="C1137" s="465"/>
      <c r="D1137" s="465"/>
      <c r="E1137" s="554"/>
      <c r="F1137" s="465"/>
    </row>
    <row r="1138" spans="2:6">
      <c r="B1138" s="465"/>
      <c r="C1138" s="465"/>
      <c r="D1138" s="465"/>
      <c r="E1138" s="554"/>
      <c r="F1138" s="465"/>
    </row>
    <row r="1139" spans="2:6">
      <c r="B1139" s="465"/>
      <c r="C1139" s="465"/>
      <c r="D1139" s="465"/>
      <c r="E1139" s="554"/>
      <c r="F1139" s="465"/>
    </row>
    <row r="1140" spans="2:6">
      <c r="B1140" s="465"/>
      <c r="C1140" s="465"/>
      <c r="D1140" s="465"/>
      <c r="E1140" s="554"/>
      <c r="F1140" s="465"/>
    </row>
    <row r="1141" spans="2:6">
      <c r="B1141" s="465"/>
      <c r="C1141" s="465"/>
      <c r="D1141" s="465"/>
      <c r="E1141" s="554"/>
      <c r="F1141" s="465"/>
    </row>
    <row r="1142" spans="2:6">
      <c r="B1142" s="465"/>
      <c r="C1142" s="465"/>
      <c r="D1142" s="465"/>
      <c r="E1142" s="554"/>
      <c r="F1142" s="465"/>
    </row>
    <row r="1143" spans="2:6">
      <c r="B1143" s="465"/>
      <c r="C1143" s="465"/>
      <c r="D1143" s="465"/>
      <c r="E1143" s="554"/>
      <c r="F1143" s="465"/>
    </row>
    <row r="1144" spans="2:6">
      <c r="B1144" s="465"/>
      <c r="C1144" s="465"/>
      <c r="D1144" s="465"/>
      <c r="E1144" s="554"/>
      <c r="F1144" s="465"/>
    </row>
    <row r="1145" spans="2:6">
      <c r="B1145" s="465"/>
      <c r="C1145" s="465"/>
      <c r="D1145" s="465"/>
      <c r="E1145" s="554"/>
      <c r="F1145" s="465"/>
    </row>
    <row r="1146" spans="2:6">
      <c r="B1146" s="465"/>
      <c r="C1146" s="465"/>
      <c r="D1146" s="465"/>
      <c r="E1146" s="554"/>
      <c r="F1146" s="465"/>
    </row>
    <row r="1147" spans="2:6">
      <c r="B1147" s="465"/>
      <c r="C1147" s="465"/>
      <c r="D1147" s="465"/>
      <c r="E1147" s="554"/>
      <c r="F1147" s="465"/>
    </row>
    <row r="1148" spans="2:6">
      <c r="B1148" s="465"/>
      <c r="C1148" s="465"/>
      <c r="D1148" s="465"/>
      <c r="E1148" s="554"/>
      <c r="F1148" s="465"/>
    </row>
    <row r="1149" spans="2:6">
      <c r="B1149" s="465"/>
      <c r="C1149" s="465"/>
      <c r="D1149" s="465"/>
      <c r="E1149" s="554"/>
      <c r="F1149" s="465"/>
    </row>
    <row r="1150" spans="2:6">
      <c r="B1150" s="465"/>
      <c r="C1150" s="465"/>
      <c r="D1150" s="465"/>
      <c r="E1150" s="554"/>
      <c r="F1150" s="465"/>
    </row>
    <row r="1151" spans="2:6">
      <c r="B1151" s="465"/>
      <c r="C1151" s="465"/>
      <c r="D1151" s="465"/>
      <c r="E1151" s="554"/>
      <c r="F1151" s="465"/>
    </row>
    <row r="1152" spans="2:6">
      <c r="B1152" s="465"/>
      <c r="C1152" s="465"/>
      <c r="D1152" s="465"/>
      <c r="E1152" s="554"/>
      <c r="F1152" s="465"/>
    </row>
    <row r="1153" spans="2:6">
      <c r="B1153" s="465"/>
      <c r="C1153" s="465"/>
      <c r="D1153" s="465"/>
      <c r="E1153" s="554"/>
      <c r="F1153" s="465"/>
    </row>
    <row r="1154" spans="2:6">
      <c r="B1154" s="465"/>
      <c r="C1154" s="465"/>
      <c r="D1154" s="465"/>
      <c r="E1154" s="554"/>
      <c r="F1154" s="465"/>
    </row>
    <row r="1155" spans="2:6">
      <c r="B1155" s="465"/>
      <c r="C1155" s="465"/>
      <c r="D1155" s="465"/>
      <c r="E1155" s="554"/>
      <c r="F1155" s="465"/>
    </row>
    <row r="1156" spans="2:6">
      <c r="B1156" s="465"/>
      <c r="C1156" s="465"/>
      <c r="D1156" s="465"/>
      <c r="E1156" s="554"/>
      <c r="F1156" s="465"/>
    </row>
    <row r="1157" spans="2:6">
      <c r="B1157" s="465"/>
      <c r="C1157" s="465"/>
      <c r="D1157" s="465"/>
      <c r="E1157" s="554"/>
      <c r="F1157" s="465"/>
    </row>
    <row r="1158" spans="2:6">
      <c r="B1158" s="465"/>
      <c r="C1158" s="465"/>
      <c r="D1158" s="465"/>
      <c r="E1158" s="554"/>
      <c r="F1158" s="465"/>
    </row>
    <row r="1159" spans="2:6">
      <c r="B1159" s="465"/>
      <c r="C1159" s="465"/>
      <c r="D1159" s="465"/>
      <c r="E1159" s="554"/>
      <c r="F1159" s="465"/>
    </row>
    <row r="1160" spans="2:6">
      <c r="B1160" s="465"/>
      <c r="C1160" s="465"/>
      <c r="D1160" s="465"/>
      <c r="E1160" s="554"/>
      <c r="F1160" s="465"/>
    </row>
    <row r="1161" spans="2:6">
      <c r="B1161" s="465"/>
      <c r="C1161" s="465"/>
      <c r="D1161" s="465"/>
      <c r="E1161" s="554"/>
      <c r="F1161" s="465"/>
    </row>
    <row r="1162" spans="2:6">
      <c r="B1162" s="465"/>
      <c r="C1162" s="465"/>
      <c r="D1162" s="465"/>
      <c r="E1162" s="554"/>
      <c r="F1162" s="465"/>
    </row>
    <row r="1163" spans="2:6">
      <c r="B1163" s="465"/>
      <c r="C1163" s="465"/>
      <c r="D1163" s="465"/>
      <c r="E1163" s="554"/>
      <c r="F1163" s="465"/>
    </row>
    <row r="1164" spans="2:6">
      <c r="B1164" s="465"/>
      <c r="C1164" s="465"/>
      <c r="D1164" s="465"/>
      <c r="E1164" s="554"/>
      <c r="F1164" s="465"/>
    </row>
    <row r="1165" spans="2:6">
      <c r="B1165" s="465"/>
      <c r="C1165" s="465"/>
      <c r="D1165" s="465"/>
      <c r="E1165" s="554"/>
      <c r="F1165" s="465"/>
    </row>
    <row r="1166" spans="2:6">
      <c r="B1166" s="465"/>
      <c r="C1166" s="465"/>
      <c r="D1166" s="465"/>
      <c r="E1166" s="554"/>
      <c r="F1166" s="465"/>
    </row>
    <row r="1167" spans="2:6">
      <c r="B1167" s="465"/>
      <c r="C1167" s="465"/>
      <c r="D1167" s="465"/>
      <c r="E1167" s="554"/>
      <c r="F1167" s="465"/>
    </row>
    <row r="1168" spans="2:6">
      <c r="B1168" s="465"/>
      <c r="C1168" s="465"/>
      <c r="D1168" s="465"/>
      <c r="E1168" s="554"/>
      <c r="F1168" s="465"/>
    </row>
    <row r="1169" spans="2:6">
      <c r="B1169" s="465"/>
      <c r="C1169" s="465"/>
      <c r="D1169" s="465"/>
      <c r="E1169" s="554"/>
      <c r="F1169" s="465"/>
    </row>
    <row r="1170" spans="2:6">
      <c r="B1170" s="465"/>
      <c r="C1170" s="465"/>
      <c r="D1170" s="465"/>
      <c r="E1170" s="554"/>
      <c r="F1170" s="465"/>
    </row>
    <row r="1171" spans="2:6">
      <c r="B1171" s="465"/>
      <c r="C1171" s="465"/>
      <c r="D1171" s="465"/>
      <c r="E1171" s="554"/>
      <c r="F1171" s="465"/>
    </row>
    <row r="1172" spans="2:6">
      <c r="B1172" s="465"/>
      <c r="C1172" s="465"/>
      <c r="D1172" s="465"/>
      <c r="E1172" s="554"/>
      <c r="F1172" s="465"/>
    </row>
    <row r="1173" spans="2:6">
      <c r="B1173" s="465"/>
      <c r="C1173" s="465"/>
      <c r="D1173" s="465"/>
      <c r="E1173" s="554"/>
      <c r="F1173" s="465"/>
    </row>
    <row r="1174" spans="2:6">
      <c r="B1174" s="465"/>
      <c r="C1174" s="465"/>
      <c r="D1174" s="465"/>
      <c r="E1174" s="554"/>
      <c r="F1174" s="465"/>
    </row>
    <row r="1175" spans="2:6">
      <c r="B1175" s="465"/>
      <c r="C1175" s="465"/>
      <c r="D1175" s="465"/>
      <c r="E1175" s="554"/>
      <c r="F1175" s="465"/>
    </row>
    <row r="1176" spans="2:6">
      <c r="B1176" s="465"/>
      <c r="C1176" s="465"/>
      <c r="D1176" s="465"/>
      <c r="E1176" s="554"/>
      <c r="F1176" s="465"/>
    </row>
    <row r="1177" spans="2:6">
      <c r="B1177" s="465"/>
      <c r="C1177" s="465"/>
      <c r="D1177" s="465"/>
      <c r="E1177" s="554"/>
      <c r="F1177" s="465"/>
    </row>
    <row r="1178" spans="2:6">
      <c r="B1178" s="465"/>
      <c r="C1178" s="465"/>
      <c r="D1178" s="465"/>
      <c r="E1178" s="554"/>
      <c r="F1178" s="465"/>
    </row>
    <row r="1179" spans="2:6">
      <c r="B1179" s="465"/>
      <c r="C1179" s="465"/>
      <c r="D1179" s="465"/>
      <c r="E1179" s="554"/>
      <c r="F1179" s="465"/>
    </row>
    <row r="1180" spans="2:6">
      <c r="B1180" s="465"/>
      <c r="C1180" s="465"/>
      <c r="D1180" s="465"/>
      <c r="E1180" s="554"/>
      <c r="F1180" s="465"/>
    </row>
    <row r="1181" spans="2:6">
      <c r="B1181" s="465"/>
      <c r="C1181" s="465"/>
      <c r="D1181" s="465"/>
      <c r="E1181" s="554"/>
      <c r="F1181" s="465"/>
    </row>
    <row r="1182" spans="2:6">
      <c r="B1182" s="465"/>
      <c r="C1182" s="465"/>
      <c r="D1182" s="465"/>
      <c r="E1182" s="554"/>
      <c r="F1182" s="465"/>
    </row>
    <row r="1183" spans="2:6">
      <c r="B1183" s="465"/>
      <c r="C1183" s="465"/>
      <c r="D1183" s="465"/>
      <c r="E1183" s="554"/>
      <c r="F1183" s="465"/>
    </row>
    <row r="1184" spans="2:6">
      <c r="B1184" s="465"/>
      <c r="C1184" s="465"/>
      <c r="D1184" s="465"/>
      <c r="E1184" s="554"/>
      <c r="F1184" s="465"/>
    </row>
    <row r="1185" spans="2:6">
      <c r="B1185" s="465"/>
      <c r="C1185" s="465"/>
      <c r="D1185" s="465"/>
      <c r="E1185" s="554"/>
      <c r="F1185" s="465"/>
    </row>
    <row r="1186" spans="2:6">
      <c r="B1186" s="465"/>
      <c r="C1186" s="465"/>
      <c r="D1186" s="465"/>
      <c r="E1186" s="554"/>
      <c r="F1186" s="465"/>
    </row>
    <row r="1187" spans="2:6">
      <c r="B1187" s="465"/>
      <c r="C1187" s="465"/>
      <c r="D1187" s="465"/>
      <c r="E1187" s="554"/>
      <c r="F1187" s="465"/>
    </row>
    <row r="1188" spans="2:6">
      <c r="B1188" s="465"/>
      <c r="C1188" s="465"/>
      <c r="D1188" s="465"/>
      <c r="E1188" s="554"/>
      <c r="F1188" s="465"/>
    </row>
    <row r="1189" spans="2:6">
      <c r="B1189" s="465"/>
      <c r="C1189" s="465"/>
      <c r="D1189" s="465"/>
      <c r="E1189" s="554"/>
      <c r="F1189" s="465"/>
    </row>
    <row r="1190" spans="2:6">
      <c r="B1190" s="465"/>
      <c r="C1190" s="465"/>
      <c r="D1190" s="465"/>
      <c r="E1190" s="554"/>
      <c r="F1190" s="465"/>
    </row>
    <row r="1191" spans="2:6">
      <c r="B1191" s="465"/>
      <c r="C1191" s="465"/>
      <c r="D1191" s="465"/>
      <c r="E1191" s="554"/>
      <c r="F1191" s="465"/>
    </row>
    <row r="1192" spans="2:6">
      <c r="B1192" s="465"/>
      <c r="C1192" s="465"/>
      <c r="D1192" s="465"/>
      <c r="E1192" s="554"/>
      <c r="F1192" s="465"/>
    </row>
    <row r="1193" spans="2:6">
      <c r="B1193" s="465"/>
      <c r="C1193" s="465"/>
      <c r="D1193" s="465"/>
      <c r="E1193" s="554"/>
      <c r="F1193" s="465"/>
    </row>
    <row r="1194" spans="2:6">
      <c r="B1194" s="465"/>
      <c r="C1194" s="465"/>
      <c r="D1194" s="465"/>
      <c r="E1194" s="554"/>
      <c r="F1194" s="465"/>
    </row>
    <row r="1195" spans="2:6">
      <c r="B1195" s="465"/>
      <c r="C1195" s="465"/>
      <c r="D1195" s="465"/>
      <c r="E1195" s="554"/>
      <c r="F1195" s="465"/>
    </row>
    <row r="1196" spans="2:6">
      <c r="B1196" s="465"/>
      <c r="C1196" s="465"/>
      <c r="D1196" s="465"/>
      <c r="E1196" s="554"/>
      <c r="F1196" s="465"/>
    </row>
    <row r="1197" spans="2:6">
      <c r="B1197" s="465"/>
      <c r="C1197" s="465"/>
      <c r="D1197" s="465"/>
      <c r="E1197" s="554"/>
      <c r="F1197" s="465"/>
    </row>
    <row r="1198" spans="2:6">
      <c r="B1198" s="465"/>
      <c r="C1198" s="465"/>
      <c r="D1198" s="465"/>
      <c r="E1198" s="554"/>
      <c r="F1198" s="465"/>
    </row>
    <row r="1199" spans="2:6">
      <c r="B1199" s="465"/>
      <c r="C1199" s="465"/>
      <c r="D1199" s="465"/>
      <c r="E1199" s="554"/>
      <c r="F1199" s="465"/>
    </row>
    <row r="1200" spans="2:6">
      <c r="B1200" s="465"/>
      <c r="C1200" s="465"/>
      <c r="D1200" s="465"/>
      <c r="E1200" s="554"/>
      <c r="F1200" s="465"/>
    </row>
    <row r="1201" spans="2:6">
      <c r="B1201" s="465"/>
      <c r="C1201" s="465"/>
      <c r="D1201" s="465"/>
      <c r="E1201" s="554"/>
      <c r="F1201" s="465"/>
    </row>
    <row r="1202" spans="2:6">
      <c r="B1202" s="465"/>
      <c r="C1202" s="465"/>
      <c r="D1202" s="465"/>
      <c r="E1202" s="554"/>
      <c r="F1202" s="465"/>
    </row>
    <row r="1203" spans="2:6">
      <c r="B1203" s="465"/>
      <c r="C1203" s="465"/>
      <c r="D1203" s="465"/>
      <c r="E1203" s="554"/>
      <c r="F1203" s="465"/>
    </row>
    <row r="1204" spans="2:6">
      <c r="B1204" s="465"/>
      <c r="C1204" s="465"/>
      <c r="D1204" s="465"/>
      <c r="E1204" s="554"/>
      <c r="F1204" s="465"/>
    </row>
    <row r="1205" spans="2:6">
      <c r="B1205" s="465"/>
      <c r="C1205" s="465"/>
      <c r="D1205" s="465"/>
      <c r="E1205" s="554"/>
      <c r="F1205" s="465"/>
    </row>
    <row r="1206" spans="2:6">
      <c r="B1206" s="465"/>
      <c r="C1206" s="465"/>
      <c r="D1206" s="465"/>
      <c r="E1206" s="554"/>
      <c r="F1206" s="465"/>
    </row>
    <row r="1207" spans="2:6">
      <c r="B1207" s="465"/>
      <c r="C1207" s="465"/>
      <c r="D1207" s="465"/>
      <c r="E1207" s="554"/>
      <c r="F1207" s="465"/>
    </row>
    <row r="1208" spans="2:6">
      <c r="B1208" s="465"/>
      <c r="C1208" s="465"/>
      <c r="D1208" s="465"/>
      <c r="E1208" s="554"/>
      <c r="F1208" s="465"/>
    </row>
    <row r="1209" spans="2:6">
      <c r="B1209" s="465"/>
      <c r="C1209" s="465"/>
      <c r="D1209" s="465"/>
      <c r="E1209" s="554"/>
      <c r="F1209" s="465"/>
    </row>
    <row r="1210" spans="2:6">
      <c r="B1210" s="465"/>
      <c r="C1210" s="465"/>
      <c r="D1210" s="465"/>
      <c r="E1210" s="554"/>
      <c r="F1210" s="465"/>
    </row>
    <row r="1211" spans="2:6">
      <c r="B1211" s="465"/>
      <c r="C1211" s="465"/>
      <c r="D1211" s="465"/>
      <c r="E1211" s="554"/>
      <c r="F1211" s="465"/>
    </row>
    <row r="1212" spans="2:6">
      <c r="B1212" s="465"/>
      <c r="C1212" s="465"/>
      <c r="D1212" s="465"/>
      <c r="E1212" s="554"/>
      <c r="F1212" s="465"/>
    </row>
    <row r="1213" spans="2:6">
      <c r="B1213" s="465"/>
      <c r="C1213" s="465"/>
      <c r="D1213" s="465"/>
      <c r="E1213" s="554"/>
      <c r="F1213" s="465"/>
    </row>
    <row r="1214" spans="2:6">
      <c r="B1214" s="465"/>
      <c r="C1214" s="465"/>
      <c r="D1214" s="465"/>
      <c r="E1214" s="554"/>
      <c r="F1214" s="465"/>
    </row>
    <row r="1215" spans="2:6">
      <c r="B1215" s="465"/>
      <c r="C1215" s="465"/>
      <c r="D1215" s="465"/>
      <c r="E1215" s="554"/>
      <c r="F1215" s="465"/>
    </row>
    <row r="1216" spans="2:6">
      <c r="B1216" s="465"/>
      <c r="C1216" s="465"/>
      <c r="D1216" s="465"/>
      <c r="E1216" s="554"/>
      <c r="F1216" s="465"/>
    </row>
    <row r="1217" spans="2:6">
      <c r="B1217" s="465"/>
      <c r="C1217" s="465"/>
      <c r="D1217" s="465"/>
      <c r="E1217" s="554"/>
      <c r="F1217" s="465"/>
    </row>
    <row r="1218" spans="2:6">
      <c r="B1218" s="465"/>
      <c r="C1218" s="465"/>
      <c r="D1218" s="465"/>
      <c r="E1218" s="554"/>
      <c r="F1218" s="465"/>
    </row>
    <row r="1219" spans="2:6">
      <c r="B1219" s="465"/>
      <c r="C1219" s="465"/>
      <c r="D1219" s="465"/>
      <c r="E1219" s="554"/>
      <c r="F1219" s="465"/>
    </row>
    <row r="1220" spans="2:6">
      <c r="B1220" s="465"/>
      <c r="C1220" s="465"/>
      <c r="D1220" s="465"/>
      <c r="E1220" s="554"/>
      <c r="F1220" s="465"/>
    </row>
    <row r="1221" spans="2:6">
      <c r="B1221" s="465"/>
      <c r="C1221" s="465"/>
      <c r="D1221" s="465"/>
      <c r="E1221" s="554"/>
      <c r="F1221" s="465"/>
    </row>
    <row r="1222" spans="2:6">
      <c r="B1222" s="465"/>
      <c r="C1222" s="465"/>
      <c r="D1222" s="465"/>
      <c r="E1222" s="554"/>
      <c r="F1222" s="465"/>
    </row>
    <row r="1223" spans="2:6">
      <c r="B1223" s="465"/>
      <c r="C1223" s="465"/>
      <c r="D1223" s="465"/>
      <c r="E1223" s="554"/>
      <c r="F1223" s="465"/>
    </row>
    <row r="1224" spans="2:6">
      <c r="B1224" s="465"/>
      <c r="C1224" s="465"/>
      <c r="D1224" s="465"/>
      <c r="E1224" s="554"/>
      <c r="F1224" s="465"/>
    </row>
    <row r="1225" spans="2:6">
      <c r="B1225" s="465"/>
      <c r="C1225" s="465"/>
      <c r="D1225" s="465"/>
      <c r="E1225" s="554"/>
      <c r="F1225" s="465"/>
    </row>
    <row r="1226" spans="2:6">
      <c r="B1226" s="465"/>
      <c r="C1226" s="465"/>
      <c r="D1226" s="465"/>
      <c r="E1226" s="554"/>
      <c r="F1226" s="465"/>
    </row>
    <row r="1227" spans="2:6">
      <c r="B1227" s="465"/>
      <c r="C1227" s="465"/>
      <c r="D1227" s="465"/>
      <c r="E1227" s="554"/>
      <c r="F1227" s="465"/>
    </row>
    <row r="1228" spans="2:6">
      <c r="B1228" s="465"/>
      <c r="C1228" s="465"/>
      <c r="D1228" s="465"/>
      <c r="E1228" s="554"/>
      <c r="F1228" s="465"/>
    </row>
    <row r="1229" spans="2:6">
      <c r="B1229" s="465"/>
      <c r="C1229" s="465"/>
      <c r="D1229" s="465"/>
      <c r="E1229" s="554"/>
      <c r="F1229" s="465"/>
    </row>
    <row r="1230" spans="2:6">
      <c r="B1230" s="465"/>
      <c r="C1230" s="465"/>
      <c r="D1230" s="465"/>
      <c r="E1230" s="554"/>
      <c r="F1230" s="465"/>
    </row>
    <row r="1231" spans="2:6">
      <c r="B1231" s="465"/>
      <c r="C1231" s="465"/>
      <c r="D1231" s="465"/>
      <c r="E1231" s="554"/>
      <c r="F1231" s="465"/>
    </row>
    <row r="1232" spans="2:6">
      <c r="B1232" s="465"/>
      <c r="C1232" s="465"/>
      <c r="D1232" s="465"/>
      <c r="E1232" s="554"/>
      <c r="F1232" s="465"/>
    </row>
    <row r="1233" spans="2:6">
      <c r="B1233" s="465"/>
      <c r="C1233" s="465"/>
      <c r="D1233" s="465"/>
      <c r="E1233" s="554"/>
      <c r="F1233" s="465"/>
    </row>
    <row r="1234" spans="2:6">
      <c r="B1234" s="465"/>
      <c r="C1234" s="465"/>
      <c r="D1234" s="465"/>
      <c r="E1234" s="554"/>
      <c r="F1234" s="465"/>
    </row>
    <row r="1235" spans="2:6">
      <c r="B1235" s="465"/>
      <c r="C1235" s="465"/>
      <c r="D1235" s="465"/>
      <c r="E1235" s="554"/>
      <c r="F1235" s="465"/>
    </row>
    <row r="1236" spans="2:6">
      <c r="B1236" s="465"/>
      <c r="C1236" s="465"/>
      <c r="D1236" s="465"/>
      <c r="E1236" s="554"/>
      <c r="F1236" s="465"/>
    </row>
    <row r="1237" spans="2:6">
      <c r="B1237" s="465"/>
      <c r="C1237" s="465"/>
      <c r="D1237" s="465"/>
      <c r="E1237" s="554"/>
      <c r="F1237" s="465"/>
    </row>
    <row r="1238" spans="2:6">
      <c r="B1238" s="465"/>
      <c r="C1238" s="465"/>
      <c r="D1238" s="465"/>
      <c r="E1238" s="554"/>
      <c r="F1238" s="465"/>
    </row>
    <row r="1239" spans="2:6">
      <c r="B1239" s="465"/>
      <c r="C1239" s="465"/>
      <c r="D1239" s="465"/>
      <c r="E1239" s="554"/>
      <c r="F1239" s="465"/>
    </row>
    <row r="1240" spans="2:6">
      <c r="B1240" s="465"/>
      <c r="C1240" s="465"/>
      <c r="D1240" s="465"/>
      <c r="E1240" s="554"/>
      <c r="F1240" s="465"/>
    </row>
    <row r="1241" spans="2:6">
      <c r="B1241" s="465"/>
      <c r="C1241" s="465"/>
      <c r="D1241" s="465"/>
      <c r="E1241" s="554"/>
      <c r="F1241" s="465"/>
    </row>
    <row r="1242" spans="2:6">
      <c r="B1242" s="465"/>
      <c r="C1242" s="465"/>
      <c r="D1242" s="465"/>
      <c r="E1242" s="554"/>
      <c r="F1242" s="465"/>
    </row>
    <row r="1243" spans="2:6">
      <c r="B1243" s="465"/>
      <c r="C1243" s="465"/>
      <c r="D1243" s="465"/>
      <c r="E1243" s="554"/>
      <c r="F1243" s="465"/>
    </row>
    <row r="1244" spans="2:6">
      <c r="B1244" s="465"/>
      <c r="C1244" s="465"/>
      <c r="D1244" s="465"/>
      <c r="E1244" s="554"/>
      <c r="F1244" s="465"/>
    </row>
    <row r="1245" spans="2:6">
      <c r="B1245" s="465"/>
      <c r="C1245" s="465"/>
      <c r="D1245" s="465"/>
      <c r="E1245" s="554"/>
      <c r="F1245" s="465"/>
    </row>
    <row r="1246" spans="2:6">
      <c r="B1246" s="465"/>
      <c r="C1246" s="465"/>
      <c r="D1246" s="465"/>
      <c r="E1246" s="554"/>
      <c r="F1246" s="465"/>
    </row>
    <row r="1247" spans="2:6">
      <c r="B1247" s="465"/>
      <c r="C1247" s="465"/>
      <c r="D1247" s="465"/>
      <c r="E1247" s="554"/>
      <c r="F1247" s="465"/>
    </row>
    <row r="1248" spans="2:6">
      <c r="B1248" s="465"/>
      <c r="C1248" s="465"/>
      <c r="D1248" s="465"/>
      <c r="E1248" s="554"/>
      <c r="F1248" s="465"/>
    </row>
    <row r="1249" spans="2:6">
      <c r="B1249" s="465"/>
      <c r="C1249" s="465"/>
      <c r="D1249" s="465"/>
      <c r="E1249" s="554"/>
      <c r="F1249" s="465"/>
    </row>
    <row r="1250" spans="2:6">
      <c r="B1250" s="465"/>
      <c r="C1250" s="465"/>
      <c r="D1250" s="465"/>
      <c r="E1250" s="554"/>
      <c r="F1250" s="465"/>
    </row>
    <row r="1251" spans="2:6">
      <c r="B1251" s="465"/>
      <c r="C1251" s="465"/>
      <c r="D1251" s="465"/>
      <c r="E1251" s="554"/>
      <c r="F1251" s="465"/>
    </row>
    <row r="1252" spans="2:6">
      <c r="B1252" s="465"/>
      <c r="C1252" s="465"/>
      <c r="D1252" s="465"/>
      <c r="E1252" s="554"/>
      <c r="F1252" s="465"/>
    </row>
    <row r="1253" spans="2:6">
      <c r="B1253" s="465"/>
      <c r="C1253" s="465"/>
      <c r="D1253" s="465"/>
      <c r="E1253" s="554"/>
      <c r="F1253" s="465"/>
    </row>
    <row r="1254" spans="2:6">
      <c r="B1254" s="465"/>
      <c r="C1254" s="465"/>
      <c r="D1254" s="465"/>
      <c r="E1254" s="554"/>
      <c r="F1254" s="465"/>
    </row>
    <row r="1255" spans="2:6">
      <c r="B1255" s="465"/>
      <c r="C1255" s="465"/>
      <c r="D1255" s="465"/>
      <c r="E1255" s="554"/>
      <c r="F1255" s="465"/>
    </row>
    <row r="1256" spans="2:6">
      <c r="B1256" s="465"/>
      <c r="C1256" s="465"/>
      <c r="D1256" s="465"/>
      <c r="E1256" s="554"/>
      <c r="F1256" s="465"/>
    </row>
    <row r="1257" spans="2:6">
      <c r="B1257" s="465"/>
      <c r="C1257" s="465"/>
      <c r="D1257" s="465"/>
      <c r="E1257" s="554"/>
      <c r="F1257" s="465"/>
    </row>
    <row r="1258" spans="2:6">
      <c r="B1258" s="465"/>
      <c r="C1258" s="465"/>
      <c r="D1258" s="465"/>
      <c r="E1258" s="554"/>
      <c r="F1258" s="465"/>
    </row>
    <row r="1259" spans="2:6">
      <c r="B1259" s="465"/>
      <c r="C1259" s="465"/>
      <c r="D1259" s="465"/>
      <c r="E1259" s="554"/>
      <c r="F1259" s="465"/>
    </row>
    <row r="1260" spans="2:6">
      <c r="B1260" s="465"/>
      <c r="C1260" s="465"/>
      <c r="D1260" s="465"/>
      <c r="E1260" s="554"/>
      <c r="F1260" s="465"/>
    </row>
    <row r="1261" spans="2:6">
      <c r="B1261" s="465"/>
      <c r="C1261" s="465"/>
      <c r="D1261" s="465"/>
      <c r="E1261" s="554"/>
      <c r="F1261" s="465"/>
    </row>
    <row r="1262" spans="2:6">
      <c r="B1262" s="465"/>
      <c r="C1262" s="465"/>
      <c r="D1262" s="465"/>
      <c r="E1262" s="554"/>
      <c r="F1262" s="465"/>
    </row>
    <row r="1263" spans="2:6">
      <c r="B1263" s="465"/>
      <c r="C1263" s="465"/>
      <c r="D1263" s="465"/>
      <c r="E1263" s="554"/>
      <c r="F1263" s="465"/>
    </row>
    <row r="1264" spans="2:6">
      <c r="B1264" s="465"/>
      <c r="C1264" s="465"/>
      <c r="D1264" s="465"/>
      <c r="E1264" s="554"/>
      <c r="F1264" s="465"/>
    </row>
    <row r="1265" spans="2:6">
      <c r="B1265" s="465"/>
      <c r="C1265" s="465"/>
      <c r="D1265" s="465"/>
      <c r="E1265" s="554"/>
      <c r="F1265" s="465"/>
    </row>
    <row r="1266" spans="2:6">
      <c r="B1266" s="465"/>
      <c r="C1266" s="465"/>
      <c r="D1266" s="465"/>
      <c r="E1266" s="554"/>
      <c r="F1266" s="465"/>
    </row>
    <row r="1267" spans="2:6">
      <c r="B1267" s="465"/>
      <c r="C1267" s="465"/>
      <c r="D1267" s="465"/>
      <c r="E1267" s="554"/>
      <c r="F1267" s="465"/>
    </row>
    <row r="1268" spans="2:6">
      <c r="B1268" s="465"/>
      <c r="C1268" s="465"/>
      <c r="D1268" s="465"/>
      <c r="E1268" s="554"/>
      <c r="F1268" s="465"/>
    </row>
    <row r="1269" spans="2:6">
      <c r="B1269" s="465"/>
      <c r="C1269" s="465"/>
      <c r="D1269" s="465"/>
      <c r="E1269" s="554"/>
      <c r="F1269" s="465"/>
    </row>
    <row r="1270" spans="2:6">
      <c r="B1270" s="465"/>
      <c r="C1270" s="465"/>
      <c r="D1270" s="465"/>
      <c r="E1270" s="554"/>
      <c r="F1270" s="465"/>
    </row>
    <row r="1271" spans="2:6">
      <c r="B1271" s="465"/>
      <c r="C1271" s="465"/>
      <c r="D1271" s="465"/>
      <c r="E1271" s="554"/>
      <c r="F1271" s="465"/>
    </row>
    <row r="1272" spans="2:6">
      <c r="B1272" s="465"/>
      <c r="C1272" s="465"/>
      <c r="D1272" s="465"/>
      <c r="E1272" s="554"/>
      <c r="F1272" s="465"/>
    </row>
    <row r="1273" spans="2:6">
      <c r="B1273" s="465"/>
      <c r="C1273" s="465"/>
      <c r="D1273" s="465"/>
      <c r="E1273" s="554"/>
      <c r="F1273" s="465"/>
    </row>
    <row r="1274" spans="2:6">
      <c r="B1274" s="465"/>
      <c r="C1274" s="465"/>
      <c r="D1274" s="465"/>
      <c r="E1274" s="554"/>
      <c r="F1274" s="465"/>
    </row>
    <row r="1275" spans="2:6">
      <c r="B1275" s="465"/>
      <c r="C1275" s="465"/>
      <c r="D1275" s="465"/>
      <c r="E1275" s="554"/>
      <c r="F1275" s="465"/>
    </row>
    <row r="1276" spans="2:6">
      <c r="B1276" s="465"/>
      <c r="C1276" s="465"/>
      <c r="D1276" s="465"/>
      <c r="E1276" s="554"/>
      <c r="F1276" s="465"/>
    </row>
    <row r="1277" spans="2:6">
      <c r="B1277" s="465"/>
      <c r="C1277" s="465"/>
      <c r="D1277" s="465"/>
      <c r="E1277" s="554"/>
      <c r="F1277" s="465"/>
    </row>
    <row r="1278" spans="2:6">
      <c r="B1278" s="465"/>
      <c r="C1278" s="465"/>
      <c r="D1278" s="465"/>
      <c r="E1278" s="554"/>
      <c r="F1278" s="465"/>
    </row>
    <row r="1279" spans="2:6">
      <c r="B1279" s="465"/>
      <c r="C1279" s="465"/>
      <c r="D1279" s="465"/>
      <c r="E1279" s="554"/>
      <c r="F1279" s="465"/>
    </row>
    <row r="1280" spans="2:6">
      <c r="B1280" s="465"/>
      <c r="C1280" s="465"/>
      <c r="D1280" s="465"/>
      <c r="E1280" s="554"/>
      <c r="F1280" s="465"/>
    </row>
    <row r="1281" spans="2:6">
      <c r="B1281" s="465"/>
      <c r="C1281" s="465"/>
      <c r="D1281" s="465"/>
      <c r="E1281" s="554"/>
      <c r="F1281" s="465"/>
    </row>
    <row r="1282" spans="2:6">
      <c r="B1282" s="465"/>
      <c r="C1282" s="465"/>
      <c r="D1282" s="465"/>
      <c r="E1282" s="554"/>
      <c r="F1282" s="465"/>
    </row>
    <row r="1283" spans="2:6">
      <c r="B1283" s="465"/>
      <c r="C1283" s="465"/>
      <c r="D1283" s="465"/>
      <c r="E1283" s="554"/>
      <c r="F1283" s="465"/>
    </row>
    <row r="1284" spans="2:6">
      <c r="B1284" s="465"/>
      <c r="C1284" s="465"/>
      <c r="D1284" s="465"/>
      <c r="E1284" s="554"/>
      <c r="F1284" s="465"/>
    </row>
    <row r="1285" spans="2:6">
      <c r="B1285" s="465"/>
      <c r="C1285" s="465"/>
      <c r="D1285" s="465"/>
      <c r="E1285" s="554"/>
      <c r="F1285" s="465"/>
    </row>
    <row r="1286" spans="2:6">
      <c r="B1286" s="465"/>
      <c r="C1286" s="465"/>
      <c r="D1286" s="465"/>
      <c r="E1286" s="554"/>
      <c r="F1286" s="465"/>
    </row>
    <row r="1287" spans="2:6">
      <c r="B1287" s="465"/>
      <c r="C1287" s="465"/>
      <c r="D1287" s="465"/>
      <c r="E1287" s="554"/>
      <c r="F1287" s="465"/>
    </row>
    <row r="1288" spans="2:6">
      <c r="B1288" s="465"/>
      <c r="C1288" s="465"/>
      <c r="D1288" s="465"/>
      <c r="E1288" s="554"/>
      <c r="F1288" s="465"/>
    </row>
    <row r="1289" spans="2:6">
      <c r="B1289" s="465"/>
      <c r="C1289" s="465"/>
      <c r="D1289" s="465"/>
      <c r="E1289" s="554"/>
      <c r="F1289" s="465"/>
    </row>
    <row r="1290" spans="2:6">
      <c r="B1290" s="465"/>
      <c r="C1290" s="465"/>
      <c r="D1290" s="465"/>
      <c r="E1290" s="554"/>
      <c r="F1290" s="465"/>
    </row>
    <row r="1291" spans="2:6">
      <c r="B1291" s="465"/>
      <c r="C1291" s="465"/>
      <c r="D1291" s="465"/>
      <c r="E1291" s="554"/>
      <c r="F1291" s="465"/>
    </row>
    <row r="1292" spans="2:6">
      <c r="B1292" s="465"/>
      <c r="C1292" s="465"/>
      <c r="D1292" s="465"/>
      <c r="E1292" s="554"/>
      <c r="F1292" s="465"/>
    </row>
    <row r="1293" spans="2:6">
      <c r="B1293" s="465"/>
      <c r="C1293" s="465"/>
      <c r="D1293" s="465"/>
      <c r="E1293" s="554"/>
      <c r="F1293" s="465"/>
    </row>
    <row r="1294" spans="2:6">
      <c r="B1294" s="465"/>
      <c r="C1294" s="465"/>
      <c r="D1294" s="465"/>
      <c r="E1294" s="554"/>
      <c r="F1294" s="465"/>
    </row>
    <row r="1295" spans="2:6">
      <c r="B1295" s="465"/>
      <c r="C1295" s="465"/>
      <c r="D1295" s="465"/>
      <c r="E1295" s="554"/>
      <c r="F1295" s="465"/>
    </row>
    <row r="1296" spans="2:6">
      <c r="B1296" s="465"/>
      <c r="C1296" s="465"/>
      <c r="D1296" s="465"/>
      <c r="E1296" s="554"/>
      <c r="F1296" s="465"/>
    </row>
    <row r="1297" spans="2:6">
      <c r="B1297" s="465"/>
      <c r="C1297" s="465"/>
      <c r="D1297" s="465"/>
      <c r="E1297" s="554"/>
      <c r="F1297" s="465"/>
    </row>
    <row r="1298" spans="2:6">
      <c r="B1298" s="465"/>
      <c r="C1298" s="465"/>
      <c r="D1298" s="465"/>
      <c r="E1298" s="554"/>
      <c r="F1298" s="465"/>
    </row>
    <row r="1299" spans="2:6">
      <c r="B1299" s="465"/>
      <c r="C1299" s="465"/>
      <c r="D1299" s="465"/>
      <c r="E1299" s="554"/>
      <c r="F1299" s="465"/>
    </row>
    <row r="1300" spans="2:6">
      <c r="B1300" s="465"/>
      <c r="C1300" s="465"/>
      <c r="D1300" s="465"/>
      <c r="E1300" s="554"/>
      <c r="F1300" s="465"/>
    </row>
    <row r="1301" spans="2:6">
      <c r="B1301" s="465"/>
      <c r="C1301" s="465"/>
      <c r="D1301" s="465"/>
      <c r="E1301" s="554"/>
      <c r="F1301" s="465"/>
    </row>
    <row r="1302" spans="2:6">
      <c r="B1302" s="465"/>
      <c r="C1302" s="465"/>
      <c r="D1302" s="465"/>
      <c r="E1302" s="554"/>
      <c r="F1302" s="465"/>
    </row>
    <row r="1303" spans="2:6">
      <c r="B1303" s="465"/>
      <c r="C1303" s="465"/>
      <c r="D1303" s="465"/>
      <c r="E1303" s="554"/>
      <c r="F1303" s="465"/>
    </row>
    <row r="1304" spans="2:6">
      <c r="B1304" s="465"/>
      <c r="C1304" s="465"/>
      <c r="D1304" s="465"/>
      <c r="E1304" s="554"/>
      <c r="F1304" s="465"/>
    </row>
    <row r="1305" spans="2:6">
      <c r="B1305" s="465"/>
      <c r="C1305" s="465"/>
      <c r="D1305" s="465"/>
      <c r="E1305" s="554"/>
      <c r="F1305" s="465"/>
    </row>
    <row r="1306" spans="2:6">
      <c r="B1306" s="465"/>
      <c r="C1306" s="465"/>
      <c r="D1306" s="465"/>
      <c r="E1306" s="554"/>
      <c r="F1306" s="465"/>
    </row>
    <row r="1307" spans="2:6">
      <c r="B1307" s="465"/>
      <c r="C1307" s="465"/>
      <c r="D1307" s="465"/>
      <c r="E1307" s="554"/>
      <c r="F1307" s="465"/>
    </row>
    <row r="1308" spans="2:6">
      <c r="B1308" s="465"/>
      <c r="C1308" s="465"/>
      <c r="D1308" s="465"/>
      <c r="E1308" s="554"/>
      <c r="F1308" s="465"/>
    </row>
    <row r="1309" spans="2:6">
      <c r="B1309" s="465"/>
      <c r="C1309" s="465"/>
      <c r="D1309" s="465"/>
      <c r="E1309" s="554"/>
      <c r="F1309" s="465"/>
    </row>
    <row r="1310" spans="2:6">
      <c r="B1310" s="465"/>
      <c r="C1310" s="465"/>
      <c r="D1310" s="465"/>
      <c r="E1310" s="554"/>
      <c r="F1310" s="465"/>
    </row>
    <row r="1311" spans="2:6">
      <c r="B1311" s="465"/>
      <c r="C1311" s="465"/>
      <c r="D1311" s="465"/>
      <c r="E1311" s="554"/>
      <c r="F1311" s="465"/>
    </row>
    <row r="1312" spans="2:6">
      <c r="B1312" s="465"/>
      <c r="C1312" s="465"/>
      <c r="D1312" s="465"/>
      <c r="E1312" s="554"/>
      <c r="F1312" s="465"/>
    </row>
    <row r="1313" spans="2:6">
      <c r="B1313" s="465"/>
      <c r="C1313" s="465"/>
      <c r="D1313" s="465"/>
      <c r="E1313" s="554"/>
      <c r="F1313" s="465"/>
    </row>
    <row r="1314" spans="2:6">
      <c r="B1314" s="465"/>
      <c r="C1314" s="465"/>
      <c r="D1314" s="465"/>
      <c r="E1314" s="554"/>
      <c r="F1314" s="465"/>
    </row>
    <row r="1315" spans="2:6">
      <c r="B1315" s="465"/>
      <c r="C1315" s="465"/>
      <c r="D1315" s="465"/>
      <c r="E1315" s="554"/>
      <c r="F1315" s="465"/>
    </row>
    <row r="1316" spans="2:6">
      <c r="B1316" s="465"/>
      <c r="C1316" s="465"/>
      <c r="D1316" s="465"/>
      <c r="E1316" s="554"/>
      <c r="F1316" s="465"/>
    </row>
    <row r="1317" spans="2:6">
      <c r="B1317" s="465"/>
      <c r="C1317" s="465"/>
      <c r="D1317" s="465"/>
      <c r="E1317" s="554"/>
      <c r="F1317" s="465"/>
    </row>
    <row r="1318" spans="2:6">
      <c r="B1318" s="465"/>
      <c r="C1318" s="465"/>
      <c r="D1318" s="465"/>
      <c r="E1318" s="554"/>
      <c r="F1318" s="465"/>
    </row>
    <row r="1319" spans="2:6">
      <c r="B1319" s="465"/>
      <c r="C1319" s="465"/>
      <c r="D1319" s="465"/>
      <c r="E1319" s="554"/>
      <c r="F1319" s="465"/>
    </row>
    <row r="1320" spans="2:6">
      <c r="B1320" s="465"/>
      <c r="C1320" s="465"/>
      <c r="D1320" s="465"/>
      <c r="E1320" s="554"/>
      <c r="F1320" s="465"/>
    </row>
    <row r="1321" spans="2:6">
      <c r="B1321" s="465"/>
      <c r="C1321" s="465"/>
      <c r="D1321" s="465"/>
      <c r="E1321" s="554"/>
      <c r="F1321" s="465"/>
    </row>
    <row r="1322" spans="2:6">
      <c r="B1322" s="465"/>
      <c r="C1322" s="465"/>
      <c r="D1322" s="465"/>
      <c r="E1322" s="554"/>
      <c r="F1322" s="465"/>
    </row>
    <row r="1323" spans="2:6">
      <c r="B1323" s="465"/>
      <c r="C1323" s="465"/>
      <c r="D1323" s="465"/>
      <c r="E1323" s="554"/>
      <c r="F1323" s="465"/>
    </row>
    <row r="1324" spans="2:6">
      <c r="B1324" s="465"/>
      <c r="C1324" s="465"/>
      <c r="D1324" s="465"/>
      <c r="E1324" s="554"/>
      <c r="F1324" s="465"/>
    </row>
    <row r="1325" spans="2:6">
      <c r="B1325" s="465"/>
      <c r="C1325" s="465"/>
      <c r="D1325" s="465"/>
      <c r="E1325" s="554"/>
      <c r="F1325" s="465"/>
    </row>
    <row r="1326" spans="2:6">
      <c r="B1326" s="465"/>
      <c r="C1326" s="465"/>
      <c r="D1326" s="465"/>
      <c r="E1326" s="554"/>
      <c r="F1326" s="465"/>
    </row>
    <row r="1327" spans="2:6">
      <c r="B1327" s="465"/>
      <c r="C1327" s="465"/>
      <c r="D1327" s="465"/>
      <c r="E1327" s="554"/>
      <c r="F1327" s="465"/>
    </row>
    <row r="1328" spans="2:6">
      <c r="B1328" s="465"/>
      <c r="C1328" s="465"/>
      <c r="D1328" s="465"/>
      <c r="E1328" s="554"/>
      <c r="F1328" s="465"/>
    </row>
    <row r="1329" spans="2:6">
      <c r="B1329" s="465"/>
      <c r="C1329" s="465"/>
      <c r="D1329" s="465"/>
      <c r="E1329" s="554"/>
      <c r="F1329" s="465"/>
    </row>
    <row r="1330" spans="2:6">
      <c r="B1330" s="465"/>
      <c r="C1330" s="465"/>
      <c r="D1330" s="465"/>
      <c r="E1330" s="554"/>
      <c r="F1330" s="465"/>
    </row>
    <row r="1331" spans="2:6">
      <c r="B1331" s="465"/>
      <c r="C1331" s="465"/>
      <c r="D1331" s="465"/>
      <c r="E1331" s="554"/>
      <c r="F1331" s="465"/>
    </row>
    <row r="1332" spans="2:6">
      <c r="B1332" s="465"/>
      <c r="C1332" s="465"/>
      <c r="D1332" s="465"/>
      <c r="E1332" s="554"/>
      <c r="F1332" s="465"/>
    </row>
    <row r="1333" spans="2:6">
      <c r="B1333" s="465"/>
      <c r="C1333" s="465"/>
      <c r="D1333" s="465"/>
      <c r="E1333" s="554"/>
      <c r="F1333" s="465"/>
    </row>
    <row r="1334" spans="2:6">
      <c r="B1334" s="465"/>
      <c r="C1334" s="465"/>
      <c r="D1334" s="465"/>
      <c r="E1334" s="554"/>
      <c r="F1334" s="465"/>
    </row>
    <row r="1335" spans="2:6">
      <c r="B1335" s="465"/>
      <c r="C1335" s="465"/>
      <c r="D1335" s="465"/>
      <c r="E1335" s="554"/>
      <c r="F1335" s="465"/>
    </row>
    <row r="1336" spans="2:6">
      <c r="B1336" s="465"/>
      <c r="C1336" s="465"/>
      <c r="D1336" s="465"/>
      <c r="E1336" s="554"/>
      <c r="F1336" s="465"/>
    </row>
    <row r="1337" spans="2:6">
      <c r="B1337" s="465"/>
      <c r="C1337" s="465"/>
      <c r="D1337" s="465"/>
      <c r="E1337" s="554"/>
      <c r="F1337" s="465"/>
    </row>
    <row r="1338" spans="2:6">
      <c r="B1338" s="465"/>
      <c r="C1338" s="465"/>
      <c r="D1338" s="465"/>
      <c r="E1338" s="554"/>
      <c r="F1338" s="465"/>
    </row>
    <row r="1339" spans="2:6">
      <c r="B1339" s="465"/>
      <c r="C1339" s="465"/>
      <c r="D1339" s="465"/>
      <c r="E1339" s="554"/>
      <c r="F1339" s="465"/>
    </row>
    <row r="1340" spans="2:6">
      <c r="B1340" s="465"/>
      <c r="C1340" s="465"/>
      <c r="D1340" s="465"/>
      <c r="E1340" s="554"/>
      <c r="F1340" s="465"/>
    </row>
    <row r="1341" spans="2:6">
      <c r="B1341" s="465"/>
      <c r="C1341" s="465"/>
      <c r="D1341" s="465"/>
      <c r="E1341" s="554"/>
      <c r="F1341" s="465"/>
    </row>
    <row r="1342" spans="2:6">
      <c r="B1342" s="465"/>
      <c r="C1342" s="465"/>
      <c r="D1342" s="465"/>
      <c r="E1342" s="554"/>
      <c r="F1342" s="465"/>
    </row>
    <row r="1343" spans="2:6">
      <c r="B1343" s="465"/>
      <c r="C1343" s="465"/>
      <c r="D1343" s="465"/>
      <c r="E1343" s="554"/>
      <c r="F1343" s="465"/>
    </row>
    <row r="1344" spans="2:6">
      <c r="B1344" s="465"/>
      <c r="C1344" s="465"/>
      <c r="D1344" s="465"/>
      <c r="E1344" s="554"/>
      <c r="F1344" s="465"/>
    </row>
    <row r="1345" spans="2:6">
      <c r="B1345" s="465"/>
      <c r="C1345" s="465"/>
      <c r="D1345" s="465"/>
      <c r="E1345" s="554"/>
      <c r="F1345" s="465"/>
    </row>
    <row r="1346" spans="2:6">
      <c r="B1346" s="465"/>
      <c r="C1346" s="465"/>
      <c r="D1346" s="465"/>
      <c r="E1346" s="554"/>
      <c r="F1346" s="465"/>
    </row>
    <row r="1347" spans="2:6">
      <c r="B1347" s="465"/>
      <c r="C1347" s="465"/>
      <c r="D1347" s="465"/>
      <c r="E1347" s="554"/>
      <c r="F1347" s="465"/>
    </row>
    <row r="1348" spans="2:6">
      <c r="B1348" s="465"/>
      <c r="C1348" s="465"/>
      <c r="D1348" s="465"/>
      <c r="E1348" s="554"/>
      <c r="F1348" s="465"/>
    </row>
    <row r="1349" spans="2:6">
      <c r="B1349" s="465"/>
      <c r="C1349" s="465"/>
      <c r="D1349" s="465"/>
      <c r="E1349" s="554"/>
      <c r="F1349" s="465"/>
    </row>
    <row r="1350" spans="2:6">
      <c r="B1350" s="465"/>
      <c r="C1350" s="465"/>
      <c r="D1350" s="465"/>
      <c r="E1350" s="554"/>
      <c r="F1350" s="465"/>
    </row>
    <row r="1351" spans="2:6">
      <c r="B1351" s="465"/>
      <c r="C1351" s="465"/>
      <c r="D1351" s="465"/>
      <c r="E1351" s="554"/>
      <c r="F1351" s="465"/>
    </row>
    <row r="1352" spans="2:6">
      <c r="B1352" s="465"/>
      <c r="C1352" s="465"/>
      <c r="D1352" s="465"/>
      <c r="E1352" s="554"/>
      <c r="F1352" s="465"/>
    </row>
    <row r="1353" spans="2:6">
      <c r="B1353" s="465"/>
      <c r="C1353" s="465"/>
      <c r="D1353" s="465"/>
      <c r="E1353" s="554"/>
      <c r="F1353" s="465"/>
    </row>
    <row r="1354" spans="2:6">
      <c r="B1354" s="465"/>
      <c r="C1354" s="465"/>
      <c r="D1354" s="465"/>
      <c r="E1354" s="554"/>
      <c r="F1354" s="465"/>
    </row>
    <row r="1355" spans="2:6">
      <c r="B1355" s="465"/>
      <c r="C1355" s="465"/>
      <c r="D1355" s="465"/>
      <c r="E1355" s="554"/>
      <c r="F1355" s="465"/>
    </row>
    <row r="1356" spans="2:6">
      <c r="B1356" s="465"/>
      <c r="C1356" s="465"/>
      <c r="D1356" s="465"/>
      <c r="E1356" s="554"/>
      <c r="F1356" s="465"/>
    </row>
    <row r="1357" spans="2:6">
      <c r="B1357" s="465"/>
      <c r="C1357" s="465"/>
      <c r="D1357" s="465"/>
      <c r="E1357" s="554"/>
      <c r="F1357" s="465"/>
    </row>
    <row r="1358" spans="2:6">
      <c r="B1358" s="465"/>
      <c r="C1358" s="465"/>
      <c r="D1358" s="465"/>
      <c r="E1358" s="554"/>
      <c r="F1358" s="465"/>
    </row>
    <row r="1359" spans="2:6">
      <c r="B1359" s="465"/>
      <c r="C1359" s="465"/>
      <c r="D1359" s="465"/>
      <c r="E1359" s="554"/>
      <c r="F1359" s="465"/>
    </row>
    <row r="1360" spans="2:6">
      <c r="B1360" s="465"/>
      <c r="C1360" s="465"/>
      <c r="D1360" s="465"/>
      <c r="E1360" s="554"/>
      <c r="F1360" s="465"/>
    </row>
    <row r="1361" spans="2:6">
      <c r="B1361" s="465"/>
      <c r="C1361" s="465"/>
      <c r="D1361" s="465"/>
      <c r="E1361" s="554"/>
      <c r="F1361" s="465"/>
    </row>
    <row r="1362" spans="2:6">
      <c r="B1362" s="465"/>
      <c r="C1362" s="465"/>
      <c r="D1362" s="465"/>
      <c r="E1362" s="554"/>
      <c r="F1362" s="465"/>
    </row>
    <row r="1363" spans="2:6">
      <c r="B1363" s="465"/>
      <c r="C1363" s="465"/>
      <c r="D1363" s="465"/>
      <c r="E1363" s="554"/>
      <c r="F1363" s="465"/>
    </row>
    <row r="1364" spans="2:6">
      <c r="B1364" s="465"/>
      <c r="C1364" s="465"/>
      <c r="D1364" s="465"/>
      <c r="E1364" s="554"/>
      <c r="F1364" s="465"/>
    </row>
    <row r="1365" spans="2:6">
      <c r="B1365" s="465"/>
      <c r="C1365" s="465"/>
      <c r="D1365" s="465"/>
      <c r="E1365" s="554"/>
      <c r="F1365" s="465"/>
    </row>
    <row r="1366" spans="2:6">
      <c r="B1366" s="465"/>
      <c r="C1366" s="465"/>
      <c r="D1366" s="465"/>
      <c r="E1366" s="554"/>
      <c r="F1366" s="465"/>
    </row>
    <row r="1367" spans="2:6">
      <c r="B1367" s="465"/>
      <c r="C1367" s="465"/>
      <c r="D1367" s="465"/>
      <c r="E1367" s="554"/>
      <c r="F1367" s="465"/>
    </row>
    <row r="1368" spans="2:6">
      <c r="B1368" s="465"/>
      <c r="C1368" s="465"/>
      <c r="D1368" s="465"/>
      <c r="E1368" s="554"/>
      <c r="F1368" s="465"/>
    </row>
    <row r="1369" spans="2:6">
      <c r="B1369" s="465"/>
      <c r="C1369" s="465"/>
      <c r="D1369" s="465"/>
      <c r="E1369" s="554"/>
      <c r="F1369" s="465"/>
    </row>
    <row r="1370" spans="2:6">
      <c r="B1370" s="465"/>
      <c r="C1370" s="465"/>
      <c r="D1370" s="465"/>
      <c r="E1370" s="554"/>
      <c r="F1370" s="465"/>
    </row>
    <row r="1371" spans="2:6">
      <c r="B1371" s="465"/>
      <c r="C1371" s="465"/>
      <c r="D1371" s="465"/>
      <c r="E1371" s="554"/>
      <c r="F1371" s="465"/>
    </row>
    <row r="1372" spans="2:6">
      <c r="B1372" s="465"/>
      <c r="C1372" s="465"/>
      <c r="D1372" s="465"/>
      <c r="E1372" s="554"/>
      <c r="F1372" s="465"/>
    </row>
    <row r="1373" spans="2:6">
      <c r="B1373" s="465"/>
      <c r="C1373" s="465"/>
      <c r="D1373" s="465"/>
      <c r="E1373" s="554"/>
      <c r="F1373" s="465"/>
    </row>
    <row r="1374" spans="2:6">
      <c r="B1374" s="465"/>
      <c r="C1374" s="465"/>
      <c r="D1374" s="465"/>
      <c r="E1374" s="554"/>
      <c r="F1374" s="465"/>
    </row>
    <row r="1375" spans="2:6">
      <c r="B1375" s="465"/>
      <c r="C1375" s="465"/>
      <c r="D1375" s="465"/>
      <c r="E1375" s="554"/>
      <c r="F1375" s="465"/>
    </row>
    <row r="1376" spans="2:6">
      <c r="B1376" s="465"/>
      <c r="C1376" s="465"/>
      <c r="D1376" s="465"/>
      <c r="E1376" s="554"/>
      <c r="F1376" s="465"/>
    </row>
    <row r="1377" spans="2:6">
      <c r="B1377" s="465"/>
      <c r="C1377" s="465"/>
      <c r="D1377" s="465"/>
      <c r="E1377" s="554"/>
      <c r="F1377" s="465"/>
    </row>
    <row r="1378" spans="2:6">
      <c r="B1378" s="465"/>
      <c r="C1378" s="465"/>
      <c r="D1378" s="465"/>
      <c r="E1378" s="554"/>
      <c r="F1378" s="465"/>
    </row>
    <row r="1379" spans="2:6">
      <c r="B1379" s="465"/>
      <c r="C1379" s="465"/>
      <c r="D1379" s="465"/>
      <c r="E1379" s="554"/>
      <c r="F1379" s="465"/>
    </row>
    <row r="1380" spans="2:6">
      <c r="B1380" s="465"/>
      <c r="C1380" s="465"/>
      <c r="D1380" s="465"/>
      <c r="E1380" s="554"/>
      <c r="F1380" s="465"/>
    </row>
    <row r="1381" spans="2:6">
      <c r="B1381" s="465"/>
      <c r="C1381" s="465"/>
      <c r="D1381" s="465"/>
      <c r="E1381" s="554"/>
      <c r="F1381" s="465"/>
    </row>
    <row r="1382" spans="2:6">
      <c r="B1382" s="465"/>
      <c r="C1382" s="465"/>
      <c r="D1382" s="465"/>
      <c r="E1382" s="554"/>
      <c r="F1382" s="465"/>
    </row>
    <row r="1383" spans="2:6">
      <c r="B1383" s="465"/>
      <c r="C1383" s="465"/>
      <c r="D1383" s="465"/>
      <c r="E1383" s="554"/>
      <c r="F1383" s="465"/>
    </row>
    <row r="1384" spans="2:6">
      <c r="B1384" s="465"/>
      <c r="C1384" s="465"/>
      <c r="D1384" s="465"/>
      <c r="E1384" s="554"/>
      <c r="F1384" s="465"/>
    </row>
    <row r="1385" spans="2:6">
      <c r="B1385" s="465"/>
      <c r="C1385" s="465"/>
      <c r="D1385" s="465"/>
      <c r="E1385" s="554"/>
      <c r="F1385" s="465"/>
    </row>
    <row r="1386" spans="2:6">
      <c r="B1386" s="465"/>
      <c r="C1386" s="465"/>
      <c r="D1386" s="465"/>
      <c r="E1386" s="554"/>
      <c r="F1386" s="465"/>
    </row>
    <row r="1387" spans="2:6">
      <c r="B1387" s="465"/>
      <c r="C1387" s="465"/>
      <c r="D1387" s="465"/>
      <c r="E1387" s="554"/>
      <c r="F1387" s="465"/>
    </row>
    <row r="1388" spans="2:6">
      <c r="B1388" s="465"/>
      <c r="C1388" s="465"/>
      <c r="D1388" s="465"/>
      <c r="E1388" s="554"/>
      <c r="F1388" s="465"/>
    </row>
    <row r="1389" spans="2:6">
      <c r="B1389" s="465"/>
      <c r="C1389" s="465"/>
      <c r="D1389" s="465"/>
      <c r="E1389" s="554"/>
      <c r="F1389" s="465"/>
    </row>
    <row r="1390" spans="2:6">
      <c r="B1390" s="465"/>
      <c r="C1390" s="465"/>
      <c r="D1390" s="465"/>
      <c r="E1390" s="554"/>
      <c r="F1390" s="465"/>
    </row>
    <row r="1391" spans="2:6">
      <c r="B1391" s="465"/>
      <c r="C1391" s="465"/>
      <c r="D1391" s="465"/>
      <c r="E1391" s="554"/>
      <c r="F1391" s="465"/>
    </row>
    <row r="1392" spans="2:6">
      <c r="B1392" s="465"/>
      <c r="C1392" s="465"/>
      <c r="D1392" s="465"/>
      <c r="E1392" s="554"/>
      <c r="F1392" s="465"/>
    </row>
    <row r="1393" spans="2:6">
      <c r="B1393" s="465"/>
      <c r="C1393" s="465"/>
      <c r="D1393" s="465"/>
      <c r="E1393" s="554"/>
      <c r="F1393" s="465"/>
    </row>
    <row r="1394" spans="2:6">
      <c r="B1394" s="465"/>
      <c r="C1394" s="465"/>
      <c r="D1394" s="465"/>
      <c r="E1394" s="554"/>
      <c r="F1394" s="465"/>
    </row>
    <row r="1395" spans="2:6">
      <c r="B1395" s="465"/>
      <c r="C1395" s="465"/>
      <c r="D1395" s="465"/>
      <c r="E1395" s="554"/>
      <c r="F1395" s="465"/>
    </row>
    <row r="1396" spans="2:6">
      <c r="B1396" s="465"/>
      <c r="C1396" s="465"/>
      <c r="D1396" s="465"/>
      <c r="E1396" s="554"/>
      <c r="F1396" s="465"/>
    </row>
    <row r="1397" spans="2:6">
      <c r="B1397" s="465"/>
      <c r="C1397" s="465"/>
      <c r="D1397" s="465"/>
      <c r="E1397" s="554"/>
      <c r="F1397" s="465"/>
    </row>
    <row r="1398" spans="2:6">
      <c r="B1398" s="465"/>
      <c r="C1398" s="465"/>
      <c r="D1398" s="465"/>
      <c r="E1398" s="554"/>
      <c r="F1398" s="465"/>
    </row>
    <row r="1399" spans="2:6">
      <c r="B1399" s="465"/>
      <c r="C1399" s="465"/>
      <c r="D1399" s="465"/>
      <c r="E1399" s="554"/>
      <c r="F1399" s="465"/>
    </row>
    <row r="1400" spans="2:6">
      <c r="B1400" s="465"/>
      <c r="C1400" s="465"/>
      <c r="D1400" s="465"/>
      <c r="E1400" s="554"/>
      <c r="F1400" s="465"/>
    </row>
    <row r="1401" spans="2:6">
      <c r="B1401" s="465"/>
      <c r="C1401" s="465"/>
      <c r="D1401" s="465"/>
      <c r="E1401" s="554"/>
      <c r="F1401" s="465"/>
    </row>
    <row r="1402" spans="2:6">
      <c r="B1402" s="465"/>
      <c r="C1402" s="465"/>
      <c r="D1402" s="465"/>
      <c r="E1402" s="554"/>
      <c r="F1402" s="465"/>
    </row>
    <row r="1403" spans="2:6">
      <c r="B1403" s="465"/>
      <c r="C1403" s="465"/>
      <c r="D1403" s="465"/>
      <c r="E1403" s="554"/>
      <c r="F1403" s="465"/>
    </row>
    <row r="1404" spans="2:6">
      <c r="B1404" s="465"/>
      <c r="C1404" s="465"/>
      <c r="D1404" s="465"/>
      <c r="E1404" s="554"/>
      <c r="F1404" s="465"/>
    </row>
    <row r="1405" spans="2:6">
      <c r="B1405" s="465"/>
      <c r="C1405" s="465"/>
      <c r="D1405" s="465"/>
      <c r="E1405" s="554"/>
      <c r="F1405" s="465"/>
    </row>
    <row r="1406" spans="2:6">
      <c r="B1406" s="465"/>
      <c r="C1406" s="465"/>
      <c r="D1406" s="465"/>
      <c r="E1406" s="554"/>
      <c r="F1406" s="465"/>
    </row>
    <row r="1407" spans="2:6">
      <c r="B1407" s="465"/>
      <c r="C1407" s="465"/>
      <c r="D1407" s="465"/>
      <c r="E1407" s="554"/>
      <c r="F1407" s="465"/>
    </row>
    <row r="1408" spans="2:6">
      <c r="B1408" s="465"/>
      <c r="C1408" s="465"/>
      <c r="D1408" s="465"/>
      <c r="E1408" s="554"/>
      <c r="F1408" s="465"/>
    </row>
    <row r="1409" spans="2:6">
      <c r="B1409" s="465"/>
      <c r="C1409" s="465"/>
      <c r="D1409" s="465"/>
      <c r="E1409" s="554"/>
      <c r="F1409" s="465"/>
    </row>
    <row r="1410" spans="2:6">
      <c r="B1410" s="465"/>
      <c r="C1410" s="465"/>
      <c r="D1410" s="465"/>
      <c r="E1410" s="554"/>
      <c r="F1410" s="465"/>
    </row>
    <row r="1411" spans="2:6">
      <c r="B1411" s="465"/>
      <c r="C1411" s="465"/>
      <c r="D1411" s="465"/>
      <c r="E1411" s="554"/>
      <c r="F1411" s="465"/>
    </row>
    <row r="1412" spans="2:6">
      <c r="B1412" s="465"/>
      <c r="C1412" s="465"/>
      <c r="D1412" s="465"/>
      <c r="E1412" s="554"/>
      <c r="F1412" s="465"/>
    </row>
    <row r="1413" spans="2:6">
      <c r="B1413" s="465"/>
      <c r="C1413" s="465"/>
      <c r="D1413" s="465"/>
      <c r="E1413" s="554"/>
      <c r="F1413" s="465"/>
    </row>
    <row r="1414" spans="2:6">
      <c r="B1414" s="465"/>
      <c r="C1414" s="465"/>
      <c r="D1414" s="465"/>
      <c r="E1414" s="554"/>
      <c r="F1414" s="465"/>
    </row>
    <row r="1415" spans="2:6">
      <c r="B1415" s="465"/>
      <c r="C1415" s="465"/>
      <c r="D1415" s="465"/>
      <c r="E1415" s="554"/>
      <c r="F1415" s="465"/>
    </row>
    <row r="1416" spans="2:6">
      <c r="B1416" s="465"/>
      <c r="C1416" s="465"/>
      <c r="D1416" s="465"/>
      <c r="E1416" s="554"/>
      <c r="F1416" s="465"/>
    </row>
    <row r="1417" spans="2:6">
      <c r="B1417" s="465"/>
      <c r="C1417" s="465"/>
      <c r="D1417" s="465"/>
      <c r="E1417" s="554"/>
      <c r="F1417" s="465"/>
    </row>
    <row r="1418" spans="2:6">
      <c r="B1418" s="465"/>
      <c r="C1418" s="465"/>
      <c r="D1418" s="465"/>
      <c r="E1418" s="554"/>
      <c r="F1418" s="465"/>
    </row>
    <row r="1419" spans="2:6">
      <c r="B1419" s="465"/>
      <c r="C1419" s="465"/>
      <c r="D1419" s="465"/>
      <c r="E1419" s="554"/>
      <c r="F1419" s="465"/>
    </row>
    <row r="1420" spans="2:6">
      <c r="B1420" s="465"/>
      <c r="C1420" s="465"/>
      <c r="D1420" s="465"/>
      <c r="E1420" s="554"/>
      <c r="F1420" s="465"/>
    </row>
    <row r="1421" spans="2:6">
      <c r="B1421" s="465"/>
      <c r="C1421" s="465"/>
      <c r="D1421" s="465"/>
      <c r="E1421" s="554"/>
      <c r="F1421" s="465"/>
    </row>
    <row r="1422" spans="2:6">
      <c r="B1422" s="465"/>
      <c r="C1422" s="465"/>
      <c r="D1422" s="465"/>
      <c r="E1422" s="554"/>
      <c r="F1422" s="465"/>
    </row>
    <row r="1423" spans="2:6">
      <c r="B1423" s="465"/>
      <c r="C1423" s="465"/>
      <c r="D1423" s="465"/>
      <c r="E1423" s="554"/>
      <c r="F1423" s="465"/>
    </row>
    <row r="1424" spans="2:6">
      <c r="B1424" s="465"/>
      <c r="C1424" s="465"/>
      <c r="D1424" s="465"/>
      <c r="E1424" s="554"/>
      <c r="F1424" s="465"/>
    </row>
    <row r="1425" spans="2:6">
      <c r="B1425" s="465"/>
      <c r="C1425" s="465"/>
      <c r="D1425" s="465"/>
      <c r="E1425" s="554"/>
      <c r="F1425" s="465"/>
    </row>
    <row r="1426" spans="2:6">
      <c r="B1426" s="465"/>
      <c r="C1426" s="465"/>
      <c r="D1426" s="465"/>
      <c r="E1426" s="554"/>
      <c r="F1426" s="465"/>
    </row>
    <row r="1427" spans="2:6">
      <c r="B1427" s="465"/>
      <c r="C1427" s="465"/>
      <c r="D1427" s="465"/>
      <c r="E1427" s="554"/>
      <c r="F1427" s="465"/>
    </row>
    <row r="1428" spans="2:6">
      <c r="B1428" s="465"/>
      <c r="C1428" s="465"/>
      <c r="D1428" s="465"/>
      <c r="E1428" s="554"/>
      <c r="F1428" s="465"/>
    </row>
    <row r="1429" spans="2:6">
      <c r="B1429" s="465"/>
      <c r="C1429" s="465"/>
      <c r="D1429" s="465"/>
      <c r="E1429" s="554"/>
      <c r="F1429" s="465"/>
    </row>
    <row r="1430" spans="2:6">
      <c r="B1430" s="465"/>
      <c r="C1430" s="465"/>
      <c r="D1430" s="465"/>
      <c r="E1430" s="554"/>
      <c r="F1430" s="465"/>
    </row>
    <row r="1431" spans="2:6">
      <c r="B1431" s="465"/>
      <c r="C1431" s="465"/>
      <c r="D1431" s="465"/>
      <c r="E1431" s="554"/>
      <c r="F1431" s="465"/>
    </row>
    <row r="1432" spans="2:6">
      <c r="B1432" s="465"/>
      <c r="C1432" s="465"/>
      <c r="D1432" s="465"/>
      <c r="E1432" s="554"/>
      <c r="F1432" s="465"/>
    </row>
    <row r="1433" spans="2:6">
      <c r="B1433" s="465"/>
      <c r="C1433" s="465"/>
      <c r="D1433" s="465"/>
      <c r="E1433" s="554"/>
      <c r="F1433" s="465"/>
    </row>
    <row r="1434" spans="2:6">
      <c r="B1434" s="465"/>
      <c r="C1434" s="465"/>
      <c r="D1434" s="465"/>
      <c r="E1434" s="554"/>
      <c r="F1434" s="465"/>
    </row>
    <row r="1435" spans="2:6">
      <c r="B1435" s="465"/>
      <c r="C1435" s="465"/>
      <c r="D1435" s="465"/>
      <c r="E1435" s="554"/>
      <c r="F1435" s="465"/>
    </row>
    <row r="1436" spans="2:6">
      <c r="B1436" s="465"/>
      <c r="C1436" s="465"/>
      <c r="D1436" s="465"/>
      <c r="E1436" s="554"/>
      <c r="F1436" s="465"/>
    </row>
    <row r="1437" spans="2:6">
      <c r="B1437" s="465"/>
      <c r="C1437" s="465"/>
      <c r="D1437" s="465"/>
      <c r="E1437" s="554"/>
      <c r="F1437" s="465"/>
    </row>
    <row r="1438" spans="2:6">
      <c r="B1438" s="465"/>
      <c r="C1438" s="465"/>
      <c r="D1438" s="465"/>
      <c r="E1438" s="554"/>
      <c r="F1438" s="465"/>
    </row>
    <row r="1439" spans="2:6">
      <c r="B1439" s="465"/>
      <c r="C1439" s="465"/>
      <c r="D1439" s="465"/>
      <c r="E1439" s="554"/>
      <c r="F1439" s="465"/>
    </row>
    <row r="1440" spans="2:6">
      <c r="B1440" s="465"/>
      <c r="C1440" s="465"/>
      <c r="D1440" s="465"/>
      <c r="E1440" s="554"/>
      <c r="F1440" s="465"/>
    </row>
    <row r="1441" spans="2:6">
      <c r="B1441" s="465"/>
      <c r="C1441" s="465"/>
      <c r="D1441" s="465"/>
      <c r="E1441" s="554"/>
      <c r="F1441" s="465"/>
    </row>
    <row r="1442" spans="2:6">
      <c r="B1442" s="465"/>
      <c r="C1442" s="465"/>
      <c r="D1442" s="465"/>
      <c r="E1442" s="554"/>
      <c r="F1442" s="465"/>
    </row>
    <row r="1443" spans="2:6">
      <c r="B1443" s="465"/>
      <c r="C1443" s="465"/>
      <c r="D1443" s="465"/>
      <c r="E1443" s="554"/>
      <c r="F1443" s="465"/>
    </row>
    <row r="1444" spans="2:6">
      <c r="B1444" s="465"/>
      <c r="C1444" s="465"/>
      <c r="D1444" s="465"/>
      <c r="E1444" s="554"/>
      <c r="F1444" s="465"/>
    </row>
    <row r="1445" spans="2:6">
      <c r="B1445" s="465"/>
      <c r="C1445" s="465"/>
      <c r="D1445" s="465"/>
      <c r="E1445" s="554"/>
      <c r="F1445" s="465"/>
    </row>
    <row r="1446" spans="2:6">
      <c r="B1446" s="465"/>
      <c r="C1446" s="465"/>
      <c r="D1446" s="465"/>
      <c r="E1446" s="554"/>
      <c r="F1446" s="465"/>
    </row>
    <row r="1447" spans="2:6">
      <c r="B1447" s="465"/>
      <c r="C1447" s="465"/>
      <c r="D1447" s="465"/>
      <c r="E1447" s="554"/>
      <c r="F1447" s="465"/>
    </row>
    <row r="1448" spans="2:6">
      <c r="B1448" s="465"/>
      <c r="C1448" s="465"/>
      <c r="D1448" s="465"/>
      <c r="E1448" s="554"/>
      <c r="F1448" s="465"/>
    </row>
    <row r="1449" spans="2:6">
      <c r="B1449" s="465"/>
      <c r="C1449" s="465"/>
      <c r="D1449" s="465"/>
      <c r="E1449" s="554"/>
      <c r="F1449" s="465"/>
    </row>
    <row r="1450" spans="2:6">
      <c r="B1450" s="465"/>
      <c r="C1450" s="465"/>
      <c r="D1450" s="465"/>
      <c r="E1450" s="554"/>
      <c r="F1450" s="465"/>
    </row>
    <row r="1451" spans="2:6">
      <c r="B1451" s="465"/>
      <c r="C1451" s="465"/>
      <c r="D1451" s="465"/>
      <c r="E1451" s="554"/>
      <c r="F1451" s="465"/>
    </row>
    <row r="1452" spans="2:6">
      <c r="B1452" s="465"/>
      <c r="C1452" s="465"/>
      <c r="D1452" s="465"/>
      <c r="E1452" s="554"/>
      <c r="F1452" s="465"/>
    </row>
    <row r="1453" spans="2:6">
      <c r="B1453" s="465"/>
      <c r="C1453" s="465"/>
      <c r="D1453" s="465"/>
      <c r="E1453" s="554"/>
      <c r="F1453" s="465"/>
    </row>
    <row r="1454" spans="2:6">
      <c r="B1454" s="465"/>
      <c r="C1454" s="465"/>
      <c r="D1454" s="465"/>
      <c r="E1454" s="554"/>
      <c r="F1454" s="465"/>
    </row>
    <row r="1455" spans="2:6">
      <c r="B1455" s="465"/>
      <c r="C1455" s="465"/>
      <c r="D1455" s="465"/>
      <c r="E1455" s="554"/>
      <c r="F1455" s="465"/>
    </row>
    <row r="1456" spans="2:6">
      <c r="B1456" s="465"/>
      <c r="C1456" s="465"/>
      <c r="D1456" s="465"/>
      <c r="E1456" s="554"/>
      <c r="F1456" s="465"/>
    </row>
    <row r="1457" spans="2:6">
      <c r="B1457" s="465"/>
      <c r="C1457" s="465"/>
      <c r="D1457" s="465"/>
      <c r="E1457" s="554"/>
      <c r="F1457" s="465"/>
    </row>
    <row r="1458" spans="2:6">
      <c r="B1458" s="465"/>
      <c r="C1458" s="465"/>
      <c r="D1458" s="465"/>
      <c r="E1458" s="554"/>
      <c r="F1458" s="465"/>
    </row>
    <row r="1459" spans="2:6">
      <c r="B1459" s="465"/>
      <c r="C1459" s="465"/>
      <c r="D1459" s="465"/>
      <c r="E1459" s="554"/>
      <c r="F1459" s="465"/>
    </row>
    <row r="1460" spans="2:6">
      <c r="B1460" s="465"/>
      <c r="C1460" s="465"/>
      <c r="D1460" s="465"/>
      <c r="E1460" s="554"/>
      <c r="F1460" s="465"/>
    </row>
    <row r="1461" spans="2:6">
      <c r="B1461" s="465"/>
      <c r="C1461" s="465"/>
      <c r="D1461" s="465"/>
      <c r="E1461" s="554"/>
      <c r="F1461" s="465"/>
    </row>
    <row r="1462" spans="2:6">
      <c r="B1462" s="465"/>
      <c r="C1462" s="465"/>
      <c r="D1462" s="465"/>
      <c r="E1462" s="554"/>
      <c r="F1462" s="465"/>
    </row>
    <row r="1463" spans="2:6">
      <c r="B1463" s="465"/>
      <c r="C1463" s="465"/>
      <c r="D1463" s="465"/>
      <c r="E1463" s="554"/>
      <c r="F1463" s="465"/>
    </row>
    <row r="1464" spans="2:6">
      <c r="B1464" s="465"/>
      <c r="C1464" s="465"/>
      <c r="D1464" s="465"/>
      <c r="E1464" s="554"/>
      <c r="F1464" s="465"/>
    </row>
    <row r="1465" spans="2:6">
      <c r="B1465" s="465"/>
      <c r="C1465" s="465"/>
      <c r="D1465" s="465"/>
      <c r="E1465" s="554"/>
      <c r="F1465" s="465"/>
    </row>
    <row r="1466" spans="2:6">
      <c r="B1466" s="465"/>
      <c r="C1466" s="465"/>
      <c r="D1466" s="465"/>
      <c r="E1466" s="554"/>
      <c r="F1466" s="465"/>
    </row>
    <row r="1467" spans="2:6">
      <c r="B1467" s="465"/>
      <c r="C1467" s="465"/>
      <c r="D1467" s="465"/>
      <c r="E1467" s="554"/>
      <c r="F1467" s="465"/>
    </row>
    <row r="1468" spans="2:6">
      <c r="B1468" s="465"/>
      <c r="C1468" s="465"/>
      <c r="D1468" s="465"/>
      <c r="E1468" s="554"/>
      <c r="F1468" s="465"/>
    </row>
    <row r="1469" spans="2:6">
      <c r="B1469" s="465"/>
      <c r="C1469" s="465"/>
      <c r="D1469" s="465"/>
      <c r="E1469" s="554"/>
      <c r="F1469" s="465"/>
    </row>
    <row r="1470" spans="2:6">
      <c r="B1470" s="465"/>
      <c r="C1470" s="465"/>
      <c r="D1470" s="465"/>
      <c r="E1470" s="554"/>
      <c r="F1470" s="465"/>
    </row>
    <row r="1471" spans="2:6">
      <c r="B1471" s="465"/>
      <c r="C1471" s="465"/>
      <c r="D1471" s="465"/>
      <c r="E1471" s="554"/>
      <c r="F1471" s="465"/>
    </row>
    <row r="1472" spans="2:6">
      <c r="B1472" s="465"/>
      <c r="C1472" s="465"/>
      <c r="D1472" s="465"/>
      <c r="E1472" s="554"/>
      <c r="F1472" s="465"/>
    </row>
    <row r="1473" spans="2:6">
      <c r="B1473" s="465"/>
      <c r="C1473" s="465"/>
      <c r="D1473" s="465"/>
      <c r="E1473" s="554"/>
      <c r="F1473" s="465"/>
    </row>
    <row r="1474" spans="2:6">
      <c r="B1474" s="465"/>
      <c r="C1474" s="465"/>
      <c r="D1474" s="465"/>
      <c r="E1474" s="554"/>
      <c r="F1474" s="465"/>
    </row>
    <row r="1475" spans="2:6">
      <c r="B1475" s="465"/>
      <c r="C1475" s="465"/>
      <c r="D1475" s="465"/>
      <c r="E1475" s="554"/>
      <c r="F1475" s="465"/>
    </row>
    <row r="1476" spans="2:6">
      <c r="B1476" s="465"/>
      <c r="C1476" s="465"/>
      <c r="D1476" s="465"/>
      <c r="E1476" s="554"/>
      <c r="F1476" s="465"/>
    </row>
    <row r="1477" spans="2:6">
      <c r="B1477" s="465"/>
      <c r="C1477" s="465"/>
      <c r="D1477" s="465"/>
      <c r="E1477" s="554"/>
      <c r="F1477" s="465"/>
    </row>
    <row r="1478" spans="2:6">
      <c r="B1478" s="465"/>
      <c r="C1478" s="465"/>
      <c r="D1478" s="465"/>
      <c r="E1478" s="554"/>
      <c r="F1478" s="465"/>
    </row>
    <row r="1479" spans="2:6">
      <c r="B1479" s="465"/>
      <c r="C1479" s="465"/>
      <c r="D1479" s="465"/>
      <c r="E1479" s="554"/>
      <c r="F1479" s="465"/>
    </row>
    <row r="1480" spans="2:6">
      <c r="B1480" s="465"/>
      <c r="C1480" s="465"/>
      <c r="D1480" s="465"/>
      <c r="E1480" s="554"/>
      <c r="F1480" s="465"/>
    </row>
    <row r="1481" spans="2:6">
      <c r="B1481" s="465"/>
      <c r="C1481" s="465"/>
      <c r="D1481" s="465"/>
      <c r="E1481" s="554"/>
      <c r="F1481" s="465"/>
    </row>
    <row r="1482" spans="2:6">
      <c r="B1482" s="465"/>
      <c r="C1482" s="465"/>
      <c r="D1482" s="465"/>
      <c r="E1482" s="554"/>
      <c r="F1482" s="465"/>
    </row>
    <row r="1483" spans="2:6">
      <c r="B1483" s="465"/>
      <c r="C1483" s="465"/>
      <c r="D1483" s="465"/>
      <c r="E1483" s="554"/>
      <c r="F1483" s="465"/>
    </row>
    <row r="1484" spans="2:6">
      <c r="B1484" s="465"/>
      <c r="C1484" s="465"/>
      <c r="D1484" s="465"/>
      <c r="E1484" s="554"/>
      <c r="F1484" s="465"/>
    </row>
    <row r="1485" spans="2:6">
      <c r="B1485" s="465"/>
      <c r="C1485" s="465"/>
      <c r="D1485" s="465"/>
      <c r="E1485" s="554"/>
      <c r="F1485" s="465"/>
    </row>
    <row r="1486" spans="2:6">
      <c r="B1486" s="465"/>
      <c r="C1486" s="465"/>
      <c r="D1486" s="465"/>
      <c r="E1486" s="554"/>
      <c r="F1486" s="465"/>
    </row>
    <row r="1487" spans="2:6">
      <c r="B1487" s="465"/>
      <c r="C1487" s="465"/>
      <c r="D1487" s="465"/>
      <c r="E1487" s="554"/>
      <c r="F1487" s="465"/>
    </row>
    <row r="1488" spans="2:6">
      <c r="B1488" s="465"/>
      <c r="C1488" s="465"/>
      <c r="D1488" s="465"/>
      <c r="E1488" s="554"/>
      <c r="F1488" s="465"/>
    </row>
    <row r="1489" spans="2:6">
      <c r="B1489" s="465"/>
      <c r="C1489" s="465"/>
      <c r="D1489" s="465"/>
      <c r="E1489" s="554"/>
      <c r="F1489" s="465"/>
    </row>
    <row r="1490" spans="2:6">
      <c r="B1490" s="465"/>
      <c r="C1490" s="465"/>
      <c r="D1490" s="465"/>
      <c r="E1490" s="554"/>
      <c r="F1490" s="465"/>
    </row>
    <row r="1491" spans="2:6">
      <c r="B1491" s="465"/>
      <c r="C1491" s="465"/>
      <c r="D1491" s="465"/>
      <c r="E1491" s="554"/>
      <c r="F1491" s="465"/>
    </row>
    <row r="1492" spans="2:6">
      <c r="B1492" s="465"/>
      <c r="C1492" s="465"/>
      <c r="D1492" s="465"/>
      <c r="E1492" s="554"/>
      <c r="F1492" s="465"/>
    </row>
    <row r="1493" spans="2:6">
      <c r="B1493" s="465"/>
      <c r="C1493" s="465"/>
      <c r="D1493" s="465"/>
      <c r="E1493" s="554"/>
      <c r="F1493" s="465"/>
    </row>
    <row r="1494" spans="2:6">
      <c r="B1494" s="465"/>
      <c r="C1494" s="465"/>
      <c r="D1494" s="465"/>
      <c r="E1494" s="554"/>
      <c r="F1494" s="465"/>
    </row>
    <row r="1495" spans="2:6">
      <c r="B1495" s="465"/>
      <c r="C1495" s="465"/>
      <c r="D1495" s="465"/>
      <c r="E1495" s="554"/>
      <c r="F1495" s="465"/>
    </row>
    <row r="1496" spans="2:6">
      <c r="B1496" s="465"/>
      <c r="C1496" s="465"/>
      <c r="D1496" s="465"/>
      <c r="E1496" s="554"/>
      <c r="F1496" s="465"/>
    </row>
    <row r="1497" spans="2:6">
      <c r="B1497" s="465"/>
      <c r="C1497" s="465"/>
      <c r="D1497" s="465"/>
      <c r="E1497" s="554"/>
      <c r="F1497" s="465"/>
    </row>
    <row r="1498" spans="2:6">
      <c r="B1498" s="465"/>
      <c r="C1498" s="465"/>
      <c r="D1498" s="465"/>
      <c r="E1498" s="554"/>
      <c r="F1498" s="465"/>
    </row>
    <row r="1499" spans="2:6">
      <c r="B1499" s="465"/>
      <c r="C1499" s="465"/>
      <c r="D1499" s="465"/>
      <c r="E1499" s="554"/>
      <c r="F1499" s="465"/>
    </row>
    <row r="1500" spans="2:6">
      <c r="B1500" s="465"/>
      <c r="C1500" s="465"/>
      <c r="D1500" s="465"/>
      <c r="E1500" s="554"/>
      <c r="F1500" s="465"/>
    </row>
    <row r="1501" spans="2:6">
      <c r="B1501" s="465"/>
      <c r="C1501" s="465"/>
      <c r="D1501" s="465"/>
      <c r="E1501" s="554"/>
      <c r="F1501" s="465"/>
    </row>
    <row r="1502" spans="2:6">
      <c r="B1502" s="465"/>
      <c r="C1502" s="465"/>
      <c r="D1502" s="465"/>
      <c r="E1502" s="554"/>
      <c r="F1502" s="465"/>
    </row>
    <row r="1503" spans="2:6">
      <c r="B1503" s="465"/>
      <c r="C1503" s="465"/>
      <c r="D1503" s="465"/>
      <c r="E1503" s="554"/>
      <c r="F1503" s="465"/>
    </row>
    <row r="1504" spans="2:6">
      <c r="B1504" s="465"/>
      <c r="C1504" s="465"/>
      <c r="D1504" s="465"/>
      <c r="E1504" s="554"/>
      <c r="F1504" s="465"/>
    </row>
    <row r="1505" spans="2:6">
      <c r="B1505" s="465"/>
      <c r="C1505" s="465"/>
      <c r="D1505" s="465"/>
      <c r="E1505" s="554"/>
      <c r="F1505" s="465"/>
    </row>
    <row r="1506" spans="2:6">
      <c r="B1506" s="465"/>
      <c r="C1506" s="465"/>
      <c r="D1506" s="465"/>
      <c r="E1506" s="554"/>
      <c r="F1506" s="465"/>
    </row>
    <row r="1507" spans="2:6">
      <c r="B1507" s="465"/>
      <c r="C1507" s="465"/>
      <c r="D1507" s="465"/>
      <c r="E1507" s="554"/>
      <c r="F1507" s="465"/>
    </row>
    <row r="1508" spans="2:6">
      <c r="B1508" s="465"/>
      <c r="C1508" s="465"/>
      <c r="D1508" s="465"/>
      <c r="E1508" s="554"/>
      <c r="F1508" s="465"/>
    </row>
    <row r="1509" spans="2:6">
      <c r="B1509" s="465"/>
      <c r="C1509" s="465"/>
      <c r="D1509" s="465"/>
      <c r="E1509" s="554"/>
      <c r="F1509" s="465"/>
    </row>
    <row r="1510" spans="2:6">
      <c r="B1510" s="465"/>
      <c r="C1510" s="465"/>
      <c r="D1510" s="465"/>
      <c r="E1510" s="554"/>
      <c r="F1510" s="465"/>
    </row>
    <row r="1511" spans="2:6">
      <c r="B1511" s="465"/>
      <c r="C1511" s="465"/>
      <c r="D1511" s="465"/>
      <c r="E1511" s="554"/>
      <c r="F1511" s="465"/>
    </row>
    <row r="1512" spans="2:6">
      <c r="B1512" s="465"/>
      <c r="C1512" s="465"/>
      <c r="D1512" s="465"/>
      <c r="E1512" s="554"/>
      <c r="F1512" s="465"/>
    </row>
    <row r="1513" spans="2:6">
      <c r="B1513" s="465"/>
      <c r="C1513" s="465"/>
      <c r="D1513" s="465"/>
      <c r="E1513" s="554"/>
      <c r="F1513" s="465"/>
    </row>
    <row r="1514" spans="2:6">
      <c r="B1514" s="465"/>
      <c r="C1514" s="465"/>
      <c r="D1514" s="465"/>
      <c r="E1514" s="554"/>
      <c r="F1514" s="465"/>
    </row>
    <row r="1515" spans="2:6">
      <c r="B1515" s="465"/>
      <c r="C1515" s="465"/>
      <c r="D1515" s="465"/>
      <c r="E1515" s="554"/>
      <c r="F1515" s="465"/>
    </row>
    <row r="1516" spans="2:6">
      <c r="B1516" s="465"/>
      <c r="C1516" s="465"/>
      <c r="D1516" s="465"/>
      <c r="E1516" s="554"/>
      <c r="F1516" s="465"/>
    </row>
    <row r="1517" spans="2:6">
      <c r="B1517" s="465"/>
      <c r="C1517" s="465"/>
      <c r="D1517" s="465"/>
      <c r="E1517" s="554"/>
      <c r="F1517" s="465"/>
    </row>
    <row r="1518" spans="2:6">
      <c r="B1518" s="465"/>
      <c r="C1518" s="465"/>
      <c r="D1518" s="465"/>
      <c r="E1518" s="554"/>
      <c r="F1518" s="465"/>
    </row>
    <row r="1519" spans="2:6">
      <c r="B1519" s="465"/>
      <c r="C1519" s="465"/>
      <c r="D1519" s="465"/>
      <c r="E1519" s="554"/>
      <c r="F1519" s="465"/>
    </row>
    <row r="1520" spans="2:6">
      <c r="B1520" s="465"/>
      <c r="C1520" s="465"/>
      <c r="D1520" s="465"/>
      <c r="E1520" s="554"/>
      <c r="F1520" s="465"/>
    </row>
    <row r="1521" spans="2:6">
      <c r="B1521" s="465"/>
      <c r="C1521" s="465"/>
      <c r="D1521" s="465"/>
      <c r="E1521" s="554"/>
      <c r="F1521" s="465"/>
    </row>
    <row r="1522" spans="2:6">
      <c r="B1522" s="465"/>
      <c r="C1522" s="465"/>
      <c r="D1522" s="465"/>
      <c r="E1522" s="554"/>
      <c r="F1522" s="465"/>
    </row>
    <row r="1523" spans="2:6">
      <c r="B1523" s="465"/>
      <c r="C1523" s="465"/>
      <c r="D1523" s="465"/>
      <c r="E1523" s="554"/>
      <c r="F1523" s="465"/>
    </row>
    <row r="1524" spans="2:6">
      <c r="B1524" s="465"/>
      <c r="C1524" s="465"/>
      <c r="D1524" s="465"/>
      <c r="E1524" s="554"/>
      <c r="F1524" s="465"/>
    </row>
    <row r="1525" spans="2:6">
      <c r="B1525" s="465"/>
      <c r="C1525" s="465"/>
      <c r="D1525" s="465"/>
      <c r="E1525" s="554"/>
      <c r="F1525" s="465"/>
    </row>
    <row r="1526" spans="2:6">
      <c r="B1526" s="465"/>
      <c r="C1526" s="465"/>
      <c r="D1526" s="465"/>
      <c r="E1526" s="554"/>
      <c r="F1526" s="465"/>
    </row>
    <row r="1527" spans="2:6">
      <c r="B1527" s="465"/>
      <c r="C1527" s="465"/>
      <c r="D1527" s="465"/>
      <c r="E1527" s="554"/>
      <c r="F1527" s="465"/>
    </row>
    <row r="1528" spans="2:6">
      <c r="B1528" s="465"/>
      <c r="C1528" s="465"/>
      <c r="D1528" s="465"/>
      <c r="E1528" s="554"/>
      <c r="F1528" s="465"/>
    </row>
    <row r="1529" spans="2:6">
      <c r="B1529" s="465"/>
      <c r="C1529" s="465"/>
      <c r="D1529" s="465"/>
      <c r="E1529" s="554"/>
      <c r="F1529" s="465"/>
    </row>
    <row r="1530" spans="2:6">
      <c r="B1530" s="465"/>
      <c r="C1530" s="465"/>
      <c r="D1530" s="465"/>
      <c r="E1530" s="554"/>
      <c r="F1530" s="465"/>
    </row>
    <row r="1531" spans="2:6">
      <c r="B1531" s="465"/>
      <c r="C1531" s="465"/>
      <c r="D1531" s="465"/>
      <c r="E1531" s="554"/>
      <c r="F1531" s="465"/>
    </row>
    <row r="1532" spans="2:6">
      <c r="B1532" s="465"/>
      <c r="C1532" s="465"/>
      <c r="D1532" s="465"/>
      <c r="E1532" s="554"/>
      <c r="F1532" s="465"/>
    </row>
    <row r="1533" spans="2:6">
      <c r="B1533" s="465"/>
      <c r="C1533" s="465"/>
      <c r="D1533" s="465"/>
      <c r="E1533" s="554"/>
      <c r="F1533" s="465"/>
    </row>
    <row r="1534" spans="2:6">
      <c r="B1534" s="465"/>
      <c r="C1534" s="465"/>
      <c r="D1534" s="465"/>
      <c r="E1534" s="554"/>
      <c r="F1534" s="465"/>
    </row>
    <row r="1535" spans="2:6">
      <c r="B1535" s="465"/>
      <c r="C1535" s="465"/>
      <c r="D1535" s="465"/>
      <c r="E1535" s="554"/>
      <c r="F1535" s="465"/>
    </row>
    <row r="1536" spans="2:6">
      <c r="B1536" s="465"/>
      <c r="C1536" s="465"/>
      <c r="D1536" s="465"/>
      <c r="E1536" s="554"/>
      <c r="F1536" s="465"/>
    </row>
    <row r="1537" spans="2:6">
      <c r="B1537" s="465"/>
      <c r="C1537" s="465"/>
      <c r="D1537" s="465"/>
      <c r="E1537" s="554"/>
      <c r="F1537" s="465"/>
    </row>
    <row r="1538" spans="2:6">
      <c r="B1538" s="465"/>
      <c r="C1538" s="465"/>
      <c r="D1538" s="465"/>
      <c r="E1538" s="554"/>
      <c r="F1538" s="465"/>
    </row>
    <row r="1539" spans="2:6">
      <c r="B1539" s="465"/>
      <c r="C1539" s="465"/>
      <c r="D1539" s="465"/>
      <c r="E1539" s="554"/>
      <c r="F1539" s="465"/>
    </row>
    <row r="1540" spans="2:6">
      <c r="B1540" s="465"/>
      <c r="C1540" s="465"/>
      <c r="D1540" s="465"/>
      <c r="E1540" s="554"/>
      <c r="F1540" s="465"/>
    </row>
    <row r="1541" spans="2:6">
      <c r="B1541" s="465"/>
      <c r="C1541" s="465"/>
      <c r="D1541" s="465"/>
      <c r="E1541" s="554"/>
      <c r="F1541" s="465"/>
    </row>
    <row r="1542" spans="2:6">
      <c r="B1542" s="465"/>
      <c r="C1542" s="465"/>
      <c r="D1542" s="465"/>
      <c r="E1542" s="554"/>
      <c r="F1542" s="465"/>
    </row>
    <row r="1543" spans="2:6">
      <c r="B1543" s="465"/>
      <c r="C1543" s="465"/>
      <c r="D1543" s="465"/>
      <c r="E1543" s="554"/>
      <c r="F1543" s="465"/>
    </row>
    <row r="1544" spans="2:6">
      <c r="B1544" s="465"/>
      <c r="C1544" s="465"/>
      <c r="D1544" s="465"/>
      <c r="E1544" s="554"/>
      <c r="F1544" s="465"/>
    </row>
    <row r="1545" spans="2:6">
      <c r="B1545" s="465"/>
      <c r="C1545" s="465"/>
      <c r="D1545" s="465"/>
      <c r="E1545" s="554"/>
      <c r="F1545" s="465"/>
    </row>
    <row r="1546" spans="2:6">
      <c r="B1546" s="465"/>
      <c r="C1546" s="465"/>
      <c r="D1546" s="465"/>
      <c r="E1546" s="554"/>
      <c r="F1546" s="465"/>
    </row>
    <row r="1547" spans="2:6">
      <c r="B1547" s="465"/>
      <c r="C1547" s="465"/>
      <c r="D1547" s="465"/>
      <c r="E1547" s="554"/>
      <c r="F1547" s="465"/>
    </row>
    <row r="1548" spans="2:6">
      <c r="B1548" s="465"/>
      <c r="C1548" s="465"/>
      <c r="D1548" s="465"/>
      <c r="E1548" s="554"/>
      <c r="F1548" s="465"/>
    </row>
    <row r="1549" spans="2:6">
      <c r="B1549" s="465"/>
      <c r="C1549" s="465"/>
      <c r="D1549" s="465"/>
      <c r="E1549" s="554"/>
      <c r="F1549" s="465"/>
    </row>
    <row r="1550" spans="2:6">
      <c r="B1550" s="465"/>
      <c r="C1550" s="465"/>
      <c r="D1550" s="465"/>
      <c r="E1550" s="554"/>
      <c r="F1550" s="465"/>
    </row>
    <row r="1551" spans="2:6">
      <c r="B1551" s="465"/>
      <c r="C1551" s="465"/>
      <c r="D1551" s="465"/>
      <c r="E1551" s="554"/>
      <c r="F1551" s="465"/>
    </row>
    <row r="1552" spans="2:6">
      <c r="B1552" s="465"/>
      <c r="C1552" s="465"/>
      <c r="D1552" s="465"/>
      <c r="E1552" s="554"/>
      <c r="F1552" s="465"/>
    </row>
    <row r="1553" spans="2:6">
      <c r="B1553" s="465"/>
      <c r="C1553" s="465"/>
      <c r="D1553" s="465"/>
      <c r="E1553" s="554"/>
      <c r="F1553" s="465"/>
    </row>
    <row r="1554" spans="2:6">
      <c r="B1554" s="465"/>
      <c r="C1554" s="465"/>
      <c r="D1554" s="465"/>
      <c r="E1554" s="554"/>
      <c r="F1554" s="465"/>
    </row>
    <row r="1555" spans="2:6">
      <c r="B1555" s="465"/>
      <c r="C1555" s="465"/>
      <c r="D1555" s="465"/>
      <c r="E1555" s="554"/>
      <c r="F1555" s="465"/>
    </row>
    <row r="1556" spans="2:6">
      <c r="B1556" s="465"/>
      <c r="C1556" s="465"/>
      <c r="D1556" s="465"/>
      <c r="E1556" s="554"/>
      <c r="F1556" s="465"/>
    </row>
    <row r="1557" spans="2:6">
      <c r="B1557" s="465"/>
      <c r="C1557" s="465"/>
      <c r="D1557" s="465"/>
      <c r="E1557" s="554"/>
      <c r="F1557" s="465"/>
    </row>
    <row r="1558" spans="2:6">
      <c r="B1558" s="465"/>
      <c r="C1558" s="465"/>
      <c r="D1558" s="465"/>
      <c r="E1558" s="554"/>
      <c r="F1558" s="465"/>
    </row>
    <row r="1559" spans="2:6">
      <c r="B1559" s="465"/>
      <c r="C1559" s="465"/>
      <c r="D1559" s="465"/>
      <c r="E1559" s="554"/>
      <c r="F1559" s="465"/>
    </row>
    <row r="1560" spans="2:6">
      <c r="B1560" s="465"/>
      <c r="C1560" s="465"/>
      <c r="D1560" s="465"/>
      <c r="E1560" s="554"/>
      <c r="F1560" s="465"/>
    </row>
    <row r="1561" spans="2:6">
      <c r="B1561" s="465"/>
      <c r="C1561" s="465"/>
      <c r="D1561" s="465"/>
      <c r="E1561" s="554"/>
      <c r="F1561" s="465"/>
    </row>
    <row r="1562" spans="2:6">
      <c r="B1562" s="465"/>
      <c r="C1562" s="465"/>
      <c r="D1562" s="465"/>
      <c r="E1562" s="554"/>
      <c r="F1562" s="465"/>
    </row>
    <row r="1563" spans="2:6">
      <c r="B1563" s="465"/>
      <c r="C1563" s="465"/>
      <c r="D1563" s="465"/>
      <c r="E1563" s="554"/>
      <c r="F1563" s="465"/>
    </row>
    <row r="1564" spans="2:6">
      <c r="B1564" s="465"/>
      <c r="C1564" s="465"/>
      <c r="D1564" s="465"/>
      <c r="E1564" s="554"/>
      <c r="F1564" s="465"/>
    </row>
    <row r="1565" spans="2:6">
      <c r="B1565" s="465"/>
      <c r="C1565" s="465"/>
      <c r="D1565" s="465"/>
      <c r="E1565" s="554"/>
      <c r="F1565" s="465"/>
    </row>
    <row r="1566" spans="2:6">
      <c r="B1566" s="465"/>
      <c r="C1566" s="465"/>
      <c r="D1566" s="465"/>
      <c r="E1566" s="554"/>
      <c r="F1566" s="465"/>
    </row>
    <row r="1567" spans="2:6">
      <c r="B1567" s="465"/>
      <c r="C1567" s="465"/>
      <c r="D1567" s="465"/>
      <c r="E1567" s="554"/>
      <c r="F1567" s="465"/>
    </row>
    <row r="1568" spans="2:6">
      <c r="B1568" s="465"/>
      <c r="C1568" s="465"/>
      <c r="D1568" s="465"/>
      <c r="E1568" s="554"/>
      <c r="F1568" s="465"/>
    </row>
    <row r="1569" spans="2:6">
      <c r="B1569" s="465"/>
      <c r="C1569" s="465"/>
      <c r="D1569" s="465"/>
      <c r="E1569" s="554"/>
      <c r="F1569" s="465"/>
    </row>
    <row r="1570" spans="2:6">
      <c r="B1570" s="465"/>
      <c r="C1570" s="465"/>
      <c r="D1570" s="465"/>
      <c r="E1570" s="554"/>
      <c r="F1570" s="465"/>
    </row>
    <row r="1571" spans="2:6">
      <c r="B1571" s="465"/>
      <c r="C1571" s="465"/>
      <c r="D1571" s="465"/>
      <c r="E1571" s="554"/>
      <c r="F1571" s="465"/>
    </row>
    <row r="1572" spans="2:6">
      <c r="B1572" s="465"/>
      <c r="C1572" s="465"/>
      <c r="D1572" s="465"/>
      <c r="E1572" s="554"/>
      <c r="F1572" s="465"/>
    </row>
    <row r="1573" spans="2:6">
      <c r="B1573" s="465"/>
      <c r="C1573" s="465"/>
      <c r="D1573" s="465"/>
      <c r="E1573" s="554"/>
      <c r="F1573" s="465"/>
    </row>
    <row r="1574" spans="2:6">
      <c r="B1574" s="465"/>
      <c r="C1574" s="465"/>
      <c r="D1574" s="465"/>
      <c r="E1574" s="554"/>
      <c r="F1574" s="465"/>
    </row>
    <row r="1575" spans="2:6">
      <c r="B1575" s="465"/>
      <c r="C1575" s="465"/>
      <c r="D1575" s="465"/>
      <c r="E1575" s="554"/>
      <c r="F1575" s="465"/>
    </row>
    <row r="1576" spans="2:6">
      <c r="B1576" s="465"/>
      <c r="C1576" s="465"/>
      <c r="D1576" s="465"/>
      <c r="E1576" s="554"/>
      <c r="F1576" s="465"/>
    </row>
    <row r="1577" spans="2:6">
      <c r="B1577" s="465"/>
      <c r="C1577" s="465"/>
      <c r="D1577" s="465"/>
      <c r="E1577" s="554"/>
      <c r="F1577" s="465"/>
    </row>
    <row r="1578" spans="2:6">
      <c r="B1578" s="465"/>
      <c r="C1578" s="465"/>
      <c r="D1578" s="465"/>
      <c r="E1578" s="554"/>
      <c r="F1578" s="465"/>
    </row>
    <row r="1579" spans="2:6">
      <c r="B1579" s="465"/>
      <c r="C1579" s="465"/>
      <c r="D1579" s="465"/>
      <c r="E1579" s="554"/>
      <c r="F1579" s="465"/>
    </row>
    <row r="1580" spans="2:6">
      <c r="B1580" s="465"/>
      <c r="C1580" s="465"/>
      <c r="D1580" s="465"/>
      <c r="E1580" s="554"/>
      <c r="F1580" s="465"/>
    </row>
    <row r="1581" spans="2:6">
      <c r="B1581" s="465"/>
      <c r="C1581" s="465"/>
      <c r="D1581" s="465"/>
      <c r="E1581" s="554"/>
      <c r="F1581" s="465"/>
    </row>
    <row r="1582" spans="2:6">
      <c r="B1582" s="465"/>
      <c r="C1582" s="465"/>
      <c r="D1582" s="465"/>
      <c r="E1582" s="554"/>
      <c r="F1582" s="465"/>
    </row>
    <row r="1583" spans="2:6">
      <c r="B1583" s="465"/>
      <c r="C1583" s="465"/>
      <c r="D1583" s="465"/>
      <c r="E1583" s="554"/>
      <c r="F1583" s="465"/>
    </row>
    <row r="1584" spans="2:6">
      <c r="B1584" s="465"/>
      <c r="C1584" s="465"/>
      <c r="D1584" s="465"/>
      <c r="E1584" s="554"/>
      <c r="F1584" s="465"/>
    </row>
    <row r="1585" spans="2:6">
      <c r="B1585" s="465"/>
      <c r="C1585" s="465"/>
      <c r="D1585" s="465"/>
      <c r="E1585" s="554"/>
      <c r="F1585" s="465"/>
    </row>
    <row r="1586" spans="2:6">
      <c r="B1586" s="465"/>
      <c r="C1586" s="465"/>
      <c r="D1586" s="465"/>
      <c r="E1586" s="554"/>
      <c r="F1586" s="465"/>
    </row>
    <row r="1587" spans="2:6">
      <c r="B1587" s="465"/>
      <c r="C1587" s="465"/>
      <c r="D1587" s="465"/>
      <c r="E1587" s="554"/>
      <c r="F1587" s="465"/>
    </row>
    <row r="1588" spans="2:6">
      <c r="B1588" s="465"/>
      <c r="C1588" s="465"/>
      <c r="D1588" s="465"/>
      <c r="E1588" s="554"/>
      <c r="F1588" s="465"/>
    </row>
    <row r="1589" spans="2:6">
      <c r="B1589" s="465"/>
      <c r="C1589" s="465"/>
      <c r="D1589" s="465"/>
      <c r="E1589" s="554"/>
      <c r="F1589" s="465"/>
    </row>
    <row r="1590" spans="2:6">
      <c r="B1590" s="465"/>
      <c r="C1590" s="465"/>
      <c r="D1590" s="465"/>
      <c r="E1590" s="554"/>
      <c r="F1590" s="465"/>
    </row>
    <row r="1591" spans="2:6">
      <c r="B1591" s="465"/>
      <c r="C1591" s="465"/>
      <c r="D1591" s="465"/>
      <c r="E1591" s="554"/>
      <c r="F1591" s="465"/>
    </row>
    <row r="1592" spans="2:6">
      <c r="B1592" s="465"/>
      <c r="C1592" s="465"/>
      <c r="D1592" s="465"/>
      <c r="E1592" s="554"/>
      <c r="F1592" s="465"/>
    </row>
    <row r="1593" spans="2:6">
      <c r="B1593" s="465"/>
      <c r="C1593" s="465"/>
      <c r="D1593" s="465"/>
      <c r="E1593" s="554"/>
      <c r="F1593" s="465"/>
    </row>
    <row r="1594" spans="2:6">
      <c r="B1594" s="465"/>
      <c r="C1594" s="465"/>
      <c r="D1594" s="465"/>
      <c r="E1594" s="554"/>
      <c r="F1594" s="465"/>
    </row>
    <row r="1595" spans="2:6">
      <c r="B1595" s="465"/>
      <c r="C1595" s="465"/>
      <c r="D1595" s="465"/>
      <c r="E1595" s="554"/>
      <c r="F1595" s="465"/>
    </row>
    <row r="1596" spans="2:6">
      <c r="B1596" s="465"/>
      <c r="C1596" s="465"/>
      <c r="D1596" s="465"/>
      <c r="E1596" s="554"/>
      <c r="F1596" s="465"/>
    </row>
    <row r="1597" spans="2:6">
      <c r="B1597" s="465"/>
      <c r="C1597" s="465"/>
      <c r="D1597" s="465"/>
      <c r="E1597" s="554"/>
      <c r="F1597" s="465"/>
    </row>
    <row r="1598" spans="2:6">
      <c r="B1598" s="465"/>
      <c r="C1598" s="465"/>
      <c r="D1598" s="465"/>
      <c r="E1598" s="554"/>
      <c r="F1598" s="465"/>
    </row>
    <row r="1599" spans="2:6">
      <c r="B1599" s="465"/>
      <c r="C1599" s="465"/>
      <c r="D1599" s="465"/>
      <c r="E1599" s="554"/>
      <c r="F1599" s="465"/>
    </row>
    <row r="1600" spans="2:6">
      <c r="B1600" s="465"/>
      <c r="C1600" s="465"/>
      <c r="D1600" s="465"/>
      <c r="E1600" s="554"/>
      <c r="F1600" s="465"/>
    </row>
    <row r="1601" spans="2:6">
      <c r="B1601" s="465"/>
      <c r="C1601" s="465"/>
      <c r="D1601" s="465"/>
      <c r="E1601" s="554"/>
      <c r="F1601" s="465"/>
    </row>
    <row r="1602" spans="2:6">
      <c r="B1602" s="465"/>
      <c r="C1602" s="465"/>
      <c r="D1602" s="465"/>
      <c r="E1602" s="554"/>
      <c r="F1602" s="465"/>
    </row>
    <row r="1603" spans="2:6">
      <c r="B1603" s="465"/>
      <c r="C1603" s="465"/>
      <c r="D1603" s="465"/>
      <c r="E1603" s="554"/>
      <c r="F1603" s="465"/>
    </row>
    <row r="1604" spans="2:6">
      <c r="B1604" s="465"/>
      <c r="C1604" s="465"/>
      <c r="D1604" s="465"/>
      <c r="E1604" s="554"/>
      <c r="F1604" s="465"/>
    </row>
    <row r="1605" spans="2:6">
      <c r="B1605" s="465"/>
      <c r="C1605" s="465"/>
      <c r="D1605" s="465"/>
      <c r="E1605" s="554"/>
      <c r="F1605" s="465"/>
    </row>
    <row r="1606" spans="2:6">
      <c r="B1606" s="465"/>
      <c r="C1606" s="465"/>
      <c r="D1606" s="465"/>
      <c r="E1606" s="554"/>
      <c r="F1606" s="465"/>
    </row>
    <row r="1607" spans="2:6">
      <c r="B1607" s="465"/>
      <c r="C1607" s="465"/>
      <c r="D1607" s="465"/>
      <c r="E1607" s="554"/>
      <c r="F1607" s="465"/>
    </row>
    <row r="1608" spans="2:6">
      <c r="B1608" s="465"/>
      <c r="C1608" s="465"/>
      <c r="D1608" s="465"/>
      <c r="E1608" s="554"/>
      <c r="F1608" s="465"/>
    </row>
    <row r="1609" spans="2:6">
      <c r="B1609" s="465"/>
      <c r="C1609" s="465"/>
      <c r="D1609" s="465"/>
      <c r="E1609" s="554"/>
      <c r="F1609" s="465"/>
    </row>
    <row r="1610" spans="2:6">
      <c r="B1610" s="465"/>
      <c r="C1610" s="465"/>
      <c r="D1610" s="465"/>
      <c r="E1610" s="554"/>
      <c r="F1610" s="465"/>
    </row>
    <row r="1611" spans="2:6">
      <c r="B1611" s="465"/>
      <c r="C1611" s="465"/>
      <c r="D1611" s="465"/>
      <c r="E1611" s="554"/>
      <c r="F1611" s="465"/>
    </row>
    <row r="1612" spans="2:6">
      <c r="B1612" s="465"/>
      <c r="C1612" s="465"/>
      <c r="D1612" s="465"/>
      <c r="E1612" s="554"/>
      <c r="F1612" s="465"/>
    </row>
    <row r="1613" spans="2:6">
      <c r="B1613" s="465"/>
      <c r="C1613" s="465"/>
      <c r="D1613" s="465"/>
      <c r="E1613" s="554"/>
      <c r="F1613" s="465"/>
    </row>
    <row r="1614" spans="2:6">
      <c r="B1614" s="465"/>
      <c r="C1614" s="465"/>
      <c r="D1614" s="465"/>
      <c r="E1614" s="554"/>
      <c r="F1614" s="465"/>
    </row>
    <row r="1615" spans="2:6">
      <c r="B1615" s="465"/>
      <c r="C1615" s="465"/>
      <c r="D1615" s="465"/>
      <c r="E1615" s="554"/>
      <c r="F1615" s="465"/>
    </row>
    <row r="1616" spans="2:6">
      <c r="B1616" s="465"/>
      <c r="C1616" s="465"/>
      <c r="D1616" s="465"/>
      <c r="E1616" s="554"/>
      <c r="F1616" s="465"/>
    </row>
    <row r="1617" spans="2:6">
      <c r="B1617" s="465"/>
      <c r="C1617" s="465"/>
      <c r="D1617" s="465"/>
      <c r="E1617" s="554"/>
      <c r="F1617" s="465"/>
    </row>
    <row r="1618" spans="2:6">
      <c r="B1618" s="465"/>
      <c r="C1618" s="465"/>
      <c r="D1618" s="465"/>
      <c r="E1618" s="554"/>
      <c r="F1618" s="465"/>
    </row>
    <row r="1619" spans="2:6">
      <c r="B1619" s="465"/>
      <c r="C1619" s="465"/>
      <c r="D1619" s="465"/>
      <c r="E1619" s="554"/>
      <c r="F1619" s="465"/>
    </row>
    <row r="1620" spans="2:6">
      <c r="B1620" s="465"/>
      <c r="C1620" s="465"/>
      <c r="D1620" s="465"/>
      <c r="E1620" s="554"/>
      <c r="F1620" s="465"/>
    </row>
    <row r="1621" spans="2:6">
      <c r="B1621" s="465"/>
      <c r="C1621" s="465"/>
      <c r="D1621" s="465"/>
      <c r="E1621" s="554"/>
      <c r="F1621" s="465"/>
    </row>
    <row r="1622" spans="2:6">
      <c r="B1622" s="465"/>
      <c r="C1622" s="465"/>
      <c r="D1622" s="465"/>
      <c r="E1622" s="554"/>
      <c r="F1622" s="465"/>
    </row>
    <row r="1623" spans="2:6">
      <c r="B1623" s="465"/>
      <c r="C1623" s="465"/>
      <c r="D1623" s="465"/>
      <c r="E1623" s="554"/>
      <c r="F1623" s="465"/>
    </row>
    <row r="1624" spans="2:6">
      <c r="B1624" s="465"/>
      <c r="C1624" s="465"/>
      <c r="D1624" s="465"/>
      <c r="E1624" s="554"/>
      <c r="F1624" s="465"/>
    </row>
    <row r="1625" spans="2:6">
      <c r="B1625" s="465"/>
      <c r="C1625" s="465"/>
      <c r="D1625" s="465"/>
      <c r="E1625" s="554"/>
      <c r="F1625" s="465"/>
    </row>
    <row r="1626" spans="2:6">
      <c r="B1626" s="465"/>
      <c r="C1626" s="465"/>
      <c r="D1626" s="465"/>
      <c r="E1626" s="554"/>
      <c r="F1626" s="465"/>
    </row>
    <row r="1627" spans="2:6">
      <c r="B1627" s="465"/>
      <c r="C1627" s="465"/>
      <c r="D1627" s="465"/>
      <c r="E1627" s="554"/>
      <c r="F1627" s="465"/>
    </row>
    <row r="1628" spans="2:6">
      <c r="B1628" s="465"/>
      <c r="C1628" s="465"/>
      <c r="D1628" s="465"/>
      <c r="E1628" s="554"/>
      <c r="F1628" s="465"/>
    </row>
    <row r="1629" spans="2:6">
      <c r="B1629" s="465"/>
      <c r="C1629" s="465"/>
      <c r="D1629" s="465"/>
      <c r="E1629" s="554"/>
      <c r="F1629" s="465"/>
    </row>
    <row r="1630" spans="2:6">
      <c r="B1630" s="465"/>
      <c r="C1630" s="465"/>
      <c r="D1630" s="465"/>
      <c r="E1630" s="554"/>
      <c r="F1630" s="465"/>
    </row>
    <row r="1631" spans="2:6">
      <c r="B1631" s="465"/>
      <c r="C1631" s="465"/>
      <c r="D1631" s="465"/>
      <c r="E1631" s="554"/>
      <c r="F1631" s="465"/>
    </row>
    <row r="1632" spans="2:6">
      <c r="B1632" s="465"/>
      <c r="C1632" s="465"/>
      <c r="D1632" s="465"/>
      <c r="E1632" s="554"/>
      <c r="F1632" s="465"/>
    </row>
    <row r="1633" spans="2:6">
      <c r="B1633" s="465"/>
      <c r="C1633" s="465"/>
      <c r="D1633" s="465"/>
      <c r="E1633" s="554"/>
      <c r="F1633" s="465"/>
    </row>
    <row r="1634" spans="2:6">
      <c r="B1634" s="465"/>
      <c r="C1634" s="465"/>
      <c r="D1634" s="465"/>
      <c r="E1634" s="554"/>
      <c r="F1634" s="465"/>
    </row>
    <row r="1635" spans="2:6">
      <c r="B1635" s="465"/>
      <c r="C1635" s="465"/>
      <c r="D1635" s="465"/>
      <c r="E1635" s="554"/>
      <c r="F1635" s="465"/>
    </row>
    <row r="1636" spans="2:6">
      <c r="B1636" s="465"/>
      <c r="C1636" s="465"/>
      <c r="D1636" s="465"/>
      <c r="E1636" s="554"/>
      <c r="F1636" s="465"/>
    </row>
    <row r="1637" spans="2:6">
      <c r="B1637" s="465"/>
      <c r="C1637" s="465"/>
      <c r="D1637" s="465"/>
      <c r="E1637" s="554"/>
      <c r="F1637" s="465"/>
    </row>
    <row r="1638" spans="2:6">
      <c r="B1638" s="465"/>
      <c r="C1638" s="465"/>
      <c r="D1638" s="465"/>
      <c r="E1638" s="554"/>
      <c r="F1638" s="465"/>
    </row>
    <row r="1639" spans="2:6">
      <c r="B1639" s="465"/>
      <c r="C1639" s="465"/>
      <c r="D1639" s="465"/>
      <c r="E1639" s="554"/>
      <c r="F1639" s="465"/>
    </row>
    <row r="1640" spans="2:6">
      <c r="B1640" s="465"/>
      <c r="C1640" s="465"/>
      <c r="D1640" s="465"/>
      <c r="E1640" s="554"/>
      <c r="F1640" s="465"/>
    </row>
    <row r="1641" spans="2:6">
      <c r="B1641" s="465"/>
      <c r="C1641" s="465"/>
      <c r="D1641" s="465"/>
      <c r="E1641" s="554"/>
      <c r="F1641" s="465"/>
    </row>
    <row r="1642" spans="2:6">
      <c r="B1642" s="465"/>
      <c r="C1642" s="465"/>
      <c r="D1642" s="465"/>
      <c r="E1642" s="554"/>
      <c r="F1642" s="465"/>
    </row>
    <row r="1643" spans="2:6">
      <c r="B1643" s="465"/>
      <c r="C1643" s="465"/>
      <c r="D1643" s="465"/>
      <c r="E1643" s="554"/>
      <c r="F1643" s="465"/>
    </row>
    <row r="1644" spans="2:6">
      <c r="B1644" s="465"/>
      <c r="C1644" s="465"/>
      <c r="D1644" s="465"/>
      <c r="E1644" s="554"/>
      <c r="F1644" s="465"/>
    </row>
    <row r="1645" spans="2:6">
      <c r="B1645" s="465"/>
      <c r="C1645" s="465"/>
      <c r="D1645" s="465"/>
      <c r="E1645" s="554"/>
      <c r="F1645" s="465"/>
    </row>
    <row r="1646" spans="2:6">
      <c r="B1646" s="465"/>
      <c r="C1646" s="465"/>
      <c r="D1646" s="465"/>
      <c r="E1646" s="554"/>
      <c r="F1646" s="465"/>
    </row>
    <row r="1647" spans="2:6">
      <c r="B1647" s="465"/>
      <c r="C1647" s="465"/>
      <c r="D1647" s="465"/>
      <c r="E1647" s="554"/>
      <c r="F1647" s="465"/>
    </row>
    <row r="1648" spans="2:6">
      <c r="B1648" s="465"/>
      <c r="C1648" s="465"/>
      <c r="D1648" s="465"/>
      <c r="E1648" s="554"/>
      <c r="F1648" s="465"/>
    </row>
    <row r="1649" spans="2:6">
      <c r="B1649" s="465"/>
      <c r="C1649" s="465"/>
      <c r="D1649" s="465"/>
      <c r="E1649" s="554"/>
      <c r="F1649" s="465"/>
    </row>
    <row r="1650" spans="2:6">
      <c r="B1650" s="465"/>
      <c r="C1650" s="465"/>
      <c r="D1650" s="465"/>
      <c r="E1650" s="554"/>
      <c r="F1650" s="465"/>
    </row>
    <row r="1651" spans="2:6">
      <c r="B1651" s="465"/>
      <c r="C1651" s="465"/>
      <c r="D1651" s="465"/>
      <c r="E1651" s="554"/>
      <c r="F1651" s="465"/>
    </row>
    <row r="1652" spans="2:6">
      <c r="B1652" s="465"/>
      <c r="C1652" s="465"/>
      <c r="D1652" s="465"/>
      <c r="E1652" s="554"/>
      <c r="F1652" s="465"/>
    </row>
    <row r="1653" spans="2:6">
      <c r="B1653" s="465"/>
      <c r="C1653" s="465"/>
      <c r="D1653" s="465"/>
      <c r="E1653" s="554"/>
      <c r="F1653" s="465"/>
    </row>
    <row r="1654" spans="2:6">
      <c r="B1654" s="465"/>
      <c r="C1654" s="465"/>
      <c r="D1654" s="465"/>
      <c r="E1654" s="554"/>
      <c r="F1654" s="465"/>
    </row>
    <row r="1655" spans="2:6">
      <c r="B1655" s="465"/>
      <c r="C1655" s="465"/>
      <c r="D1655" s="465"/>
      <c r="E1655" s="554"/>
      <c r="F1655" s="465"/>
    </row>
    <row r="1656" spans="2:6">
      <c r="B1656" s="465"/>
      <c r="C1656" s="465"/>
      <c r="D1656" s="465"/>
      <c r="E1656" s="554"/>
      <c r="F1656" s="465"/>
    </row>
    <row r="1657" spans="2:6">
      <c r="B1657" s="465"/>
      <c r="C1657" s="465"/>
      <c r="D1657" s="465"/>
      <c r="E1657" s="554"/>
      <c r="F1657" s="465"/>
    </row>
    <row r="1658" spans="2:6">
      <c r="B1658" s="465"/>
      <c r="C1658" s="465"/>
      <c r="D1658" s="465"/>
      <c r="E1658" s="554"/>
      <c r="F1658" s="465"/>
    </row>
    <row r="1659" spans="2:6">
      <c r="B1659" s="465"/>
      <c r="C1659" s="465"/>
      <c r="D1659" s="465"/>
      <c r="E1659" s="554"/>
      <c r="F1659" s="465"/>
    </row>
    <row r="1660" spans="2:6">
      <c r="B1660" s="465"/>
      <c r="C1660" s="465"/>
      <c r="D1660" s="465"/>
      <c r="E1660" s="554"/>
      <c r="F1660" s="465"/>
    </row>
    <row r="1661" spans="2:6">
      <c r="B1661" s="465"/>
      <c r="C1661" s="465"/>
      <c r="D1661" s="465"/>
      <c r="E1661" s="554"/>
      <c r="F1661" s="465"/>
    </row>
    <row r="1662" spans="2:6">
      <c r="B1662" s="465"/>
      <c r="C1662" s="465"/>
      <c r="D1662" s="465"/>
      <c r="E1662" s="554"/>
      <c r="F1662" s="465"/>
    </row>
    <row r="1663" spans="2:6">
      <c r="B1663" s="465"/>
      <c r="C1663" s="465"/>
      <c r="D1663" s="465"/>
      <c r="E1663" s="554"/>
      <c r="F1663" s="465"/>
    </row>
    <row r="1664" spans="2:6">
      <c r="B1664" s="465"/>
      <c r="C1664" s="465"/>
      <c r="D1664" s="465"/>
      <c r="E1664" s="554"/>
      <c r="F1664" s="465"/>
    </row>
    <row r="1665" spans="2:6">
      <c r="B1665" s="465"/>
      <c r="C1665" s="465"/>
      <c r="D1665" s="465"/>
      <c r="E1665" s="554"/>
      <c r="F1665" s="465"/>
    </row>
    <row r="1666" spans="2:6">
      <c r="B1666" s="465"/>
      <c r="C1666" s="465"/>
      <c r="D1666" s="465"/>
      <c r="E1666" s="554"/>
      <c r="F1666" s="465"/>
    </row>
    <row r="1667" spans="2:6">
      <c r="B1667" s="465"/>
      <c r="C1667" s="465"/>
      <c r="D1667" s="465"/>
      <c r="E1667" s="554"/>
      <c r="F1667" s="465"/>
    </row>
    <row r="1668" spans="2:6">
      <c r="B1668" s="465"/>
      <c r="C1668" s="465"/>
      <c r="D1668" s="465"/>
      <c r="E1668" s="554"/>
      <c r="F1668" s="465"/>
    </row>
    <row r="1669" spans="2:6">
      <c r="B1669" s="465"/>
      <c r="C1669" s="465"/>
      <c r="D1669" s="465"/>
      <c r="E1669" s="554"/>
      <c r="F1669" s="465"/>
    </row>
    <row r="1670" spans="2:6">
      <c r="B1670" s="465"/>
      <c r="C1670" s="465"/>
      <c r="D1670" s="465"/>
      <c r="E1670" s="554"/>
      <c r="F1670" s="465"/>
    </row>
    <row r="1671" spans="2:6">
      <c r="B1671" s="465"/>
      <c r="C1671" s="465"/>
      <c r="D1671" s="465"/>
      <c r="E1671" s="554"/>
      <c r="F1671" s="465"/>
    </row>
    <row r="1672" spans="2:6">
      <c r="B1672" s="465"/>
      <c r="C1672" s="465"/>
      <c r="D1672" s="465"/>
      <c r="E1672" s="554"/>
      <c r="F1672" s="465"/>
    </row>
    <row r="1673" spans="2:6">
      <c r="B1673" s="465"/>
      <c r="C1673" s="465"/>
      <c r="D1673" s="465"/>
      <c r="E1673" s="554"/>
      <c r="F1673" s="465"/>
    </row>
    <row r="1674" spans="2:6">
      <c r="B1674" s="465"/>
      <c r="C1674" s="465"/>
      <c r="D1674" s="465"/>
      <c r="E1674" s="554"/>
      <c r="F1674" s="465"/>
    </row>
    <row r="1675" spans="2:6">
      <c r="B1675" s="465"/>
      <c r="C1675" s="465"/>
      <c r="D1675" s="465"/>
      <c r="E1675" s="554"/>
      <c r="F1675" s="465"/>
    </row>
    <row r="1676" spans="2:6">
      <c r="B1676" s="465"/>
      <c r="C1676" s="465"/>
      <c r="D1676" s="465"/>
      <c r="E1676" s="554"/>
      <c r="F1676" s="465"/>
    </row>
    <row r="1677" spans="2:6">
      <c r="B1677" s="465"/>
      <c r="C1677" s="465"/>
      <c r="D1677" s="465"/>
      <c r="E1677" s="554"/>
      <c r="F1677" s="465"/>
    </row>
    <row r="1678" spans="2:6">
      <c r="B1678" s="465"/>
      <c r="C1678" s="465"/>
      <c r="D1678" s="465"/>
      <c r="E1678" s="554"/>
      <c r="F1678" s="465"/>
    </row>
    <row r="1679" spans="2:6">
      <c r="B1679" s="465"/>
      <c r="C1679" s="465"/>
      <c r="D1679" s="465"/>
      <c r="E1679" s="554"/>
      <c r="F1679" s="465"/>
    </row>
    <row r="1680" spans="2:6">
      <c r="B1680" s="465"/>
      <c r="C1680" s="465"/>
      <c r="D1680" s="465"/>
      <c r="E1680" s="554"/>
      <c r="F1680" s="465"/>
    </row>
    <row r="1681" spans="2:6">
      <c r="B1681" s="465"/>
      <c r="C1681" s="465"/>
      <c r="D1681" s="465"/>
      <c r="E1681" s="554"/>
      <c r="F1681" s="465"/>
    </row>
    <row r="1682" spans="2:6">
      <c r="B1682" s="465"/>
      <c r="C1682" s="465"/>
      <c r="D1682" s="465"/>
      <c r="E1682" s="554"/>
      <c r="F1682" s="465"/>
    </row>
    <row r="1683" spans="2:6">
      <c r="B1683" s="465"/>
      <c r="C1683" s="465"/>
      <c r="D1683" s="465"/>
      <c r="E1683" s="554"/>
      <c r="F1683" s="465"/>
    </row>
    <row r="1684" spans="2:6">
      <c r="B1684" s="465"/>
      <c r="C1684" s="465"/>
      <c r="D1684" s="465"/>
      <c r="E1684" s="554"/>
      <c r="F1684" s="465"/>
    </row>
    <row r="1685" spans="2:6">
      <c r="B1685" s="465"/>
      <c r="C1685" s="465"/>
      <c r="D1685" s="465"/>
      <c r="E1685" s="554"/>
      <c r="F1685" s="465"/>
    </row>
    <row r="1686" spans="2:6">
      <c r="B1686" s="465"/>
      <c r="C1686" s="465"/>
      <c r="D1686" s="465"/>
      <c r="E1686" s="554"/>
      <c r="F1686" s="465"/>
    </row>
    <row r="1687" spans="2:6">
      <c r="B1687" s="465"/>
      <c r="C1687" s="465"/>
      <c r="D1687" s="465"/>
      <c r="E1687" s="554"/>
      <c r="F1687" s="465"/>
    </row>
    <row r="1688" spans="2:6">
      <c r="B1688" s="465"/>
      <c r="C1688" s="465"/>
      <c r="D1688" s="465"/>
      <c r="E1688" s="554"/>
      <c r="F1688" s="465"/>
    </row>
    <row r="1689" spans="2:6">
      <c r="B1689" s="465"/>
      <c r="C1689" s="465"/>
      <c r="D1689" s="465"/>
      <c r="E1689" s="554"/>
      <c r="F1689" s="465"/>
    </row>
    <row r="1690" spans="2:6">
      <c r="B1690" s="465"/>
      <c r="C1690" s="465"/>
      <c r="D1690" s="465"/>
      <c r="E1690" s="554"/>
      <c r="F1690" s="465"/>
    </row>
    <row r="1691" spans="2:6">
      <c r="B1691" s="465"/>
      <c r="C1691" s="465"/>
      <c r="D1691" s="465"/>
      <c r="E1691" s="554"/>
      <c r="F1691" s="465"/>
    </row>
    <row r="1692" spans="2:6">
      <c r="B1692" s="465"/>
      <c r="C1692" s="465"/>
      <c r="D1692" s="465"/>
      <c r="E1692" s="554"/>
      <c r="F1692" s="465"/>
    </row>
    <row r="1693" spans="2:6">
      <c r="B1693" s="465"/>
      <c r="C1693" s="465"/>
      <c r="D1693" s="465"/>
      <c r="E1693" s="554"/>
      <c r="F1693" s="465"/>
    </row>
    <row r="1694" spans="2:6">
      <c r="B1694" s="465"/>
      <c r="C1694" s="465"/>
      <c r="D1694" s="465"/>
      <c r="E1694" s="554"/>
      <c r="F1694" s="465"/>
    </row>
    <row r="1695" spans="2:6">
      <c r="B1695" s="465"/>
      <c r="C1695" s="465"/>
      <c r="D1695" s="465"/>
      <c r="E1695" s="554"/>
      <c r="F1695" s="465"/>
    </row>
    <row r="1696" spans="2:6">
      <c r="B1696" s="465"/>
      <c r="C1696" s="465"/>
      <c r="D1696" s="465"/>
      <c r="E1696" s="554"/>
      <c r="F1696" s="465"/>
    </row>
    <row r="1697" spans="2:6">
      <c r="B1697" s="465"/>
      <c r="C1697" s="465"/>
      <c r="D1697" s="465"/>
      <c r="E1697" s="554"/>
      <c r="F1697" s="465"/>
    </row>
    <row r="1698" spans="2:6">
      <c r="B1698" s="465"/>
      <c r="C1698" s="465"/>
      <c r="D1698" s="465"/>
      <c r="E1698" s="554"/>
      <c r="F1698" s="465"/>
    </row>
    <row r="1699" spans="2:6">
      <c r="B1699" s="465"/>
      <c r="C1699" s="465"/>
      <c r="D1699" s="465"/>
      <c r="E1699" s="554"/>
      <c r="F1699" s="465"/>
    </row>
    <row r="1700" spans="2:6">
      <c r="B1700" s="465"/>
      <c r="C1700" s="465"/>
      <c r="D1700" s="465"/>
      <c r="E1700" s="554"/>
      <c r="F1700" s="465"/>
    </row>
  </sheetData>
  <autoFilter ref="A5:F66" xr:uid="{00000000-0009-0000-0000-000027000000}"/>
  <mergeCells count="3">
    <mergeCell ref="B1:E1"/>
    <mergeCell ref="F1:F4"/>
    <mergeCell ref="B3:E3"/>
  </mergeCells>
  <phoneticPr fontId="87" type="noConversion"/>
  <printOptions horizontalCentered="1" verticalCentered="1"/>
  <pageMargins left="0.98425196850393704" right="0.6692913385826772" top="0.98425196850393704" bottom="0.98425196850393704" header="0.9055118110236221" footer="0.15748031496062992"/>
  <pageSetup scale="29" orientation="portrait" r:id="rId1"/>
  <headerFooter alignWithMargins="0">
    <oddFooter>&amp;CPágina &amp;P de &amp;N</oddFooter>
  </headerFooter>
  <rowBreaks count="1" manualBreakCount="1">
    <brk id="48" max="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92D050"/>
  </sheetPr>
  <dimension ref="A1:P1717"/>
  <sheetViews>
    <sheetView view="pageBreakPreview" zoomScaleNormal="100" zoomScaleSheetLayoutView="100" workbookViewId="0">
      <selection activeCell="F79" sqref="F79"/>
    </sheetView>
  </sheetViews>
  <sheetFormatPr baseColWidth="10" defaultColWidth="11.42578125" defaultRowHeight="12"/>
  <cols>
    <col min="1" max="1" width="8.28515625" style="683" customWidth="1"/>
    <col min="2" max="2" width="77.140625" style="683" customWidth="1"/>
    <col min="3" max="3" width="3.85546875" style="683" customWidth="1"/>
    <col min="4" max="4" width="13.28515625" style="683" customWidth="1"/>
    <col min="5" max="5" width="14.28515625" style="684" customWidth="1"/>
    <col min="6" max="6" width="16.7109375" style="683" customWidth="1"/>
    <col min="7" max="9" width="11.42578125" style="683"/>
    <col min="10" max="10" width="14" style="683" customWidth="1"/>
    <col min="11" max="11" width="12.7109375" style="683" customWidth="1"/>
    <col min="12" max="12" width="12.85546875" style="683" customWidth="1"/>
    <col min="13" max="13" width="12.28515625" style="683" bestFit="1" customWidth="1"/>
    <col min="14" max="16384" width="11.42578125" style="683"/>
  </cols>
  <sheetData>
    <row r="1" spans="1:16" s="458" customFormat="1" ht="42" customHeight="1">
      <c r="A1" s="457"/>
      <c r="B1" s="1204" t="s">
        <v>1124</v>
      </c>
      <c r="C1" s="1204"/>
      <c r="D1" s="1204"/>
      <c r="E1" s="1204"/>
      <c r="F1" s="1205"/>
    </row>
    <row r="2" spans="1:16" ht="13.5">
      <c r="A2" s="768"/>
      <c r="B2" s="769"/>
      <c r="C2" s="766"/>
      <c r="D2" s="766"/>
      <c r="E2" s="767"/>
      <c r="F2" s="1205"/>
    </row>
    <row r="3" spans="1:16" ht="13.5">
      <c r="A3" s="768"/>
      <c r="B3" s="1208" t="s">
        <v>1114</v>
      </c>
      <c r="C3" s="1208"/>
      <c r="D3" s="1208"/>
      <c r="E3" s="1208"/>
      <c r="F3" s="1205"/>
    </row>
    <row r="4" spans="1:16" ht="13.5">
      <c r="A4" s="768"/>
      <c r="B4" s="695"/>
      <c r="C4" s="766"/>
      <c r="D4" s="685"/>
      <c r="E4" s="767"/>
      <c r="F4" s="1205"/>
    </row>
    <row r="5" spans="1:16" ht="14.25" thickBot="1">
      <c r="A5" s="768"/>
      <c r="B5" s="685"/>
      <c r="C5" s="766"/>
      <c r="D5" s="766" t="s">
        <v>1115</v>
      </c>
      <c r="E5" s="767"/>
      <c r="F5" s="766"/>
    </row>
    <row r="6" spans="1:16" ht="14.25" thickTop="1">
      <c r="A6" s="765" t="s">
        <v>1116</v>
      </c>
      <c r="B6" s="764" t="s">
        <v>3</v>
      </c>
      <c r="C6" s="763"/>
      <c r="D6" s="762" t="s">
        <v>5</v>
      </c>
      <c r="E6" s="761" t="s">
        <v>1117</v>
      </c>
      <c r="F6" s="760" t="s">
        <v>693</v>
      </c>
      <c r="H6" s="701"/>
    </row>
    <row r="7" spans="1:16" s="706" customFormat="1" ht="12.75" thickBot="1">
      <c r="A7" s="759"/>
      <c r="B7" s="758"/>
      <c r="C7" s="758" t="s">
        <v>275</v>
      </c>
      <c r="D7" s="758" t="s">
        <v>1118</v>
      </c>
      <c r="E7" s="757" t="s">
        <v>692</v>
      </c>
      <c r="F7" s="756" t="s">
        <v>1119</v>
      </c>
      <c r="H7" s="701"/>
    </row>
    <row r="8" spans="1:16" s="706" customFormat="1" ht="13.5" thickTop="1" thickBot="1">
      <c r="A8" s="755"/>
      <c r="B8" s="754" t="s">
        <v>1125</v>
      </c>
      <c r="C8" s="753"/>
      <c r="D8" s="753"/>
      <c r="E8" s="752"/>
      <c r="F8" s="751"/>
      <c r="H8" s="701"/>
    </row>
    <row r="9" spans="1:16" s="706" customFormat="1" ht="12.75" thickBot="1">
      <c r="A9" s="750" t="s">
        <v>379</v>
      </c>
      <c r="B9" s="749" t="s">
        <v>575</v>
      </c>
      <c r="C9" s="748"/>
      <c r="D9" s="748"/>
      <c r="E9" s="747"/>
      <c r="F9" s="746"/>
      <c r="H9" s="713"/>
      <c r="I9" s="713"/>
      <c r="J9" s="713"/>
      <c r="K9" s="713"/>
      <c r="L9" s="713"/>
      <c r="M9" s="713"/>
      <c r="N9" s="713"/>
      <c r="O9" s="713"/>
      <c r="P9" s="713"/>
    </row>
    <row r="10" spans="1:16" s="706" customFormat="1">
      <c r="A10" s="745">
        <v>14</v>
      </c>
      <c r="B10" s="744" t="s">
        <v>576</v>
      </c>
      <c r="C10" s="743"/>
      <c r="D10" s="743"/>
      <c r="E10" s="726"/>
      <c r="F10" s="725"/>
      <c r="H10" s="713"/>
      <c r="I10" s="713"/>
      <c r="J10" s="713"/>
      <c r="K10" s="713"/>
      <c r="L10" s="713"/>
      <c r="M10" s="713"/>
      <c r="N10" s="713"/>
    </row>
    <row r="11" spans="1:16" s="706" customFormat="1" ht="192">
      <c r="A11" s="724" t="s">
        <v>380</v>
      </c>
      <c r="B11" s="729" t="s">
        <v>577</v>
      </c>
      <c r="C11" s="728" t="s">
        <v>275</v>
      </c>
      <c r="D11" s="728">
        <v>1</v>
      </c>
      <c r="E11" s="726" t="e">
        <f>#REF!</f>
        <v>#REF!</v>
      </c>
      <c r="F11" s="725" t="e">
        <f t="shared" ref="F11:F30" si="0">D11*E11</f>
        <v>#REF!</v>
      </c>
      <c r="H11" s="713" t="s">
        <v>1126</v>
      </c>
      <c r="I11" s="713"/>
      <c r="J11" s="713"/>
      <c r="K11" s="713"/>
      <c r="L11" s="713"/>
      <c r="M11" s="713"/>
      <c r="N11" s="713"/>
    </row>
    <row r="12" spans="1:16" s="706" customFormat="1" ht="45" customHeight="1">
      <c r="A12" s="724" t="s">
        <v>382</v>
      </c>
      <c r="B12" s="729" t="s">
        <v>578</v>
      </c>
      <c r="C12" s="728" t="s">
        <v>145</v>
      </c>
      <c r="D12" s="728">
        <v>60</v>
      </c>
      <c r="E12" s="726" t="e">
        <f>#REF!</f>
        <v>#REF!</v>
      </c>
      <c r="F12" s="725" t="e">
        <f t="shared" si="0"/>
        <v>#REF!</v>
      </c>
      <c r="H12" s="713" t="s">
        <v>1127</v>
      </c>
      <c r="I12" s="713"/>
      <c r="J12" s="713"/>
      <c r="K12" s="713"/>
      <c r="L12" s="713"/>
      <c r="M12" s="713"/>
      <c r="N12" s="713"/>
    </row>
    <row r="13" spans="1:16" s="706" customFormat="1" ht="45" customHeight="1">
      <c r="A13" s="724" t="s">
        <v>384</v>
      </c>
      <c r="B13" s="729" t="s">
        <v>579</v>
      </c>
      <c r="C13" s="728" t="s">
        <v>275</v>
      </c>
      <c r="D13" s="728">
        <v>1</v>
      </c>
      <c r="E13" s="726" t="e">
        <f>#REF!</f>
        <v>#REF!</v>
      </c>
      <c r="F13" s="725" t="e">
        <f t="shared" si="0"/>
        <v>#REF!</v>
      </c>
      <c r="H13" s="713" t="s">
        <v>1128</v>
      </c>
      <c r="I13" s="713"/>
      <c r="J13" s="713"/>
      <c r="K13" s="713"/>
      <c r="L13" s="713"/>
      <c r="M13" s="713"/>
      <c r="N13" s="713"/>
    </row>
    <row r="14" spans="1:16" s="706" customFormat="1" ht="56.25" customHeight="1">
      <c r="A14" s="724" t="s">
        <v>386</v>
      </c>
      <c r="B14" s="729" t="s">
        <v>580</v>
      </c>
      <c r="C14" s="728" t="s">
        <v>154</v>
      </c>
      <c r="D14" s="728">
        <v>5</v>
      </c>
      <c r="E14" s="726" t="e">
        <f>#REF!</f>
        <v>#REF!</v>
      </c>
      <c r="F14" s="725" t="e">
        <f t="shared" si="0"/>
        <v>#REF!</v>
      </c>
      <c r="H14" s="713" t="s">
        <v>1126</v>
      </c>
      <c r="I14" s="713"/>
      <c r="J14" s="713"/>
      <c r="K14" s="713"/>
      <c r="L14" s="713"/>
      <c r="M14" s="713"/>
      <c r="N14" s="713"/>
    </row>
    <row r="15" spans="1:16" s="706" customFormat="1" ht="39" customHeight="1">
      <c r="A15" s="724" t="s">
        <v>388</v>
      </c>
      <c r="B15" s="729" t="s">
        <v>581</v>
      </c>
      <c r="C15" s="728" t="s">
        <v>145</v>
      </c>
      <c r="D15" s="742">
        <v>10</v>
      </c>
      <c r="E15" s="726" t="e">
        <f>#REF!</f>
        <v>#REF!</v>
      </c>
      <c r="F15" s="725" t="e">
        <f t="shared" si="0"/>
        <v>#REF!</v>
      </c>
      <c r="H15" s="713" t="s">
        <v>1126</v>
      </c>
      <c r="I15" s="713"/>
      <c r="J15" s="713"/>
      <c r="K15" s="713"/>
      <c r="L15" s="713"/>
      <c r="M15" s="713"/>
      <c r="N15" s="713"/>
    </row>
    <row r="16" spans="1:16" s="706" customFormat="1" ht="36">
      <c r="A16" s="724" t="s">
        <v>390</v>
      </c>
      <c r="B16" s="729" t="s">
        <v>582</v>
      </c>
      <c r="C16" s="728" t="s">
        <v>145</v>
      </c>
      <c r="D16" s="728">
        <v>97</v>
      </c>
      <c r="E16" s="726" t="e">
        <f>#REF!</f>
        <v>#REF!</v>
      </c>
      <c r="F16" s="725" t="e">
        <f t="shared" si="0"/>
        <v>#REF!</v>
      </c>
      <c r="H16" s="713" t="s">
        <v>1126</v>
      </c>
      <c r="I16" s="713"/>
      <c r="J16" s="713"/>
      <c r="K16" s="713"/>
      <c r="L16" s="713"/>
      <c r="M16" s="713"/>
      <c r="N16" s="713"/>
    </row>
    <row r="17" spans="1:14" s="706" customFormat="1" ht="36">
      <c r="A17" s="724" t="s">
        <v>392</v>
      </c>
      <c r="B17" s="729" t="s">
        <v>583</v>
      </c>
      <c r="C17" s="728" t="s">
        <v>145</v>
      </c>
      <c r="D17" s="728">
        <v>6</v>
      </c>
      <c r="E17" s="726" t="e">
        <f>#REF!</f>
        <v>#REF!</v>
      </c>
      <c r="F17" s="725" t="e">
        <f t="shared" si="0"/>
        <v>#REF!</v>
      </c>
      <c r="H17" s="713" t="s">
        <v>1126</v>
      </c>
      <c r="I17" s="713"/>
      <c r="J17" s="713"/>
      <c r="K17" s="713"/>
      <c r="L17" s="713"/>
      <c r="M17" s="713"/>
      <c r="N17" s="713"/>
    </row>
    <row r="18" spans="1:14" s="706" customFormat="1" ht="24">
      <c r="A18" s="724" t="s">
        <v>394</v>
      </c>
      <c r="B18" s="729" t="s">
        <v>584</v>
      </c>
      <c r="C18" s="728" t="s">
        <v>275</v>
      </c>
      <c r="D18" s="728">
        <v>1</v>
      </c>
      <c r="E18" s="726" t="e">
        <f>#REF!</f>
        <v>#REF!</v>
      </c>
      <c r="F18" s="725" t="e">
        <f t="shared" si="0"/>
        <v>#REF!</v>
      </c>
      <c r="H18" s="713" t="s">
        <v>1126</v>
      </c>
      <c r="I18" s="713"/>
      <c r="J18" s="713"/>
      <c r="K18" s="713"/>
      <c r="L18" s="713"/>
      <c r="M18" s="713"/>
      <c r="N18" s="713"/>
    </row>
    <row r="19" spans="1:14" s="706" customFormat="1" ht="24">
      <c r="A19" s="724" t="s">
        <v>396</v>
      </c>
      <c r="B19" s="729" t="s">
        <v>585</v>
      </c>
      <c r="C19" s="728" t="s">
        <v>275</v>
      </c>
      <c r="D19" s="728">
        <v>3</v>
      </c>
      <c r="E19" s="726" t="e">
        <f>#REF!</f>
        <v>#REF!</v>
      </c>
      <c r="F19" s="725" t="e">
        <f t="shared" si="0"/>
        <v>#REF!</v>
      </c>
      <c r="H19" s="713" t="s">
        <v>1126</v>
      </c>
      <c r="I19" s="713"/>
      <c r="J19" s="713"/>
      <c r="K19" s="713"/>
      <c r="L19" s="713"/>
      <c r="M19" s="713"/>
      <c r="N19" s="713"/>
    </row>
    <row r="20" spans="1:14" s="706" customFormat="1" ht="24">
      <c r="A20" s="724" t="s">
        <v>398</v>
      </c>
      <c r="B20" s="729" t="s">
        <v>586</v>
      </c>
      <c r="C20" s="728" t="s">
        <v>275</v>
      </c>
      <c r="D20" s="728">
        <v>2</v>
      </c>
      <c r="E20" s="726" t="e">
        <f>#REF!</f>
        <v>#REF!</v>
      </c>
      <c r="F20" s="725" t="e">
        <f t="shared" si="0"/>
        <v>#REF!</v>
      </c>
      <c r="H20" s="713" t="s">
        <v>1126</v>
      </c>
      <c r="I20" s="713"/>
      <c r="J20" s="713"/>
      <c r="K20" s="713"/>
      <c r="L20" s="713"/>
      <c r="M20" s="713"/>
      <c r="N20" s="713"/>
    </row>
    <row r="21" spans="1:14" s="706" customFormat="1" ht="24">
      <c r="A21" s="724" t="s">
        <v>400</v>
      </c>
      <c r="B21" s="729" t="s">
        <v>587</v>
      </c>
      <c r="C21" s="728" t="s">
        <v>275</v>
      </c>
      <c r="D21" s="728">
        <v>3</v>
      </c>
      <c r="E21" s="726" t="e">
        <f>#REF!</f>
        <v>#REF!</v>
      </c>
      <c r="F21" s="725" t="e">
        <f t="shared" si="0"/>
        <v>#REF!</v>
      </c>
      <c r="H21" s="713" t="s">
        <v>1126</v>
      </c>
      <c r="I21" s="713"/>
      <c r="J21" s="713"/>
      <c r="K21" s="713"/>
      <c r="L21" s="713"/>
      <c r="M21" s="713"/>
      <c r="N21" s="713"/>
    </row>
    <row r="22" spans="1:14" s="706" customFormat="1" ht="36">
      <c r="A22" s="724" t="s">
        <v>402</v>
      </c>
      <c r="B22" s="729" t="s">
        <v>588</v>
      </c>
      <c r="C22" s="728" t="s">
        <v>275</v>
      </c>
      <c r="D22" s="728">
        <v>1</v>
      </c>
      <c r="E22" s="726" t="e">
        <f>#REF!</f>
        <v>#REF!</v>
      </c>
      <c r="F22" s="725" t="e">
        <f t="shared" si="0"/>
        <v>#REF!</v>
      </c>
      <c r="G22" s="706" t="s">
        <v>490</v>
      </c>
      <c r="H22" s="713" t="s">
        <v>1126</v>
      </c>
      <c r="I22" s="713"/>
      <c r="J22" s="713"/>
      <c r="K22" s="713"/>
      <c r="L22" s="713"/>
      <c r="M22" s="713"/>
      <c r="N22" s="713"/>
    </row>
    <row r="23" spans="1:14" s="706" customFormat="1" ht="36">
      <c r="A23" s="724" t="s">
        <v>404</v>
      </c>
      <c r="B23" s="729" t="s">
        <v>589</v>
      </c>
      <c r="C23" s="728" t="s">
        <v>275</v>
      </c>
      <c r="D23" s="728">
        <v>2</v>
      </c>
      <c r="E23" s="726" t="e">
        <f>#REF!</f>
        <v>#REF!</v>
      </c>
      <c r="F23" s="725" t="e">
        <f t="shared" si="0"/>
        <v>#REF!</v>
      </c>
      <c r="H23" s="713" t="s">
        <v>1126</v>
      </c>
      <c r="I23" s="713"/>
      <c r="J23" s="713"/>
      <c r="K23" s="713"/>
      <c r="L23" s="713"/>
      <c r="M23" s="713"/>
      <c r="N23" s="713"/>
    </row>
    <row r="24" spans="1:14" s="706" customFormat="1" ht="36">
      <c r="A24" s="724" t="s">
        <v>406</v>
      </c>
      <c r="B24" s="729" t="s">
        <v>590</v>
      </c>
      <c r="C24" s="728" t="s">
        <v>275</v>
      </c>
      <c r="D24" s="728">
        <v>1</v>
      </c>
      <c r="E24" s="726" t="e">
        <f>#REF!</f>
        <v>#REF!</v>
      </c>
      <c r="F24" s="725" t="e">
        <f t="shared" si="0"/>
        <v>#REF!</v>
      </c>
      <c r="H24" s="713" t="s">
        <v>1126</v>
      </c>
      <c r="I24" s="713"/>
      <c r="J24" s="713"/>
      <c r="K24" s="713"/>
      <c r="L24" s="713"/>
      <c r="M24" s="713"/>
      <c r="N24" s="713"/>
    </row>
    <row r="25" spans="1:14" s="706" customFormat="1" ht="36">
      <c r="A25" s="724" t="s">
        <v>408</v>
      </c>
      <c r="B25" s="729" t="s">
        <v>591</v>
      </c>
      <c r="C25" s="728" t="s">
        <v>275</v>
      </c>
      <c r="D25" s="728">
        <v>5</v>
      </c>
      <c r="E25" s="726" t="e">
        <f>#REF!</f>
        <v>#REF!</v>
      </c>
      <c r="F25" s="725" t="e">
        <f t="shared" si="0"/>
        <v>#REF!</v>
      </c>
      <c r="H25" s="713" t="s">
        <v>1126</v>
      </c>
      <c r="I25" s="713"/>
      <c r="J25" s="713"/>
      <c r="K25" s="713"/>
      <c r="L25" s="713"/>
      <c r="M25" s="713"/>
      <c r="N25" s="713"/>
    </row>
    <row r="26" spans="1:14" s="706" customFormat="1" ht="45" customHeight="1">
      <c r="A26" s="724" t="s">
        <v>410</v>
      </c>
      <c r="B26" s="729" t="s">
        <v>592</v>
      </c>
      <c r="C26" s="728" t="s">
        <v>275</v>
      </c>
      <c r="D26" s="728">
        <v>2</v>
      </c>
      <c r="E26" s="726" t="e">
        <f>#REF!</f>
        <v>#REF!</v>
      </c>
      <c r="F26" s="725" t="e">
        <f t="shared" si="0"/>
        <v>#REF!</v>
      </c>
      <c r="H26" s="713" t="s">
        <v>1126</v>
      </c>
      <c r="I26" s="713"/>
      <c r="J26" s="713"/>
      <c r="K26" s="713"/>
      <c r="L26" s="713"/>
      <c r="M26" s="713"/>
      <c r="N26" s="713"/>
    </row>
    <row r="27" spans="1:14" s="706" customFormat="1" ht="36">
      <c r="A27" s="724" t="s">
        <v>412</v>
      </c>
      <c r="B27" s="729" t="s">
        <v>593</v>
      </c>
      <c r="C27" s="728" t="s">
        <v>275</v>
      </c>
      <c r="D27" s="728">
        <v>4</v>
      </c>
      <c r="E27" s="726" t="e">
        <f>#REF!</f>
        <v>#REF!</v>
      </c>
      <c r="F27" s="725" t="e">
        <f t="shared" si="0"/>
        <v>#REF!</v>
      </c>
      <c r="H27" s="713" t="s">
        <v>1126</v>
      </c>
      <c r="I27" s="713"/>
      <c r="J27" s="713"/>
      <c r="K27" s="713"/>
      <c r="L27" s="713"/>
      <c r="M27" s="713"/>
      <c r="N27" s="713"/>
    </row>
    <row r="28" spans="1:14" s="706" customFormat="1" ht="48">
      <c r="A28" s="724" t="s">
        <v>414</v>
      </c>
      <c r="B28" s="729" t="s">
        <v>594</v>
      </c>
      <c r="C28" s="728" t="s">
        <v>275</v>
      </c>
      <c r="D28" s="728">
        <v>2</v>
      </c>
      <c r="E28" s="726" t="e">
        <f>#REF!</f>
        <v>#REF!</v>
      </c>
      <c r="F28" s="725" t="e">
        <f t="shared" si="0"/>
        <v>#REF!</v>
      </c>
      <c r="H28" s="713" t="s">
        <v>1126</v>
      </c>
      <c r="I28" s="713"/>
      <c r="J28" s="713"/>
      <c r="K28" s="713"/>
      <c r="L28" s="713"/>
      <c r="M28" s="713"/>
      <c r="N28" s="713"/>
    </row>
    <row r="29" spans="1:14" s="706" customFormat="1" ht="96">
      <c r="A29" s="724" t="s">
        <v>416</v>
      </c>
      <c r="B29" s="729" t="s">
        <v>595</v>
      </c>
      <c r="C29" s="728" t="s">
        <v>275</v>
      </c>
      <c r="D29" s="728">
        <v>2</v>
      </c>
      <c r="E29" s="726" t="e">
        <f>#REF!</f>
        <v>#REF!</v>
      </c>
      <c r="F29" s="725" t="e">
        <f t="shared" si="0"/>
        <v>#REF!</v>
      </c>
      <c r="H29" s="713" t="s">
        <v>1126</v>
      </c>
      <c r="I29" s="713"/>
      <c r="J29" s="713"/>
      <c r="K29" s="713"/>
      <c r="L29" s="713"/>
      <c r="M29" s="713"/>
      <c r="N29" s="713"/>
    </row>
    <row r="30" spans="1:14" s="706" customFormat="1" ht="96.75" thickBot="1">
      <c r="A30" s="741" t="s">
        <v>418</v>
      </c>
      <c r="B30" s="723" t="s">
        <v>596</v>
      </c>
      <c r="C30" s="721" t="s">
        <v>275</v>
      </c>
      <c r="D30" s="721">
        <v>1</v>
      </c>
      <c r="E30" s="720" t="e">
        <f>#REF!</f>
        <v>#REF!</v>
      </c>
      <c r="F30" s="719" t="e">
        <f t="shared" si="0"/>
        <v>#REF!</v>
      </c>
      <c r="H30" s="713" t="s">
        <v>1126</v>
      </c>
      <c r="I30" s="713"/>
      <c r="J30" s="713"/>
      <c r="K30" s="713"/>
      <c r="L30" s="713"/>
      <c r="M30" s="713"/>
      <c r="N30" s="713"/>
    </row>
    <row r="31" spans="1:14" s="706" customFormat="1" ht="13.5" thickTop="1" thickBot="1">
      <c r="A31" s="718"/>
      <c r="B31" s="717" t="s">
        <v>36</v>
      </c>
      <c r="C31" s="716"/>
      <c r="D31" s="716"/>
      <c r="E31" s="715"/>
      <c r="F31" s="714" t="e">
        <f>SUM(F11:F30)</f>
        <v>#REF!</v>
      </c>
      <c r="H31" s="713"/>
      <c r="I31" s="713"/>
      <c r="J31" s="713"/>
      <c r="K31" s="713"/>
      <c r="L31" s="713"/>
      <c r="M31" s="713"/>
      <c r="N31" s="713"/>
    </row>
    <row r="32" spans="1:14" s="706" customFormat="1" ht="12.75" thickTop="1">
      <c r="A32" s="737" t="s">
        <v>420</v>
      </c>
      <c r="B32" s="736" t="s">
        <v>597</v>
      </c>
      <c r="C32" s="734"/>
      <c r="D32" s="734"/>
      <c r="E32" s="733"/>
      <c r="F32" s="732"/>
      <c r="H32" s="713"/>
      <c r="I32" s="713"/>
      <c r="J32" s="713"/>
      <c r="K32" s="713"/>
      <c r="L32" s="713"/>
      <c r="M32" s="713"/>
      <c r="N32" s="713"/>
    </row>
    <row r="33" spans="1:14" s="706" customFormat="1" ht="264">
      <c r="A33" s="724" t="s">
        <v>421</v>
      </c>
      <c r="B33" s="729" t="s">
        <v>598</v>
      </c>
      <c r="C33" s="728" t="s">
        <v>275</v>
      </c>
      <c r="D33" s="728">
        <v>1</v>
      </c>
      <c r="E33" s="726" t="e">
        <f>#REF!</f>
        <v>#REF!</v>
      </c>
      <c r="F33" s="725" t="e">
        <f t="shared" ref="F33:F49" si="1">D33*E33</f>
        <v>#REF!</v>
      </c>
      <c r="H33" s="713" t="s">
        <v>1129</v>
      </c>
      <c r="I33" s="713"/>
      <c r="J33" s="713"/>
      <c r="K33" s="713"/>
      <c r="L33" s="713"/>
      <c r="M33" s="713"/>
      <c r="N33" s="713"/>
    </row>
    <row r="34" spans="1:14" s="706" customFormat="1" ht="60">
      <c r="A34" s="724" t="s">
        <v>423</v>
      </c>
      <c r="B34" s="729" t="s">
        <v>599</v>
      </c>
      <c r="C34" s="728" t="s">
        <v>275</v>
      </c>
      <c r="D34" s="728">
        <v>1</v>
      </c>
      <c r="E34" s="726" t="e">
        <f>#REF!</f>
        <v>#REF!</v>
      </c>
      <c r="F34" s="725" t="e">
        <f t="shared" si="1"/>
        <v>#REF!</v>
      </c>
      <c r="H34" s="713" t="s">
        <v>1129</v>
      </c>
      <c r="I34" s="713"/>
      <c r="J34" s="713"/>
      <c r="K34" s="713"/>
      <c r="L34" s="713"/>
      <c r="M34" s="713"/>
      <c r="N34" s="713"/>
    </row>
    <row r="35" spans="1:14" s="706" customFormat="1" ht="36">
      <c r="A35" s="724" t="s">
        <v>425</v>
      </c>
      <c r="B35" s="729" t="s">
        <v>600</v>
      </c>
      <c r="C35" s="728" t="s">
        <v>145</v>
      </c>
      <c r="D35" s="728">
        <v>54</v>
      </c>
      <c r="E35" s="726" t="e">
        <f>#REF!</f>
        <v>#REF!</v>
      </c>
      <c r="F35" s="725" t="e">
        <f t="shared" si="1"/>
        <v>#REF!</v>
      </c>
      <c r="H35" s="713" t="s">
        <v>1129</v>
      </c>
      <c r="I35" s="713"/>
      <c r="J35" s="713"/>
      <c r="K35" s="713"/>
      <c r="L35" s="713"/>
      <c r="M35" s="713"/>
      <c r="N35" s="713"/>
    </row>
    <row r="36" spans="1:14" s="706" customFormat="1" ht="36">
      <c r="A36" s="724" t="s">
        <v>427</v>
      </c>
      <c r="B36" s="729" t="s">
        <v>601</v>
      </c>
      <c r="C36" s="728" t="s">
        <v>145</v>
      </c>
      <c r="D36" s="728">
        <v>2</v>
      </c>
      <c r="E36" s="726" t="e">
        <f>#REF!</f>
        <v>#REF!</v>
      </c>
      <c r="F36" s="725" t="e">
        <f t="shared" si="1"/>
        <v>#REF!</v>
      </c>
      <c r="H36" s="713" t="s">
        <v>1129</v>
      </c>
      <c r="I36" s="713"/>
      <c r="J36" s="713"/>
      <c r="K36" s="713"/>
      <c r="L36" s="713"/>
      <c r="M36" s="713"/>
      <c r="N36" s="713"/>
    </row>
    <row r="37" spans="1:14" s="706" customFormat="1" ht="48">
      <c r="A37" s="724" t="s">
        <v>429</v>
      </c>
      <c r="B37" s="729" t="s">
        <v>602</v>
      </c>
      <c r="C37" s="728" t="s">
        <v>145</v>
      </c>
      <c r="D37" s="728">
        <v>36</v>
      </c>
      <c r="E37" s="726" t="e">
        <f>#REF!</f>
        <v>#REF!</v>
      </c>
      <c r="F37" s="725" t="e">
        <f t="shared" si="1"/>
        <v>#REF!</v>
      </c>
      <c r="H37" s="713" t="s">
        <v>1129</v>
      </c>
      <c r="I37" s="713"/>
      <c r="J37" s="713"/>
      <c r="K37" s="713"/>
      <c r="L37" s="713"/>
      <c r="M37" s="713"/>
      <c r="N37" s="713"/>
    </row>
    <row r="38" spans="1:14" s="706" customFormat="1" ht="24">
      <c r="A38" s="724" t="s">
        <v>431</v>
      </c>
      <c r="B38" s="729" t="s">
        <v>603</v>
      </c>
      <c r="C38" s="728" t="s">
        <v>275</v>
      </c>
      <c r="D38" s="587">
        <v>1</v>
      </c>
      <c r="E38" s="726" t="e">
        <f>#REF!</f>
        <v>#REF!</v>
      </c>
      <c r="F38" s="725" t="e">
        <f t="shared" si="1"/>
        <v>#REF!</v>
      </c>
      <c r="H38" s="713" t="s">
        <v>1129</v>
      </c>
      <c r="I38" s="713"/>
      <c r="J38" s="713"/>
      <c r="K38" s="713"/>
      <c r="L38" s="713"/>
      <c r="M38" s="713"/>
      <c r="N38" s="713"/>
    </row>
    <row r="39" spans="1:14" s="706" customFormat="1" ht="24">
      <c r="A39" s="724" t="s">
        <v>433</v>
      </c>
      <c r="B39" s="729" t="s">
        <v>604</v>
      </c>
      <c r="C39" s="728" t="s">
        <v>275</v>
      </c>
      <c r="D39" s="587">
        <v>1</v>
      </c>
      <c r="E39" s="726" t="e">
        <f>#REF!</f>
        <v>#REF!</v>
      </c>
      <c r="F39" s="725" t="e">
        <f t="shared" si="1"/>
        <v>#REF!</v>
      </c>
      <c r="H39" s="713" t="s">
        <v>1129</v>
      </c>
      <c r="I39" s="713"/>
      <c r="J39" s="713"/>
      <c r="K39" s="713"/>
      <c r="L39" s="713"/>
      <c r="M39" s="713"/>
      <c r="N39" s="713"/>
    </row>
    <row r="40" spans="1:14" s="706" customFormat="1" ht="24">
      <c r="A40" s="724" t="s">
        <v>435</v>
      </c>
      <c r="B40" s="729" t="s">
        <v>605</v>
      </c>
      <c r="C40" s="728" t="s">
        <v>275</v>
      </c>
      <c r="D40" s="587">
        <v>1</v>
      </c>
      <c r="E40" s="726" t="e">
        <f>#REF!</f>
        <v>#REF!</v>
      </c>
      <c r="F40" s="725" t="e">
        <f t="shared" si="1"/>
        <v>#REF!</v>
      </c>
      <c r="H40" s="713" t="s">
        <v>1129</v>
      </c>
      <c r="I40" s="713"/>
      <c r="J40" s="713"/>
      <c r="K40" s="713"/>
      <c r="L40" s="713"/>
      <c r="M40" s="713"/>
      <c r="N40" s="713"/>
    </row>
    <row r="41" spans="1:14" s="706" customFormat="1" ht="24">
      <c r="A41" s="724" t="s">
        <v>437</v>
      </c>
      <c r="B41" s="729" t="s">
        <v>584</v>
      </c>
      <c r="C41" s="728" t="s">
        <v>275</v>
      </c>
      <c r="D41" s="587">
        <v>1</v>
      </c>
      <c r="E41" s="726" t="e">
        <f>#REF!</f>
        <v>#REF!</v>
      </c>
      <c r="F41" s="725" t="e">
        <f t="shared" si="1"/>
        <v>#REF!</v>
      </c>
      <c r="H41" s="713" t="s">
        <v>1129</v>
      </c>
      <c r="I41" s="713"/>
      <c r="J41" s="713"/>
      <c r="K41" s="713"/>
      <c r="L41" s="713"/>
      <c r="M41" s="713"/>
      <c r="N41" s="713"/>
    </row>
    <row r="42" spans="1:14" s="706" customFormat="1" ht="24">
      <c r="A42" s="724" t="s">
        <v>438</v>
      </c>
      <c r="B42" s="729" t="s">
        <v>606</v>
      </c>
      <c r="C42" s="728" t="s">
        <v>275</v>
      </c>
      <c r="D42" s="587">
        <v>3</v>
      </c>
      <c r="E42" s="726" t="e">
        <f>#REF!</f>
        <v>#REF!</v>
      </c>
      <c r="F42" s="725" t="e">
        <f t="shared" si="1"/>
        <v>#REF!</v>
      </c>
      <c r="H42" s="713" t="s">
        <v>1129</v>
      </c>
      <c r="I42" s="713"/>
      <c r="J42" s="713"/>
      <c r="K42" s="713"/>
      <c r="L42" s="713"/>
      <c r="M42" s="713"/>
      <c r="N42" s="713"/>
    </row>
    <row r="43" spans="1:14" s="706" customFormat="1" ht="24">
      <c r="A43" s="724" t="s">
        <v>440</v>
      </c>
      <c r="B43" s="729" t="s">
        <v>586</v>
      </c>
      <c r="C43" s="728" t="s">
        <v>275</v>
      </c>
      <c r="D43" s="587">
        <v>1</v>
      </c>
      <c r="E43" s="726" t="e">
        <f>#REF!</f>
        <v>#REF!</v>
      </c>
      <c r="F43" s="725" t="e">
        <f t="shared" si="1"/>
        <v>#REF!</v>
      </c>
      <c r="H43" s="713" t="s">
        <v>1129</v>
      </c>
      <c r="I43" s="713"/>
      <c r="J43" s="713"/>
      <c r="K43" s="713"/>
      <c r="L43" s="713"/>
      <c r="M43" s="713"/>
      <c r="N43" s="713"/>
    </row>
    <row r="44" spans="1:14" s="706" customFormat="1" ht="36">
      <c r="A44" s="724" t="s">
        <v>441</v>
      </c>
      <c r="B44" s="729" t="s">
        <v>607</v>
      </c>
      <c r="C44" s="728" t="s">
        <v>275</v>
      </c>
      <c r="D44" s="728">
        <v>3</v>
      </c>
      <c r="E44" s="726" t="e">
        <f>#REF!</f>
        <v>#REF!</v>
      </c>
      <c r="F44" s="725" t="e">
        <f t="shared" si="1"/>
        <v>#REF!</v>
      </c>
      <c r="H44" s="713" t="s">
        <v>1129</v>
      </c>
      <c r="I44" s="713"/>
      <c r="J44" s="713"/>
      <c r="K44" s="713"/>
      <c r="L44" s="713"/>
      <c r="M44" s="713"/>
      <c r="N44" s="713"/>
    </row>
    <row r="45" spans="1:14" s="706" customFormat="1" ht="36">
      <c r="A45" s="724" t="s">
        <v>443</v>
      </c>
      <c r="B45" s="729" t="s">
        <v>590</v>
      </c>
      <c r="C45" s="728" t="s">
        <v>275</v>
      </c>
      <c r="D45" s="728">
        <v>1</v>
      </c>
      <c r="E45" s="726" t="e">
        <f>#REF!</f>
        <v>#REF!</v>
      </c>
      <c r="F45" s="725" t="e">
        <f t="shared" si="1"/>
        <v>#REF!</v>
      </c>
      <c r="H45" s="713" t="s">
        <v>1129</v>
      </c>
      <c r="I45" s="713"/>
      <c r="J45" s="713"/>
      <c r="K45" s="713"/>
      <c r="L45" s="713"/>
      <c r="M45" s="713"/>
      <c r="N45" s="713"/>
    </row>
    <row r="46" spans="1:14" s="706" customFormat="1" ht="36">
      <c r="A46" s="724" t="s">
        <v>444</v>
      </c>
      <c r="B46" s="729" t="s">
        <v>608</v>
      </c>
      <c r="C46" s="728" t="s">
        <v>275</v>
      </c>
      <c r="D46" s="728">
        <v>4</v>
      </c>
      <c r="E46" s="726" t="e">
        <f>#REF!</f>
        <v>#REF!</v>
      </c>
      <c r="F46" s="725" t="e">
        <f t="shared" si="1"/>
        <v>#REF!</v>
      </c>
      <c r="H46" s="713" t="s">
        <v>1129</v>
      </c>
      <c r="I46" s="713"/>
      <c r="J46" s="713"/>
      <c r="K46" s="713"/>
      <c r="L46" s="713"/>
      <c r="M46" s="713"/>
      <c r="N46" s="713"/>
    </row>
    <row r="47" spans="1:14" s="706" customFormat="1" ht="36">
      <c r="A47" s="724" t="s">
        <v>446</v>
      </c>
      <c r="B47" s="729" t="s">
        <v>609</v>
      </c>
      <c r="C47" s="728" t="s">
        <v>275</v>
      </c>
      <c r="D47" s="728">
        <v>1</v>
      </c>
      <c r="E47" s="726" t="e">
        <f>#REF!</f>
        <v>#REF!</v>
      </c>
      <c r="F47" s="725" t="e">
        <f t="shared" si="1"/>
        <v>#REF!</v>
      </c>
      <c r="H47" s="713" t="s">
        <v>1129</v>
      </c>
      <c r="I47" s="713"/>
      <c r="J47" s="713"/>
      <c r="K47" s="713"/>
      <c r="L47" s="713"/>
      <c r="M47" s="713"/>
      <c r="N47" s="713"/>
    </row>
    <row r="48" spans="1:14" s="706" customFormat="1" ht="60">
      <c r="A48" s="724" t="s">
        <v>448</v>
      </c>
      <c r="B48" s="729" t="s">
        <v>610</v>
      </c>
      <c r="C48" s="728" t="s">
        <v>275</v>
      </c>
      <c r="D48" s="728">
        <v>1</v>
      </c>
      <c r="E48" s="726" t="e">
        <f>#REF!</f>
        <v>#REF!</v>
      </c>
      <c r="F48" s="725" t="e">
        <f t="shared" si="1"/>
        <v>#REF!</v>
      </c>
      <c r="H48" s="713" t="s">
        <v>1129</v>
      </c>
      <c r="I48" s="713"/>
      <c r="J48" s="713"/>
      <c r="K48" s="713"/>
      <c r="L48" s="713"/>
      <c r="M48" s="713"/>
      <c r="N48" s="713"/>
    </row>
    <row r="49" spans="1:14" s="706" customFormat="1" ht="96.75" thickBot="1">
      <c r="A49" s="724" t="s">
        <v>450</v>
      </c>
      <c r="B49" s="740" t="s">
        <v>611</v>
      </c>
      <c r="C49" s="739" t="s">
        <v>275</v>
      </c>
      <c r="D49" s="739">
        <v>1</v>
      </c>
      <c r="E49" s="738" t="e">
        <f>#REF!</f>
        <v>#REF!</v>
      </c>
      <c r="F49" s="725" t="e">
        <f t="shared" si="1"/>
        <v>#REF!</v>
      </c>
      <c r="H49" s="713" t="s">
        <v>1129</v>
      </c>
      <c r="I49" s="713"/>
      <c r="J49" s="713"/>
      <c r="K49" s="713"/>
      <c r="L49" s="713"/>
      <c r="M49" s="713"/>
      <c r="N49" s="713"/>
    </row>
    <row r="50" spans="1:14" s="706" customFormat="1" ht="13.5" thickTop="1" thickBot="1">
      <c r="A50" s="718"/>
      <c r="B50" s="717" t="s">
        <v>36</v>
      </c>
      <c r="C50" s="716"/>
      <c r="D50" s="716"/>
      <c r="E50" s="715"/>
      <c r="F50" s="714" t="e">
        <f>SUM(F33:F49)</f>
        <v>#REF!</v>
      </c>
      <c r="H50" s="713"/>
      <c r="I50" s="713"/>
      <c r="J50" s="713"/>
      <c r="K50" s="713"/>
      <c r="L50" s="713"/>
      <c r="M50" s="713"/>
      <c r="N50" s="713"/>
    </row>
    <row r="51" spans="1:14" s="706" customFormat="1" ht="12.75" thickTop="1">
      <c r="A51" s="737" t="s">
        <v>452</v>
      </c>
      <c r="B51" s="736" t="s">
        <v>612</v>
      </c>
      <c r="C51" s="734"/>
      <c r="D51" s="734"/>
      <c r="E51" s="733"/>
      <c r="F51" s="732"/>
      <c r="H51" s="713"/>
      <c r="I51" s="713"/>
      <c r="J51" s="713"/>
      <c r="K51" s="713"/>
      <c r="L51" s="713"/>
      <c r="M51" s="713"/>
      <c r="N51" s="713"/>
    </row>
    <row r="52" spans="1:14" s="706" customFormat="1" ht="264">
      <c r="A52" s="724" t="s">
        <v>453</v>
      </c>
      <c r="B52" s="729" t="s">
        <v>613</v>
      </c>
      <c r="C52" s="728" t="s">
        <v>275</v>
      </c>
      <c r="D52" s="728">
        <v>1</v>
      </c>
      <c r="E52" s="726" t="e">
        <f>#REF!</f>
        <v>#REF!</v>
      </c>
      <c r="F52" s="725" t="e">
        <f t="shared" ref="F52:F62" si="2">D52*E52</f>
        <v>#REF!</v>
      </c>
      <c r="H52" s="1207" t="s">
        <v>1130</v>
      </c>
      <c r="I52" s="1207"/>
      <c r="J52" s="1207"/>
      <c r="K52" s="1207"/>
      <c r="L52" s="1207"/>
      <c r="M52" s="1207"/>
      <c r="N52" s="1207"/>
    </row>
    <row r="53" spans="1:14" s="706" customFormat="1" ht="48">
      <c r="A53" s="724" t="s">
        <v>455</v>
      </c>
      <c r="B53" s="729" t="s">
        <v>614</v>
      </c>
      <c r="C53" s="728" t="s">
        <v>145</v>
      </c>
      <c r="D53" s="728">
        <v>20</v>
      </c>
      <c r="E53" s="726" t="e">
        <f>#REF!</f>
        <v>#REF!</v>
      </c>
      <c r="F53" s="725" t="e">
        <f t="shared" si="2"/>
        <v>#REF!</v>
      </c>
      <c r="H53" s="713" t="s">
        <v>1130</v>
      </c>
      <c r="I53" s="713"/>
      <c r="J53" s="713"/>
      <c r="K53" s="713"/>
      <c r="L53" s="713"/>
      <c r="M53" s="713"/>
      <c r="N53" s="713"/>
    </row>
    <row r="54" spans="1:14" s="706" customFormat="1" ht="36">
      <c r="A54" s="724" t="s">
        <v>457</v>
      </c>
      <c r="B54" s="729" t="s">
        <v>600</v>
      </c>
      <c r="C54" s="728" t="s">
        <v>145</v>
      </c>
      <c r="D54" s="728">
        <v>4</v>
      </c>
      <c r="E54" s="726" t="e">
        <f>#REF!</f>
        <v>#REF!</v>
      </c>
      <c r="F54" s="725" t="e">
        <f t="shared" si="2"/>
        <v>#REF!</v>
      </c>
      <c r="H54" s="713" t="s">
        <v>1130</v>
      </c>
      <c r="I54" s="713"/>
      <c r="J54" s="713"/>
      <c r="K54" s="713"/>
      <c r="L54" s="713"/>
      <c r="M54" s="713"/>
      <c r="N54" s="713"/>
    </row>
    <row r="55" spans="1:14" s="706" customFormat="1" ht="36">
      <c r="A55" s="724" t="s">
        <v>459</v>
      </c>
      <c r="B55" s="729" t="s">
        <v>601</v>
      </c>
      <c r="C55" s="728" t="s">
        <v>145</v>
      </c>
      <c r="D55" s="728">
        <v>1</v>
      </c>
      <c r="E55" s="726" t="e">
        <f>#REF!</f>
        <v>#REF!</v>
      </c>
      <c r="F55" s="725" t="e">
        <f t="shared" si="2"/>
        <v>#REF!</v>
      </c>
      <c r="H55" s="713" t="s">
        <v>1130</v>
      </c>
      <c r="I55" s="713"/>
      <c r="J55" s="713"/>
      <c r="K55" s="713"/>
      <c r="L55" s="713"/>
      <c r="M55" s="713"/>
      <c r="N55" s="713"/>
    </row>
    <row r="56" spans="1:14" s="706" customFormat="1" ht="48">
      <c r="A56" s="724" t="s">
        <v>461</v>
      </c>
      <c r="B56" s="729" t="s">
        <v>602</v>
      </c>
      <c r="C56" s="728" t="s">
        <v>145</v>
      </c>
      <c r="D56" s="728">
        <v>36</v>
      </c>
      <c r="E56" s="726" t="e">
        <f>#REF!</f>
        <v>#REF!</v>
      </c>
      <c r="F56" s="725" t="e">
        <f t="shared" si="2"/>
        <v>#REF!</v>
      </c>
      <c r="H56" s="713" t="s">
        <v>1130</v>
      </c>
      <c r="I56" s="713"/>
      <c r="J56" s="713"/>
      <c r="K56" s="713"/>
      <c r="L56" s="713"/>
      <c r="M56" s="713"/>
      <c r="N56" s="713"/>
    </row>
    <row r="57" spans="1:14" s="706" customFormat="1" ht="24">
      <c r="A57" s="724" t="s">
        <v>462</v>
      </c>
      <c r="B57" s="729" t="s">
        <v>615</v>
      </c>
      <c r="C57" s="728" t="s">
        <v>275</v>
      </c>
      <c r="D57" s="587">
        <v>1</v>
      </c>
      <c r="E57" s="726" t="e">
        <f>#REF!</f>
        <v>#REF!</v>
      </c>
      <c r="F57" s="725" t="e">
        <f t="shared" si="2"/>
        <v>#REF!</v>
      </c>
      <c r="H57" s="713" t="s">
        <v>1130</v>
      </c>
      <c r="I57" s="713"/>
      <c r="J57" s="713"/>
      <c r="K57" s="713"/>
      <c r="L57" s="713"/>
      <c r="M57" s="713"/>
      <c r="N57" s="713"/>
    </row>
    <row r="58" spans="1:14" s="706" customFormat="1" ht="24">
      <c r="A58" s="724" t="s">
        <v>464</v>
      </c>
      <c r="B58" s="729" t="s">
        <v>616</v>
      </c>
      <c r="C58" s="728" t="s">
        <v>275</v>
      </c>
      <c r="D58" s="587">
        <v>1</v>
      </c>
      <c r="E58" s="726" t="e">
        <f>#REF!</f>
        <v>#REF!</v>
      </c>
      <c r="F58" s="725" t="e">
        <f t="shared" si="2"/>
        <v>#REF!</v>
      </c>
      <c r="H58" s="713" t="s">
        <v>1130</v>
      </c>
      <c r="I58" s="713"/>
      <c r="J58" s="713"/>
      <c r="K58" s="713"/>
      <c r="L58" s="713"/>
      <c r="M58" s="713"/>
      <c r="N58" s="713"/>
    </row>
    <row r="59" spans="1:14" s="706" customFormat="1" ht="36">
      <c r="A59" s="724" t="s">
        <v>466</v>
      </c>
      <c r="B59" s="729" t="s">
        <v>588</v>
      </c>
      <c r="C59" s="728" t="s">
        <v>275</v>
      </c>
      <c r="D59" s="728">
        <v>1</v>
      </c>
      <c r="E59" s="726" t="e">
        <f>#REF!</f>
        <v>#REF!</v>
      </c>
      <c r="F59" s="725" t="e">
        <f t="shared" si="2"/>
        <v>#REF!</v>
      </c>
      <c r="H59" s="713" t="s">
        <v>1130</v>
      </c>
      <c r="I59" s="713"/>
      <c r="J59" s="713"/>
      <c r="K59" s="713"/>
      <c r="L59" s="713"/>
      <c r="M59" s="713"/>
      <c r="N59" s="713"/>
    </row>
    <row r="60" spans="1:14" s="706" customFormat="1" ht="36">
      <c r="A60" s="724" t="s">
        <v>467</v>
      </c>
      <c r="B60" s="729" t="s">
        <v>617</v>
      </c>
      <c r="C60" s="728" t="s">
        <v>275</v>
      </c>
      <c r="D60" s="728">
        <v>2</v>
      </c>
      <c r="E60" s="726" t="e">
        <f>#REF!</f>
        <v>#REF!</v>
      </c>
      <c r="F60" s="725" t="e">
        <f t="shared" si="2"/>
        <v>#REF!</v>
      </c>
      <c r="H60" s="713" t="s">
        <v>1130</v>
      </c>
      <c r="I60" s="713"/>
      <c r="J60" s="713"/>
      <c r="K60" s="713"/>
      <c r="L60" s="713"/>
      <c r="M60" s="713"/>
      <c r="N60" s="713"/>
    </row>
    <row r="61" spans="1:14" s="706" customFormat="1" ht="60">
      <c r="A61" s="724" t="s">
        <v>469</v>
      </c>
      <c r="B61" s="729" t="s">
        <v>610</v>
      </c>
      <c r="C61" s="728" t="s">
        <v>275</v>
      </c>
      <c r="D61" s="728">
        <v>1</v>
      </c>
      <c r="E61" s="726" t="e">
        <f>#REF!</f>
        <v>#REF!</v>
      </c>
      <c r="F61" s="725" t="e">
        <f t="shared" si="2"/>
        <v>#REF!</v>
      </c>
      <c r="H61" s="713" t="s">
        <v>1130</v>
      </c>
      <c r="I61" s="713"/>
      <c r="J61" s="713"/>
      <c r="K61" s="713"/>
      <c r="L61" s="713"/>
      <c r="M61" s="713"/>
      <c r="N61" s="713"/>
    </row>
    <row r="62" spans="1:14" s="706" customFormat="1" ht="96.75" thickBot="1">
      <c r="A62" s="724" t="s">
        <v>470</v>
      </c>
      <c r="B62" s="740" t="s">
        <v>618</v>
      </c>
      <c r="C62" s="739" t="s">
        <v>275</v>
      </c>
      <c r="D62" s="739">
        <v>1</v>
      </c>
      <c r="E62" s="738" t="e">
        <f>#REF!</f>
        <v>#REF!</v>
      </c>
      <c r="F62" s="725" t="e">
        <f t="shared" si="2"/>
        <v>#REF!</v>
      </c>
      <c r="H62" s="713" t="s">
        <v>1130</v>
      </c>
      <c r="I62" s="713"/>
      <c r="J62" s="713"/>
      <c r="K62" s="713"/>
      <c r="L62" s="713"/>
      <c r="M62" s="713"/>
      <c r="N62" s="713"/>
    </row>
    <row r="63" spans="1:14" s="706" customFormat="1" ht="13.5" thickTop="1" thickBot="1">
      <c r="A63" s="718"/>
      <c r="B63" s="717" t="s">
        <v>36</v>
      </c>
      <c r="C63" s="716"/>
      <c r="D63" s="716"/>
      <c r="E63" s="715"/>
      <c r="F63" s="714" t="e">
        <f>SUM(F52:F62)</f>
        <v>#REF!</v>
      </c>
      <c r="H63" s="713"/>
      <c r="I63" s="713"/>
      <c r="J63" s="713"/>
      <c r="K63" s="713"/>
      <c r="L63" s="713"/>
      <c r="M63" s="713"/>
      <c r="N63" s="713"/>
    </row>
    <row r="64" spans="1:14" s="706" customFormat="1" ht="12.75" thickTop="1">
      <c r="A64" s="737" t="s">
        <v>472</v>
      </c>
      <c r="B64" s="736" t="s">
        <v>619</v>
      </c>
      <c r="C64" s="735"/>
      <c r="D64" s="734"/>
      <c r="E64" s="733"/>
      <c r="F64" s="732"/>
      <c r="H64" s="713"/>
      <c r="I64" s="713"/>
      <c r="J64" s="713"/>
      <c r="K64" s="713"/>
      <c r="L64" s="713"/>
      <c r="M64" s="713"/>
      <c r="N64" s="713"/>
    </row>
    <row r="65" spans="1:14" s="706" customFormat="1" ht="84">
      <c r="A65" s="724" t="s">
        <v>473</v>
      </c>
      <c r="B65" s="731" t="s">
        <v>620</v>
      </c>
      <c r="C65" s="730" t="s">
        <v>275</v>
      </c>
      <c r="D65" s="727">
        <v>1</v>
      </c>
      <c r="E65" s="726" t="e">
        <f>#REF!</f>
        <v>#REF!</v>
      </c>
      <c r="F65" s="725" t="e">
        <f t="shared" ref="F65:F76" si="3">E65*D65</f>
        <v>#REF!</v>
      </c>
      <c r="H65" s="713" t="s">
        <v>1131</v>
      </c>
      <c r="I65" s="713"/>
      <c r="J65" s="713"/>
      <c r="K65" s="713"/>
      <c r="L65" s="713"/>
      <c r="M65" s="713"/>
      <c r="N65" s="713"/>
    </row>
    <row r="66" spans="1:14" s="706" customFormat="1" ht="36">
      <c r="A66" s="724" t="s">
        <v>475</v>
      </c>
      <c r="B66" s="729" t="s">
        <v>600</v>
      </c>
      <c r="C66" s="728" t="s">
        <v>145</v>
      </c>
      <c r="D66" s="727">
        <v>44</v>
      </c>
      <c r="E66" s="726" t="e">
        <f>#REF!</f>
        <v>#REF!</v>
      </c>
      <c r="F66" s="725" t="e">
        <f t="shared" si="3"/>
        <v>#REF!</v>
      </c>
      <c r="H66" s="713" t="s">
        <v>1131</v>
      </c>
      <c r="I66" s="713"/>
      <c r="J66" s="713"/>
      <c r="K66" s="713"/>
      <c r="L66" s="713"/>
      <c r="M66" s="713"/>
      <c r="N66" s="713"/>
    </row>
    <row r="67" spans="1:14" s="706" customFormat="1" ht="36">
      <c r="A67" s="724" t="s">
        <v>476</v>
      </c>
      <c r="B67" s="729" t="s">
        <v>601</v>
      </c>
      <c r="C67" s="728" t="s">
        <v>145</v>
      </c>
      <c r="D67" s="727">
        <v>1</v>
      </c>
      <c r="E67" s="726" t="e">
        <f>#REF!</f>
        <v>#REF!</v>
      </c>
      <c r="F67" s="725" t="e">
        <f t="shared" si="3"/>
        <v>#REF!</v>
      </c>
      <c r="H67" s="713" t="s">
        <v>1131</v>
      </c>
      <c r="I67" s="713"/>
      <c r="J67" s="713"/>
      <c r="K67" s="713"/>
      <c r="L67" s="713"/>
      <c r="M67" s="713"/>
      <c r="N67" s="713"/>
    </row>
    <row r="68" spans="1:14" s="706" customFormat="1" ht="48">
      <c r="A68" s="724" t="s">
        <v>477</v>
      </c>
      <c r="B68" s="729" t="s">
        <v>602</v>
      </c>
      <c r="C68" s="728" t="s">
        <v>145</v>
      </c>
      <c r="D68" s="727">
        <v>17</v>
      </c>
      <c r="E68" s="726" t="e">
        <f>#REF!</f>
        <v>#REF!</v>
      </c>
      <c r="F68" s="725" t="e">
        <f t="shared" si="3"/>
        <v>#REF!</v>
      </c>
      <c r="H68" s="713" t="s">
        <v>1131</v>
      </c>
      <c r="I68" s="713"/>
      <c r="J68" s="713"/>
      <c r="K68" s="713"/>
      <c r="L68" s="713"/>
      <c r="M68" s="713"/>
      <c r="N68" s="713"/>
    </row>
    <row r="69" spans="1:14" s="706" customFormat="1" ht="24">
      <c r="A69" s="724" t="s">
        <v>478</v>
      </c>
      <c r="B69" s="729" t="s">
        <v>605</v>
      </c>
      <c r="C69" s="728" t="s">
        <v>275</v>
      </c>
      <c r="D69" s="727">
        <v>2</v>
      </c>
      <c r="E69" s="726" t="e">
        <f>#REF!</f>
        <v>#REF!</v>
      </c>
      <c r="F69" s="725" t="e">
        <f t="shared" si="3"/>
        <v>#REF!</v>
      </c>
      <c r="H69" s="713" t="s">
        <v>1131</v>
      </c>
      <c r="I69" s="713"/>
      <c r="J69" s="713"/>
      <c r="K69" s="713"/>
      <c r="L69" s="713"/>
      <c r="M69" s="713"/>
      <c r="N69" s="713"/>
    </row>
    <row r="70" spans="1:14" s="706" customFormat="1" ht="24">
      <c r="A70" s="724" t="s">
        <v>479</v>
      </c>
      <c r="B70" s="729" t="s">
        <v>586</v>
      </c>
      <c r="C70" s="728" t="s">
        <v>275</v>
      </c>
      <c r="D70" s="727">
        <v>2</v>
      </c>
      <c r="E70" s="726" t="e">
        <f>#REF!</f>
        <v>#REF!</v>
      </c>
      <c r="F70" s="725" t="e">
        <f t="shared" si="3"/>
        <v>#REF!</v>
      </c>
      <c r="H70" s="713" t="s">
        <v>1131</v>
      </c>
      <c r="I70" s="713"/>
      <c r="J70" s="713"/>
      <c r="K70" s="713"/>
      <c r="L70" s="713"/>
      <c r="M70" s="713"/>
      <c r="N70" s="713"/>
    </row>
    <row r="71" spans="1:14" s="706" customFormat="1" ht="36">
      <c r="A71" s="724" t="s">
        <v>481</v>
      </c>
      <c r="B71" s="729" t="s">
        <v>588</v>
      </c>
      <c r="C71" s="728" t="s">
        <v>275</v>
      </c>
      <c r="D71" s="727">
        <v>1</v>
      </c>
      <c r="E71" s="726" t="e">
        <f>#REF!</f>
        <v>#REF!</v>
      </c>
      <c r="F71" s="725" t="e">
        <f t="shared" si="3"/>
        <v>#REF!</v>
      </c>
      <c r="H71" s="713" t="s">
        <v>1131</v>
      </c>
      <c r="I71" s="713"/>
      <c r="J71" s="713"/>
      <c r="K71" s="713"/>
      <c r="L71" s="713"/>
      <c r="M71" s="713"/>
      <c r="N71" s="713"/>
    </row>
    <row r="72" spans="1:14" s="706" customFormat="1" ht="36">
      <c r="A72" s="724" t="s">
        <v>482</v>
      </c>
      <c r="B72" s="729" t="s">
        <v>589</v>
      </c>
      <c r="C72" s="728" t="s">
        <v>275</v>
      </c>
      <c r="D72" s="727">
        <v>1</v>
      </c>
      <c r="E72" s="726" t="e">
        <f>#REF!</f>
        <v>#REF!</v>
      </c>
      <c r="F72" s="725" t="e">
        <f t="shared" si="3"/>
        <v>#REF!</v>
      </c>
      <c r="H72" s="713" t="s">
        <v>1131</v>
      </c>
      <c r="I72" s="713"/>
      <c r="J72" s="713"/>
      <c r="K72" s="713"/>
      <c r="L72" s="713"/>
      <c r="M72" s="713"/>
      <c r="N72" s="713"/>
    </row>
    <row r="73" spans="1:14" s="706" customFormat="1" ht="36">
      <c r="A73" s="724" t="s">
        <v>483</v>
      </c>
      <c r="B73" s="729" t="s">
        <v>621</v>
      </c>
      <c r="C73" s="728" t="s">
        <v>275</v>
      </c>
      <c r="D73" s="727">
        <v>1</v>
      </c>
      <c r="E73" s="726" t="e">
        <f>#REF!</f>
        <v>#REF!</v>
      </c>
      <c r="F73" s="725" t="e">
        <f t="shared" si="3"/>
        <v>#REF!</v>
      </c>
      <c r="H73" s="713" t="s">
        <v>1131</v>
      </c>
      <c r="I73" s="713"/>
      <c r="J73" s="713"/>
      <c r="K73" s="713"/>
      <c r="L73" s="713"/>
      <c r="M73" s="713"/>
      <c r="N73" s="713"/>
    </row>
    <row r="74" spans="1:14" s="706" customFormat="1" ht="36">
      <c r="A74" s="724" t="s">
        <v>485</v>
      </c>
      <c r="B74" s="729" t="s">
        <v>622</v>
      </c>
      <c r="C74" s="728" t="s">
        <v>275</v>
      </c>
      <c r="D74" s="727">
        <v>2</v>
      </c>
      <c r="E74" s="726" t="e">
        <f>#REF!</f>
        <v>#REF!</v>
      </c>
      <c r="F74" s="725" t="e">
        <f t="shared" si="3"/>
        <v>#REF!</v>
      </c>
      <c r="H74" s="713" t="s">
        <v>1131</v>
      </c>
      <c r="I74" s="713"/>
      <c r="J74" s="713"/>
      <c r="K74" s="713"/>
      <c r="L74" s="713"/>
      <c r="M74" s="713"/>
      <c r="N74" s="713"/>
    </row>
    <row r="75" spans="1:14" s="706" customFormat="1" ht="60">
      <c r="A75" s="724" t="s">
        <v>486</v>
      </c>
      <c r="B75" s="729" t="s">
        <v>610</v>
      </c>
      <c r="C75" s="728" t="s">
        <v>275</v>
      </c>
      <c r="D75" s="727">
        <v>1</v>
      </c>
      <c r="E75" s="726" t="e">
        <f>#REF!</f>
        <v>#REF!</v>
      </c>
      <c r="F75" s="725" t="e">
        <f t="shared" si="3"/>
        <v>#REF!</v>
      </c>
      <c r="H75" s="713" t="s">
        <v>1131</v>
      </c>
      <c r="I75" s="713"/>
      <c r="J75" s="713"/>
      <c r="K75" s="713"/>
      <c r="L75" s="713"/>
      <c r="M75" s="713"/>
      <c r="N75" s="713"/>
    </row>
    <row r="76" spans="1:14" s="706" customFormat="1" ht="84.75" thickBot="1">
      <c r="A76" s="724" t="s">
        <v>487</v>
      </c>
      <c r="B76" s="723" t="s">
        <v>623</v>
      </c>
      <c r="C76" s="722" t="s">
        <v>275</v>
      </c>
      <c r="D76" s="721">
        <v>1</v>
      </c>
      <c r="E76" s="720" t="e">
        <f>#REF!</f>
        <v>#REF!</v>
      </c>
      <c r="F76" s="719" t="e">
        <f t="shared" si="3"/>
        <v>#REF!</v>
      </c>
      <c r="H76" s="713" t="s">
        <v>1131</v>
      </c>
      <c r="I76" s="713"/>
      <c r="J76" s="713"/>
      <c r="K76" s="713"/>
      <c r="L76" s="713"/>
      <c r="M76" s="713"/>
      <c r="N76" s="713"/>
    </row>
    <row r="77" spans="1:14" s="706" customFormat="1" ht="12" customHeight="1" thickTop="1" thickBot="1">
      <c r="A77" s="718"/>
      <c r="B77" s="717" t="s">
        <v>36</v>
      </c>
      <c r="C77" s="716"/>
      <c r="D77" s="716"/>
      <c r="E77" s="715"/>
      <c r="F77" s="714" t="e">
        <f>SUM(F65:F76)</f>
        <v>#REF!</v>
      </c>
      <c r="H77" s="713"/>
      <c r="I77" s="713"/>
      <c r="J77" s="713"/>
      <c r="K77" s="713"/>
      <c r="L77" s="713"/>
      <c r="M77" s="713"/>
      <c r="N77" s="713"/>
    </row>
    <row r="78" spans="1:14" s="706" customFormat="1" ht="13.5" thickTop="1" thickBot="1">
      <c r="A78" s="712"/>
      <c r="B78" s="711"/>
      <c r="C78" s="710"/>
      <c r="D78" s="710"/>
      <c r="E78" s="709"/>
      <c r="F78" s="708"/>
      <c r="H78" s="701"/>
      <c r="J78" s="707"/>
    </row>
    <row r="79" spans="1:14" ht="12.75" thickBot="1">
      <c r="A79" s="705" t="s">
        <v>490</v>
      </c>
      <c r="B79" s="704" t="s">
        <v>1121</v>
      </c>
      <c r="C79" s="703"/>
      <c r="D79" s="703"/>
      <c r="E79" s="702"/>
      <c r="F79" s="549" t="e">
        <f>F31+F50+F63+F77</f>
        <v>#REF!</v>
      </c>
      <c r="G79" s="699"/>
      <c r="H79" s="701"/>
      <c r="I79" s="700"/>
      <c r="J79" s="700"/>
      <c r="K79" s="700"/>
      <c r="L79" s="700"/>
      <c r="M79" s="699"/>
    </row>
    <row r="80" spans="1:14">
      <c r="A80" s="698"/>
      <c r="B80" s="687"/>
      <c r="C80" s="685"/>
      <c r="D80" s="685"/>
      <c r="E80" s="686"/>
      <c r="F80" s="697"/>
    </row>
    <row r="81" spans="1:6">
      <c r="B81" s="687"/>
      <c r="C81" s="685"/>
      <c r="D81" s="685"/>
      <c r="E81" s="686"/>
      <c r="F81" s="686"/>
    </row>
    <row r="82" spans="1:6">
      <c r="B82" s="687"/>
      <c r="C82" s="685"/>
      <c r="D82" s="685"/>
      <c r="E82" s="686"/>
      <c r="F82" s="686"/>
    </row>
    <row r="83" spans="1:6" ht="12.75">
      <c r="B83" s="696" t="s">
        <v>1132</v>
      </c>
      <c r="C83" s="685"/>
      <c r="D83" s="696"/>
      <c r="E83" s="686"/>
      <c r="F83" s="686"/>
    </row>
    <row r="84" spans="1:6" ht="12.75">
      <c r="B84" s="695" t="s">
        <v>1133</v>
      </c>
      <c r="C84" s="685"/>
      <c r="D84" s="695"/>
      <c r="E84" s="686"/>
      <c r="F84" s="686"/>
    </row>
    <row r="85" spans="1:6" ht="12.75">
      <c r="B85" s="695"/>
      <c r="C85" s="685"/>
      <c r="D85" s="685"/>
      <c r="E85" s="686"/>
      <c r="F85" s="686"/>
    </row>
    <row r="86" spans="1:6">
      <c r="B86" s="687"/>
      <c r="C86" s="685"/>
      <c r="D86" s="685"/>
      <c r="E86" s="686"/>
      <c r="F86" s="686"/>
    </row>
    <row r="87" spans="1:6">
      <c r="B87" s="687" t="s">
        <v>1134</v>
      </c>
      <c r="C87" s="685"/>
      <c r="D87" s="685"/>
      <c r="E87" s="686"/>
      <c r="F87" s="686"/>
    </row>
    <row r="88" spans="1:6">
      <c r="B88" s="685"/>
      <c r="C88" s="685"/>
      <c r="D88" s="685"/>
      <c r="E88" s="686"/>
      <c r="F88" s="686"/>
    </row>
    <row r="89" spans="1:6" ht="12.75" thickBot="1">
      <c r="B89" s="685"/>
      <c r="C89" s="685"/>
      <c r="D89" s="685"/>
      <c r="E89" s="686"/>
      <c r="F89" s="686"/>
    </row>
    <row r="90" spans="1:6" ht="12.75" hidden="1" thickBot="1">
      <c r="B90" s="685"/>
      <c r="C90" s="685"/>
      <c r="D90" s="685"/>
      <c r="E90" s="686"/>
      <c r="F90" s="691" t="s">
        <v>1135</v>
      </c>
    </row>
    <row r="91" spans="1:6" ht="12.75" hidden="1" thickBot="1">
      <c r="B91" s="685"/>
      <c r="C91" s="685"/>
      <c r="D91" s="685"/>
      <c r="E91" s="686"/>
      <c r="F91" s="691"/>
    </row>
    <row r="92" spans="1:6" ht="12.75" hidden="1" thickBot="1">
      <c r="B92" s="685"/>
      <c r="C92" s="685"/>
      <c r="D92" s="685"/>
      <c r="E92" s="686"/>
      <c r="F92" s="691"/>
    </row>
    <row r="93" spans="1:6" ht="12.75" hidden="1" thickBot="1">
      <c r="B93" s="685"/>
      <c r="C93" s="685"/>
      <c r="D93" s="685"/>
      <c r="E93" s="694"/>
      <c r="F93" s="693" t="str">
        <f>+[5]Resumen!$D$14</f>
        <v>HUGO EMIRO VEGA ANGULO</v>
      </c>
    </row>
    <row r="94" spans="1:6" ht="12.75" hidden="1" thickBot="1">
      <c r="B94" s="685"/>
      <c r="C94" s="685"/>
      <c r="D94" s="685"/>
      <c r="E94" s="692"/>
      <c r="F94" s="691" t="str">
        <f>+[5]Resumen!$C$14</f>
        <v>Director Expansión del Sistema</v>
      </c>
    </row>
    <row r="95" spans="1:6" ht="13.5" thickTop="1" thickBot="1">
      <c r="A95" s="690" t="s">
        <v>490</v>
      </c>
      <c r="B95" s="689" t="s">
        <v>1136</v>
      </c>
      <c r="C95" s="689"/>
      <c r="D95" s="689"/>
      <c r="E95" s="688"/>
      <c r="F95" s="588" t="e">
        <f>+#REF!</f>
        <v>#REF!</v>
      </c>
    </row>
    <row r="96" spans="1:6" ht="12.75" thickTop="1">
      <c r="B96" s="685"/>
      <c r="C96" s="685"/>
      <c r="D96" s="685"/>
      <c r="E96" s="686"/>
      <c r="F96" s="685"/>
    </row>
    <row r="97" spans="2:6">
      <c r="B97" s="687"/>
      <c r="C97" s="685"/>
      <c r="D97" s="685"/>
      <c r="E97" s="686"/>
      <c r="F97" s="685"/>
    </row>
    <row r="98" spans="2:6">
      <c r="B98" s="687"/>
      <c r="C98" s="685"/>
      <c r="D98" s="685"/>
      <c r="E98" s="686"/>
      <c r="F98" s="685"/>
    </row>
    <row r="99" spans="2:6">
      <c r="B99" s="685"/>
      <c r="C99" s="685"/>
      <c r="D99" s="685"/>
      <c r="E99" s="686"/>
      <c r="F99" s="685"/>
    </row>
    <row r="100" spans="2:6">
      <c r="B100" s="685"/>
      <c r="C100" s="685"/>
      <c r="D100" s="685"/>
      <c r="E100" s="686"/>
      <c r="F100" s="685"/>
    </row>
    <row r="101" spans="2:6">
      <c r="B101" s="685"/>
      <c r="C101" s="685"/>
      <c r="D101" s="685"/>
      <c r="E101" s="686"/>
      <c r="F101" s="685"/>
    </row>
    <row r="102" spans="2:6">
      <c r="B102" s="685"/>
      <c r="C102" s="685"/>
      <c r="D102" s="685"/>
      <c r="E102" s="686"/>
      <c r="F102" s="685"/>
    </row>
    <row r="103" spans="2:6">
      <c r="B103" s="685"/>
      <c r="C103" s="685"/>
      <c r="D103" s="685"/>
      <c r="E103" s="686"/>
      <c r="F103" s="685"/>
    </row>
    <row r="104" spans="2:6">
      <c r="B104" s="685"/>
      <c r="C104" s="685"/>
      <c r="D104" s="685"/>
      <c r="E104" s="686"/>
      <c r="F104" s="685"/>
    </row>
    <row r="105" spans="2:6">
      <c r="B105" s="685"/>
      <c r="C105" s="685"/>
      <c r="D105" s="685"/>
      <c r="E105" s="686"/>
      <c r="F105" s="685"/>
    </row>
    <row r="106" spans="2:6">
      <c r="B106" s="685"/>
      <c r="C106" s="685"/>
      <c r="D106" s="685"/>
      <c r="E106" s="686"/>
      <c r="F106" s="685"/>
    </row>
    <row r="107" spans="2:6">
      <c r="B107" s="685"/>
      <c r="C107" s="685"/>
      <c r="D107" s="685"/>
      <c r="E107" s="686"/>
      <c r="F107" s="685"/>
    </row>
    <row r="108" spans="2:6">
      <c r="B108" s="685"/>
      <c r="C108" s="685"/>
      <c r="D108" s="685"/>
      <c r="E108" s="686"/>
      <c r="F108" s="685"/>
    </row>
    <row r="109" spans="2:6">
      <c r="B109" s="685"/>
      <c r="C109" s="685"/>
      <c r="D109" s="685"/>
      <c r="E109" s="686"/>
      <c r="F109" s="685"/>
    </row>
    <row r="110" spans="2:6">
      <c r="B110" s="685"/>
      <c r="C110" s="685"/>
      <c r="D110" s="685"/>
      <c r="E110" s="686"/>
      <c r="F110" s="685"/>
    </row>
    <row r="111" spans="2:6">
      <c r="B111" s="685"/>
      <c r="C111" s="685"/>
      <c r="D111" s="685"/>
      <c r="E111" s="686"/>
      <c r="F111" s="685"/>
    </row>
    <row r="112" spans="2:6">
      <c r="B112" s="685"/>
      <c r="C112" s="685"/>
      <c r="D112" s="685"/>
      <c r="E112" s="686"/>
      <c r="F112" s="685"/>
    </row>
    <row r="113" spans="2:6">
      <c r="B113" s="685"/>
      <c r="C113" s="685"/>
      <c r="D113" s="685"/>
      <c r="E113" s="686"/>
      <c r="F113" s="685"/>
    </row>
    <row r="114" spans="2:6">
      <c r="B114" s="685"/>
      <c r="C114" s="685"/>
      <c r="D114" s="685"/>
      <c r="E114" s="686"/>
      <c r="F114" s="685"/>
    </row>
    <row r="115" spans="2:6">
      <c r="B115" s="685"/>
      <c r="C115" s="685"/>
      <c r="D115" s="685"/>
      <c r="E115" s="686"/>
      <c r="F115" s="685"/>
    </row>
    <row r="116" spans="2:6">
      <c r="B116" s="685"/>
      <c r="C116" s="685"/>
      <c r="D116" s="685"/>
      <c r="E116" s="686"/>
      <c r="F116" s="685"/>
    </row>
    <row r="117" spans="2:6">
      <c r="B117" s="685"/>
      <c r="C117" s="685"/>
      <c r="D117" s="685"/>
      <c r="E117" s="686"/>
      <c r="F117" s="685"/>
    </row>
    <row r="118" spans="2:6">
      <c r="B118" s="685"/>
      <c r="C118" s="685"/>
      <c r="D118" s="685"/>
      <c r="E118" s="686"/>
      <c r="F118" s="685"/>
    </row>
    <row r="119" spans="2:6">
      <c r="B119" s="685"/>
      <c r="C119" s="685"/>
      <c r="D119" s="685"/>
      <c r="E119" s="686"/>
      <c r="F119" s="685"/>
    </row>
    <row r="120" spans="2:6">
      <c r="B120" s="685"/>
      <c r="C120" s="685"/>
      <c r="D120" s="685"/>
      <c r="E120" s="686"/>
      <c r="F120" s="685"/>
    </row>
    <row r="121" spans="2:6">
      <c r="B121" s="685"/>
      <c r="C121" s="685"/>
      <c r="D121" s="685"/>
      <c r="E121" s="686"/>
      <c r="F121" s="685"/>
    </row>
    <row r="122" spans="2:6">
      <c r="B122" s="685"/>
      <c r="C122" s="685"/>
      <c r="D122" s="685"/>
      <c r="E122" s="686"/>
      <c r="F122" s="685"/>
    </row>
    <row r="123" spans="2:6">
      <c r="B123" s="685"/>
      <c r="C123" s="685"/>
      <c r="D123" s="685"/>
      <c r="E123" s="686"/>
      <c r="F123" s="685"/>
    </row>
    <row r="124" spans="2:6">
      <c r="B124" s="685"/>
      <c r="C124" s="685"/>
      <c r="D124" s="685"/>
      <c r="E124" s="686"/>
      <c r="F124" s="685"/>
    </row>
    <row r="125" spans="2:6">
      <c r="B125" s="685"/>
      <c r="C125" s="685"/>
      <c r="D125" s="685"/>
      <c r="E125" s="686"/>
      <c r="F125" s="685"/>
    </row>
    <row r="126" spans="2:6">
      <c r="B126" s="685"/>
      <c r="C126" s="685"/>
      <c r="D126" s="685"/>
      <c r="E126" s="686"/>
      <c r="F126" s="685"/>
    </row>
    <row r="127" spans="2:6">
      <c r="B127" s="685"/>
      <c r="C127" s="685"/>
      <c r="D127" s="685"/>
      <c r="E127" s="686"/>
      <c r="F127" s="685"/>
    </row>
    <row r="128" spans="2:6">
      <c r="B128" s="685"/>
      <c r="C128" s="685"/>
      <c r="D128" s="685"/>
      <c r="E128" s="686"/>
      <c r="F128" s="685"/>
    </row>
    <row r="129" spans="2:6">
      <c r="B129" s="685"/>
      <c r="C129" s="685"/>
      <c r="D129" s="685"/>
      <c r="E129" s="686"/>
      <c r="F129" s="685"/>
    </row>
    <row r="130" spans="2:6">
      <c r="B130" s="685"/>
      <c r="C130" s="685"/>
      <c r="D130" s="685"/>
      <c r="E130" s="686"/>
      <c r="F130" s="685"/>
    </row>
    <row r="131" spans="2:6">
      <c r="B131" s="685"/>
      <c r="C131" s="685"/>
      <c r="D131" s="685"/>
      <c r="E131" s="686"/>
      <c r="F131" s="685"/>
    </row>
    <row r="132" spans="2:6">
      <c r="B132" s="685"/>
      <c r="C132" s="685"/>
      <c r="D132" s="685"/>
      <c r="E132" s="686"/>
      <c r="F132" s="685"/>
    </row>
    <row r="133" spans="2:6">
      <c r="B133" s="685"/>
      <c r="C133" s="685"/>
      <c r="D133" s="685"/>
      <c r="E133" s="686"/>
      <c r="F133" s="685"/>
    </row>
    <row r="134" spans="2:6">
      <c r="B134" s="685"/>
      <c r="C134" s="685"/>
      <c r="D134" s="685"/>
      <c r="E134" s="686"/>
      <c r="F134" s="685"/>
    </row>
    <row r="135" spans="2:6">
      <c r="B135" s="685"/>
      <c r="C135" s="685"/>
      <c r="D135" s="685"/>
      <c r="E135" s="686"/>
      <c r="F135" s="685"/>
    </row>
    <row r="136" spans="2:6">
      <c r="B136" s="685"/>
      <c r="C136" s="685"/>
      <c r="D136" s="685"/>
      <c r="E136" s="686"/>
      <c r="F136" s="685"/>
    </row>
    <row r="137" spans="2:6">
      <c r="B137" s="685"/>
      <c r="C137" s="685"/>
      <c r="D137" s="685"/>
      <c r="E137" s="686"/>
      <c r="F137" s="685"/>
    </row>
    <row r="138" spans="2:6">
      <c r="B138" s="685"/>
      <c r="C138" s="685"/>
      <c r="D138" s="685"/>
      <c r="E138" s="686"/>
      <c r="F138" s="685"/>
    </row>
    <row r="139" spans="2:6">
      <c r="B139" s="685"/>
      <c r="C139" s="685"/>
      <c r="D139" s="685"/>
      <c r="E139" s="686"/>
      <c r="F139" s="685"/>
    </row>
    <row r="140" spans="2:6">
      <c r="B140" s="685"/>
      <c r="C140" s="685"/>
      <c r="D140" s="685"/>
      <c r="E140" s="686"/>
      <c r="F140" s="685"/>
    </row>
    <row r="141" spans="2:6">
      <c r="B141" s="685"/>
      <c r="C141" s="685"/>
      <c r="D141" s="685"/>
      <c r="E141" s="686"/>
      <c r="F141" s="685"/>
    </row>
    <row r="142" spans="2:6">
      <c r="B142" s="685"/>
      <c r="C142" s="685"/>
      <c r="D142" s="685"/>
      <c r="E142" s="686"/>
      <c r="F142" s="685"/>
    </row>
    <row r="143" spans="2:6">
      <c r="B143" s="685"/>
      <c r="C143" s="685"/>
      <c r="D143" s="685"/>
      <c r="E143" s="686"/>
      <c r="F143" s="685"/>
    </row>
    <row r="144" spans="2:6">
      <c r="B144" s="685"/>
      <c r="C144" s="685"/>
      <c r="D144" s="685"/>
      <c r="E144" s="686"/>
      <c r="F144" s="685"/>
    </row>
    <row r="145" spans="2:6">
      <c r="B145" s="685"/>
      <c r="C145" s="685"/>
      <c r="D145" s="685"/>
      <c r="E145" s="686"/>
      <c r="F145" s="685"/>
    </row>
    <row r="146" spans="2:6">
      <c r="B146" s="685"/>
      <c r="C146" s="685"/>
      <c r="D146" s="685"/>
      <c r="E146" s="686"/>
      <c r="F146" s="685"/>
    </row>
    <row r="147" spans="2:6">
      <c r="B147" s="685"/>
      <c r="C147" s="685"/>
      <c r="D147" s="685"/>
      <c r="E147" s="686"/>
      <c r="F147" s="685"/>
    </row>
    <row r="148" spans="2:6">
      <c r="B148" s="685"/>
      <c r="C148" s="685"/>
      <c r="D148" s="685"/>
      <c r="E148" s="686"/>
      <c r="F148" s="685"/>
    </row>
    <row r="149" spans="2:6">
      <c r="B149" s="685"/>
      <c r="C149" s="685"/>
      <c r="D149" s="685"/>
      <c r="E149" s="686"/>
      <c r="F149" s="685"/>
    </row>
    <row r="150" spans="2:6">
      <c r="B150" s="685"/>
      <c r="C150" s="685"/>
      <c r="D150" s="685"/>
      <c r="E150" s="686"/>
      <c r="F150" s="685"/>
    </row>
    <row r="151" spans="2:6">
      <c r="B151" s="685"/>
      <c r="C151" s="685"/>
      <c r="D151" s="685"/>
      <c r="E151" s="686"/>
      <c r="F151" s="685"/>
    </row>
    <row r="152" spans="2:6">
      <c r="B152" s="685"/>
      <c r="C152" s="685"/>
      <c r="D152" s="685"/>
      <c r="E152" s="686"/>
      <c r="F152" s="685"/>
    </row>
    <row r="153" spans="2:6">
      <c r="B153" s="685"/>
      <c r="C153" s="685"/>
      <c r="D153" s="685"/>
      <c r="E153" s="686"/>
      <c r="F153" s="685"/>
    </row>
    <row r="154" spans="2:6">
      <c r="B154" s="685"/>
      <c r="C154" s="685"/>
      <c r="D154" s="685"/>
      <c r="E154" s="686"/>
      <c r="F154" s="685"/>
    </row>
    <row r="155" spans="2:6">
      <c r="B155" s="685"/>
      <c r="C155" s="685"/>
      <c r="D155" s="685"/>
      <c r="E155" s="686"/>
      <c r="F155" s="685"/>
    </row>
    <row r="156" spans="2:6">
      <c r="B156" s="685"/>
      <c r="C156" s="685"/>
      <c r="D156" s="685"/>
      <c r="E156" s="686"/>
      <c r="F156" s="685"/>
    </row>
    <row r="157" spans="2:6">
      <c r="B157" s="685"/>
      <c r="C157" s="685"/>
      <c r="D157" s="685"/>
      <c r="E157" s="686"/>
      <c r="F157" s="685"/>
    </row>
    <row r="158" spans="2:6">
      <c r="B158" s="685"/>
      <c r="C158" s="685"/>
      <c r="D158" s="685"/>
      <c r="E158" s="686"/>
      <c r="F158" s="685"/>
    </row>
    <row r="159" spans="2:6">
      <c r="B159" s="685"/>
      <c r="C159" s="685"/>
      <c r="D159" s="685"/>
      <c r="E159" s="686"/>
      <c r="F159" s="685"/>
    </row>
    <row r="160" spans="2:6">
      <c r="B160" s="685"/>
      <c r="C160" s="685"/>
      <c r="D160" s="685"/>
      <c r="E160" s="686"/>
      <c r="F160" s="685"/>
    </row>
    <row r="161" spans="2:6">
      <c r="B161" s="685"/>
      <c r="C161" s="685"/>
      <c r="D161" s="685"/>
      <c r="E161" s="686"/>
      <c r="F161" s="685"/>
    </row>
    <row r="162" spans="2:6">
      <c r="B162" s="685"/>
      <c r="C162" s="685"/>
      <c r="D162" s="685"/>
      <c r="E162" s="686"/>
      <c r="F162" s="685"/>
    </row>
    <row r="163" spans="2:6">
      <c r="B163" s="685"/>
      <c r="C163" s="685"/>
      <c r="D163" s="685"/>
      <c r="E163" s="686"/>
      <c r="F163" s="685"/>
    </row>
    <row r="164" spans="2:6">
      <c r="B164" s="685"/>
      <c r="C164" s="685"/>
      <c r="D164" s="685"/>
      <c r="E164" s="686"/>
      <c r="F164" s="685"/>
    </row>
    <row r="165" spans="2:6">
      <c r="B165" s="685"/>
      <c r="C165" s="685"/>
      <c r="D165" s="685"/>
      <c r="E165" s="686"/>
      <c r="F165" s="685"/>
    </row>
    <row r="166" spans="2:6">
      <c r="B166" s="685"/>
      <c r="C166" s="685"/>
      <c r="D166" s="685"/>
      <c r="E166" s="686"/>
      <c r="F166" s="685"/>
    </row>
    <row r="167" spans="2:6">
      <c r="B167" s="685"/>
      <c r="C167" s="685"/>
      <c r="D167" s="685"/>
      <c r="E167" s="686"/>
      <c r="F167" s="685"/>
    </row>
    <row r="168" spans="2:6">
      <c r="B168" s="685"/>
      <c r="C168" s="685"/>
      <c r="D168" s="685"/>
      <c r="E168" s="686"/>
      <c r="F168" s="685"/>
    </row>
    <row r="169" spans="2:6">
      <c r="B169" s="685"/>
      <c r="C169" s="685"/>
      <c r="D169" s="685"/>
      <c r="E169" s="686"/>
      <c r="F169" s="685"/>
    </row>
    <row r="170" spans="2:6">
      <c r="B170" s="685"/>
      <c r="C170" s="685"/>
      <c r="D170" s="685"/>
      <c r="E170" s="686"/>
      <c r="F170" s="685"/>
    </row>
    <row r="171" spans="2:6">
      <c r="B171" s="685"/>
      <c r="C171" s="685"/>
      <c r="D171" s="685"/>
      <c r="E171" s="686"/>
      <c r="F171" s="685"/>
    </row>
    <row r="172" spans="2:6">
      <c r="B172" s="685"/>
      <c r="C172" s="685"/>
      <c r="D172" s="685"/>
      <c r="E172" s="686"/>
      <c r="F172" s="685"/>
    </row>
    <row r="173" spans="2:6">
      <c r="B173" s="685"/>
      <c r="C173" s="685"/>
      <c r="D173" s="685"/>
      <c r="E173" s="686"/>
      <c r="F173" s="685"/>
    </row>
    <row r="174" spans="2:6">
      <c r="B174" s="685"/>
      <c r="C174" s="685"/>
      <c r="D174" s="685"/>
      <c r="E174" s="686"/>
      <c r="F174" s="685"/>
    </row>
    <row r="175" spans="2:6">
      <c r="B175" s="685"/>
      <c r="C175" s="685"/>
      <c r="D175" s="685"/>
      <c r="E175" s="686"/>
      <c r="F175" s="685"/>
    </row>
    <row r="176" spans="2:6">
      <c r="B176" s="685"/>
      <c r="C176" s="685"/>
      <c r="D176" s="685"/>
      <c r="E176" s="686"/>
      <c r="F176" s="685"/>
    </row>
    <row r="177" spans="2:6">
      <c r="B177" s="685"/>
      <c r="C177" s="685"/>
      <c r="D177" s="685"/>
      <c r="E177" s="686"/>
      <c r="F177" s="685"/>
    </row>
    <row r="178" spans="2:6">
      <c r="B178" s="685"/>
      <c r="C178" s="685"/>
      <c r="D178" s="685"/>
      <c r="E178" s="686"/>
      <c r="F178" s="685"/>
    </row>
    <row r="179" spans="2:6">
      <c r="B179" s="685"/>
      <c r="C179" s="685"/>
      <c r="D179" s="685"/>
      <c r="E179" s="686"/>
      <c r="F179" s="685"/>
    </row>
    <row r="180" spans="2:6">
      <c r="B180" s="685"/>
      <c r="C180" s="685"/>
      <c r="D180" s="685"/>
      <c r="E180" s="686"/>
      <c r="F180" s="685"/>
    </row>
    <row r="181" spans="2:6">
      <c r="B181" s="685"/>
      <c r="C181" s="685"/>
      <c r="D181" s="685"/>
      <c r="E181" s="686"/>
      <c r="F181" s="685"/>
    </row>
    <row r="182" spans="2:6">
      <c r="B182" s="685"/>
      <c r="C182" s="685"/>
      <c r="D182" s="685"/>
      <c r="E182" s="686"/>
      <c r="F182" s="685"/>
    </row>
    <row r="183" spans="2:6">
      <c r="B183" s="685"/>
      <c r="C183" s="685"/>
      <c r="D183" s="685"/>
      <c r="E183" s="686"/>
      <c r="F183" s="685"/>
    </row>
    <row r="184" spans="2:6">
      <c r="B184" s="685"/>
      <c r="C184" s="685"/>
      <c r="D184" s="685"/>
      <c r="E184" s="686"/>
      <c r="F184" s="685"/>
    </row>
    <row r="185" spans="2:6">
      <c r="B185" s="685"/>
      <c r="C185" s="685"/>
      <c r="D185" s="685"/>
      <c r="E185" s="686"/>
      <c r="F185" s="685"/>
    </row>
    <row r="186" spans="2:6">
      <c r="B186" s="685"/>
      <c r="C186" s="685"/>
      <c r="D186" s="685"/>
      <c r="E186" s="686"/>
      <c r="F186" s="685"/>
    </row>
    <row r="187" spans="2:6">
      <c r="B187" s="685"/>
      <c r="C187" s="685"/>
      <c r="D187" s="685"/>
      <c r="E187" s="686"/>
      <c r="F187" s="685"/>
    </row>
    <row r="188" spans="2:6">
      <c r="B188" s="685"/>
      <c r="C188" s="685"/>
      <c r="D188" s="685"/>
      <c r="E188" s="686"/>
      <c r="F188" s="685"/>
    </row>
    <row r="189" spans="2:6">
      <c r="B189" s="685"/>
      <c r="C189" s="685"/>
      <c r="D189" s="685"/>
      <c r="E189" s="686"/>
      <c r="F189" s="685"/>
    </row>
    <row r="190" spans="2:6">
      <c r="B190" s="685"/>
      <c r="C190" s="685"/>
      <c r="D190" s="685"/>
      <c r="E190" s="686"/>
      <c r="F190" s="685"/>
    </row>
    <row r="191" spans="2:6">
      <c r="B191" s="685"/>
      <c r="C191" s="685"/>
      <c r="D191" s="685"/>
      <c r="E191" s="686"/>
      <c r="F191" s="685"/>
    </row>
    <row r="192" spans="2:6">
      <c r="B192" s="685"/>
      <c r="C192" s="685"/>
      <c r="D192" s="685"/>
      <c r="E192" s="686"/>
      <c r="F192" s="685"/>
    </row>
    <row r="193" spans="2:6">
      <c r="B193" s="685"/>
      <c r="C193" s="685"/>
      <c r="D193" s="685"/>
      <c r="E193" s="686"/>
      <c r="F193" s="685"/>
    </row>
    <row r="194" spans="2:6">
      <c r="B194" s="685"/>
      <c r="C194" s="685"/>
      <c r="D194" s="685"/>
      <c r="E194" s="686"/>
      <c r="F194" s="685"/>
    </row>
    <row r="195" spans="2:6">
      <c r="B195" s="685"/>
      <c r="C195" s="685"/>
      <c r="D195" s="685"/>
      <c r="E195" s="686"/>
      <c r="F195" s="685"/>
    </row>
    <row r="196" spans="2:6">
      <c r="B196" s="685"/>
      <c r="C196" s="685"/>
      <c r="D196" s="685"/>
      <c r="E196" s="686"/>
      <c r="F196" s="685"/>
    </row>
    <row r="197" spans="2:6">
      <c r="B197" s="685"/>
      <c r="C197" s="685"/>
      <c r="D197" s="685"/>
      <c r="E197" s="686"/>
      <c r="F197" s="685"/>
    </row>
    <row r="198" spans="2:6">
      <c r="B198" s="685"/>
      <c r="C198" s="685"/>
      <c r="D198" s="685"/>
      <c r="E198" s="686"/>
      <c r="F198" s="685"/>
    </row>
    <row r="199" spans="2:6">
      <c r="B199" s="685"/>
      <c r="C199" s="685"/>
      <c r="D199" s="685"/>
      <c r="E199" s="686"/>
      <c r="F199" s="685"/>
    </row>
    <row r="200" spans="2:6">
      <c r="B200" s="685"/>
      <c r="C200" s="685"/>
      <c r="D200" s="685"/>
      <c r="E200" s="686"/>
      <c r="F200" s="685"/>
    </row>
    <row r="201" spans="2:6">
      <c r="B201" s="685"/>
      <c r="C201" s="685"/>
      <c r="D201" s="685"/>
      <c r="E201" s="686"/>
      <c r="F201" s="685"/>
    </row>
    <row r="202" spans="2:6">
      <c r="B202" s="685"/>
      <c r="C202" s="685"/>
      <c r="D202" s="685"/>
      <c r="E202" s="686"/>
      <c r="F202" s="685"/>
    </row>
    <row r="203" spans="2:6">
      <c r="B203" s="685"/>
      <c r="C203" s="685"/>
      <c r="D203" s="685"/>
      <c r="E203" s="686"/>
      <c r="F203" s="685"/>
    </row>
    <row r="204" spans="2:6">
      <c r="B204" s="685"/>
      <c r="C204" s="685"/>
      <c r="D204" s="685"/>
      <c r="E204" s="686"/>
      <c r="F204" s="685"/>
    </row>
    <row r="205" spans="2:6">
      <c r="B205" s="685"/>
      <c r="C205" s="685"/>
      <c r="D205" s="685"/>
      <c r="E205" s="686"/>
      <c r="F205" s="685"/>
    </row>
    <row r="206" spans="2:6">
      <c r="B206" s="685"/>
      <c r="C206" s="685"/>
      <c r="D206" s="685"/>
      <c r="E206" s="686"/>
      <c r="F206" s="685"/>
    </row>
    <row r="207" spans="2:6">
      <c r="B207" s="685"/>
      <c r="C207" s="685"/>
      <c r="D207" s="685"/>
      <c r="E207" s="686"/>
      <c r="F207" s="685"/>
    </row>
    <row r="208" spans="2:6">
      <c r="B208" s="685"/>
      <c r="C208" s="685"/>
      <c r="D208" s="685"/>
      <c r="E208" s="686"/>
      <c r="F208" s="685"/>
    </row>
    <row r="209" spans="2:6">
      <c r="B209" s="685"/>
      <c r="C209" s="685"/>
      <c r="D209" s="685"/>
      <c r="E209" s="686"/>
      <c r="F209" s="685"/>
    </row>
    <row r="210" spans="2:6">
      <c r="B210" s="685"/>
      <c r="C210" s="685"/>
      <c r="D210" s="685"/>
      <c r="E210" s="686"/>
      <c r="F210" s="685"/>
    </row>
    <row r="211" spans="2:6">
      <c r="B211" s="685"/>
      <c r="C211" s="685"/>
      <c r="D211" s="685"/>
      <c r="E211" s="686"/>
      <c r="F211" s="685"/>
    </row>
    <row r="212" spans="2:6">
      <c r="B212" s="685"/>
      <c r="C212" s="685"/>
      <c r="D212" s="685"/>
      <c r="E212" s="686"/>
      <c r="F212" s="685"/>
    </row>
    <row r="213" spans="2:6">
      <c r="B213" s="685"/>
      <c r="C213" s="685"/>
      <c r="D213" s="685"/>
      <c r="E213" s="686"/>
      <c r="F213" s="685"/>
    </row>
    <row r="214" spans="2:6">
      <c r="B214" s="685"/>
      <c r="C214" s="685"/>
      <c r="D214" s="685"/>
      <c r="E214" s="686"/>
      <c r="F214" s="685"/>
    </row>
    <row r="215" spans="2:6">
      <c r="B215" s="685"/>
      <c r="C215" s="685"/>
      <c r="D215" s="685"/>
      <c r="E215" s="686"/>
      <c r="F215" s="685"/>
    </row>
    <row r="216" spans="2:6">
      <c r="B216" s="685"/>
      <c r="C216" s="685"/>
      <c r="D216" s="685"/>
      <c r="E216" s="686"/>
      <c r="F216" s="685"/>
    </row>
    <row r="217" spans="2:6">
      <c r="B217" s="685"/>
      <c r="C217" s="685"/>
      <c r="D217" s="685"/>
      <c r="E217" s="686"/>
      <c r="F217" s="685"/>
    </row>
    <row r="218" spans="2:6">
      <c r="B218" s="685"/>
      <c r="C218" s="685"/>
      <c r="D218" s="685"/>
      <c r="E218" s="686"/>
      <c r="F218" s="685"/>
    </row>
    <row r="219" spans="2:6">
      <c r="B219" s="685"/>
      <c r="C219" s="685"/>
      <c r="D219" s="685"/>
      <c r="E219" s="686"/>
      <c r="F219" s="685"/>
    </row>
    <row r="220" spans="2:6">
      <c r="B220" s="685"/>
      <c r="C220" s="685"/>
      <c r="D220" s="685"/>
      <c r="E220" s="686"/>
      <c r="F220" s="685"/>
    </row>
    <row r="221" spans="2:6">
      <c r="B221" s="685"/>
      <c r="C221" s="685"/>
      <c r="D221" s="685"/>
      <c r="E221" s="686"/>
      <c r="F221" s="685"/>
    </row>
    <row r="222" spans="2:6">
      <c r="B222" s="685"/>
      <c r="C222" s="685"/>
      <c r="D222" s="685"/>
      <c r="E222" s="686"/>
      <c r="F222" s="685"/>
    </row>
    <row r="223" spans="2:6">
      <c r="B223" s="685"/>
      <c r="C223" s="685"/>
      <c r="D223" s="685"/>
      <c r="E223" s="686"/>
      <c r="F223" s="685"/>
    </row>
    <row r="224" spans="2:6">
      <c r="B224" s="685"/>
      <c r="C224" s="685"/>
      <c r="D224" s="685"/>
      <c r="E224" s="686"/>
      <c r="F224" s="685"/>
    </row>
    <row r="225" spans="2:6">
      <c r="B225" s="685"/>
      <c r="C225" s="685"/>
      <c r="D225" s="685"/>
      <c r="E225" s="686"/>
      <c r="F225" s="685"/>
    </row>
    <row r="226" spans="2:6">
      <c r="B226" s="685"/>
      <c r="C226" s="685"/>
      <c r="D226" s="685"/>
      <c r="E226" s="686"/>
      <c r="F226" s="685"/>
    </row>
    <row r="227" spans="2:6">
      <c r="B227" s="685"/>
      <c r="C227" s="685"/>
      <c r="D227" s="685"/>
      <c r="E227" s="686"/>
      <c r="F227" s="685"/>
    </row>
    <row r="228" spans="2:6">
      <c r="B228" s="685"/>
      <c r="C228" s="685"/>
      <c r="D228" s="685"/>
      <c r="E228" s="686"/>
      <c r="F228" s="685"/>
    </row>
    <row r="229" spans="2:6">
      <c r="B229" s="685"/>
      <c r="C229" s="685"/>
      <c r="D229" s="685"/>
      <c r="E229" s="686"/>
      <c r="F229" s="685"/>
    </row>
    <row r="230" spans="2:6">
      <c r="B230" s="685"/>
      <c r="C230" s="685"/>
      <c r="D230" s="685"/>
      <c r="E230" s="686"/>
      <c r="F230" s="685"/>
    </row>
    <row r="231" spans="2:6">
      <c r="B231" s="685"/>
      <c r="C231" s="685"/>
      <c r="D231" s="685"/>
      <c r="E231" s="686"/>
      <c r="F231" s="685"/>
    </row>
    <row r="232" spans="2:6">
      <c r="B232" s="685"/>
      <c r="C232" s="685"/>
      <c r="D232" s="685"/>
      <c r="E232" s="686"/>
      <c r="F232" s="685"/>
    </row>
    <row r="233" spans="2:6">
      <c r="B233" s="685"/>
      <c r="C233" s="685"/>
      <c r="D233" s="685"/>
      <c r="E233" s="686"/>
      <c r="F233" s="685"/>
    </row>
    <row r="234" spans="2:6">
      <c r="B234" s="685"/>
      <c r="C234" s="685"/>
      <c r="D234" s="685"/>
      <c r="E234" s="686"/>
      <c r="F234" s="685"/>
    </row>
    <row r="235" spans="2:6">
      <c r="B235" s="685"/>
      <c r="C235" s="685"/>
      <c r="D235" s="685"/>
      <c r="E235" s="686"/>
      <c r="F235" s="685"/>
    </row>
    <row r="236" spans="2:6">
      <c r="B236" s="685"/>
      <c r="C236" s="685"/>
      <c r="D236" s="685"/>
      <c r="E236" s="686"/>
      <c r="F236" s="685"/>
    </row>
    <row r="237" spans="2:6">
      <c r="B237" s="685"/>
      <c r="C237" s="685"/>
      <c r="D237" s="685"/>
      <c r="E237" s="686"/>
      <c r="F237" s="685"/>
    </row>
    <row r="238" spans="2:6">
      <c r="B238" s="685"/>
      <c r="C238" s="685"/>
      <c r="D238" s="685"/>
      <c r="E238" s="686"/>
      <c r="F238" s="685"/>
    </row>
    <row r="239" spans="2:6">
      <c r="B239" s="685"/>
      <c r="C239" s="685"/>
      <c r="D239" s="685"/>
      <c r="E239" s="686"/>
      <c r="F239" s="685"/>
    </row>
    <row r="240" spans="2:6">
      <c r="B240" s="685"/>
      <c r="C240" s="685"/>
      <c r="D240" s="685"/>
      <c r="E240" s="686"/>
      <c r="F240" s="685"/>
    </row>
    <row r="241" spans="2:6">
      <c r="B241" s="685"/>
      <c r="C241" s="685"/>
      <c r="D241" s="685"/>
      <c r="E241" s="686"/>
      <c r="F241" s="685"/>
    </row>
    <row r="242" spans="2:6">
      <c r="B242" s="685"/>
      <c r="C242" s="685"/>
      <c r="D242" s="685"/>
      <c r="E242" s="686"/>
      <c r="F242" s="685"/>
    </row>
    <row r="243" spans="2:6">
      <c r="B243" s="685"/>
      <c r="C243" s="685"/>
      <c r="D243" s="685"/>
      <c r="E243" s="686"/>
      <c r="F243" s="685"/>
    </row>
    <row r="244" spans="2:6">
      <c r="B244" s="685"/>
      <c r="C244" s="685"/>
      <c r="D244" s="685"/>
      <c r="E244" s="686"/>
      <c r="F244" s="685"/>
    </row>
    <row r="245" spans="2:6">
      <c r="B245" s="685"/>
      <c r="C245" s="685"/>
      <c r="D245" s="685"/>
      <c r="E245" s="686"/>
      <c r="F245" s="685"/>
    </row>
    <row r="246" spans="2:6">
      <c r="B246" s="685"/>
      <c r="C246" s="685"/>
      <c r="D246" s="685"/>
      <c r="E246" s="686"/>
      <c r="F246" s="685"/>
    </row>
    <row r="247" spans="2:6">
      <c r="B247" s="685"/>
      <c r="C247" s="685"/>
      <c r="D247" s="685"/>
      <c r="E247" s="686"/>
      <c r="F247" s="685"/>
    </row>
    <row r="248" spans="2:6">
      <c r="B248" s="685"/>
      <c r="C248" s="685"/>
      <c r="D248" s="685"/>
      <c r="E248" s="686"/>
      <c r="F248" s="685"/>
    </row>
    <row r="249" spans="2:6">
      <c r="B249" s="685"/>
      <c r="C249" s="685"/>
      <c r="D249" s="685"/>
      <c r="E249" s="686"/>
      <c r="F249" s="685"/>
    </row>
    <row r="250" spans="2:6">
      <c r="B250" s="685"/>
      <c r="C250" s="685"/>
      <c r="D250" s="685"/>
      <c r="E250" s="686"/>
      <c r="F250" s="685"/>
    </row>
    <row r="251" spans="2:6">
      <c r="B251" s="685"/>
      <c r="C251" s="685"/>
      <c r="D251" s="685"/>
      <c r="E251" s="686"/>
      <c r="F251" s="685"/>
    </row>
    <row r="252" spans="2:6">
      <c r="B252" s="685"/>
      <c r="C252" s="685"/>
      <c r="D252" s="685"/>
      <c r="E252" s="686"/>
      <c r="F252" s="685"/>
    </row>
    <row r="253" spans="2:6">
      <c r="B253" s="685"/>
      <c r="C253" s="685"/>
      <c r="D253" s="685"/>
      <c r="E253" s="686"/>
      <c r="F253" s="685"/>
    </row>
    <row r="254" spans="2:6">
      <c r="B254" s="685"/>
      <c r="C254" s="685"/>
      <c r="D254" s="685"/>
      <c r="E254" s="686"/>
      <c r="F254" s="685"/>
    </row>
    <row r="255" spans="2:6">
      <c r="B255" s="685"/>
      <c r="C255" s="685"/>
      <c r="D255" s="685"/>
      <c r="E255" s="686"/>
      <c r="F255" s="685"/>
    </row>
    <row r="256" spans="2:6">
      <c r="B256" s="685"/>
      <c r="C256" s="685"/>
      <c r="D256" s="685"/>
      <c r="E256" s="686"/>
      <c r="F256" s="685"/>
    </row>
    <row r="257" spans="2:6">
      <c r="B257" s="685"/>
      <c r="C257" s="685"/>
      <c r="D257" s="685"/>
      <c r="E257" s="686"/>
      <c r="F257" s="685"/>
    </row>
    <row r="258" spans="2:6">
      <c r="B258" s="685"/>
      <c r="C258" s="685"/>
      <c r="D258" s="685"/>
      <c r="E258" s="686"/>
      <c r="F258" s="685"/>
    </row>
    <row r="259" spans="2:6">
      <c r="B259" s="685"/>
      <c r="C259" s="685"/>
      <c r="D259" s="685"/>
      <c r="E259" s="686"/>
      <c r="F259" s="685"/>
    </row>
    <row r="260" spans="2:6">
      <c r="B260" s="685"/>
      <c r="C260" s="685"/>
      <c r="D260" s="685"/>
      <c r="E260" s="686"/>
      <c r="F260" s="685"/>
    </row>
    <row r="261" spans="2:6">
      <c r="B261" s="685"/>
      <c r="C261" s="685"/>
      <c r="D261" s="685"/>
      <c r="E261" s="686"/>
      <c r="F261" s="685"/>
    </row>
    <row r="262" spans="2:6">
      <c r="B262" s="685"/>
      <c r="C262" s="685"/>
      <c r="D262" s="685"/>
      <c r="E262" s="686"/>
      <c r="F262" s="685"/>
    </row>
    <row r="263" spans="2:6">
      <c r="B263" s="685"/>
      <c r="C263" s="685"/>
      <c r="D263" s="685"/>
      <c r="E263" s="686"/>
      <c r="F263" s="685"/>
    </row>
    <row r="264" spans="2:6">
      <c r="B264" s="685"/>
      <c r="C264" s="685"/>
      <c r="D264" s="685"/>
      <c r="E264" s="686"/>
      <c r="F264" s="685"/>
    </row>
    <row r="265" spans="2:6">
      <c r="B265" s="685"/>
      <c r="C265" s="685"/>
      <c r="D265" s="685"/>
      <c r="E265" s="686"/>
      <c r="F265" s="685"/>
    </row>
    <row r="266" spans="2:6">
      <c r="B266" s="685"/>
      <c r="C266" s="685"/>
      <c r="D266" s="685"/>
      <c r="E266" s="686"/>
      <c r="F266" s="685"/>
    </row>
    <row r="267" spans="2:6">
      <c r="B267" s="685"/>
      <c r="C267" s="685"/>
      <c r="D267" s="685"/>
      <c r="E267" s="686"/>
      <c r="F267" s="685"/>
    </row>
    <row r="268" spans="2:6">
      <c r="B268" s="685"/>
      <c r="C268" s="685"/>
      <c r="D268" s="685"/>
      <c r="E268" s="686"/>
      <c r="F268" s="685"/>
    </row>
    <row r="269" spans="2:6">
      <c r="B269" s="685"/>
      <c r="C269" s="685"/>
      <c r="D269" s="685"/>
      <c r="E269" s="686"/>
      <c r="F269" s="685"/>
    </row>
    <row r="270" spans="2:6">
      <c r="B270" s="685"/>
      <c r="C270" s="685"/>
      <c r="D270" s="685"/>
      <c r="E270" s="686"/>
      <c r="F270" s="685"/>
    </row>
    <row r="271" spans="2:6">
      <c r="B271" s="685"/>
      <c r="C271" s="685"/>
      <c r="D271" s="685"/>
      <c r="E271" s="686"/>
      <c r="F271" s="685"/>
    </row>
    <row r="272" spans="2:6">
      <c r="B272" s="685"/>
      <c r="C272" s="685"/>
      <c r="D272" s="685"/>
      <c r="E272" s="686"/>
      <c r="F272" s="685"/>
    </row>
    <row r="273" spans="2:6">
      <c r="B273" s="685"/>
      <c r="C273" s="685"/>
      <c r="D273" s="685"/>
      <c r="E273" s="686"/>
      <c r="F273" s="685"/>
    </row>
    <row r="274" spans="2:6">
      <c r="B274" s="685"/>
      <c r="C274" s="685"/>
      <c r="D274" s="685"/>
      <c r="E274" s="686"/>
      <c r="F274" s="685"/>
    </row>
    <row r="275" spans="2:6">
      <c r="B275" s="685"/>
      <c r="C275" s="685"/>
      <c r="D275" s="685"/>
      <c r="E275" s="686"/>
      <c r="F275" s="685"/>
    </row>
    <row r="276" spans="2:6">
      <c r="B276" s="685"/>
      <c r="C276" s="685"/>
      <c r="D276" s="685"/>
      <c r="E276" s="686"/>
      <c r="F276" s="685"/>
    </row>
    <row r="277" spans="2:6">
      <c r="B277" s="685"/>
      <c r="C277" s="685"/>
      <c r="D277" s="685"/>
      <c r="E277" s="686"/>
      <c r="F277" s="685"/>
    </row>
    <row r="278" spans="2:6">
      <c r="B278" s="685"/>
      <c r="C278" s="685"/>
      <c r="D278" s="685"/>
      <c r="E278" s="686"/>
      <c r="F278" s="685"/>
    </row>
    <row r="279" spans="2:6">
      <c r="B279" s="685"/>
      <c r="C279" s="685"/>
      <c r="D279" s="685"/>
      <c r="E279" s="686"/>
      <c r="F279" s="685"/>
    </row>
    <row r="280" spans="2:6">
      <c r="B280" s="685"/>
      <c r="C280" s="685"/>
      <c r="D280" s="685"/>
      <c r="E280" s="686"/>
      <c r="F280" s="685"/>
    </row>
    <row r="281" spans="2:6">
      <c r="B281" s="685"/>
      <c r="C281" s="685"/>
      <c r="D281" s="685"/>
      <c r="E281" s="686"/>
      <c r="F281" s="685"/>
    </row>
    <row r="282" spans="2:6">
      <c r="B282" s="685"/>
      <c r="C282" s="685"/>
      <c r="D282" s="685"/>
      <c r="E282" s="686"/>
      <c r="F282" s="685"/>
    </row>
    <row r="283" spans="2:6">
      <c r="B283" s="685"/>
      <c r="C283" s="685"/>
      <c r="D283" s="685"/>
      <c r="E283" s="686"/>
      <c r="F283" s="685"/>
    </row>
    <row r="284" spans="2:6">
      <c r="B284" s="685"/>
      <c r="C284" s="685"/>
      <c r="D284" s="685"/>
      <c r="E284" s="686"/>
      <c r="F284" s="685"/>
    </row>
    <row r="285" spans="2:6">
      <c r="B285" s="685"/>
      <c r="C285" s="685"/>
      <c r="D285" s="685"/>
      <c r="E285" s="686"/>
      <c r="F285" s="685"/>
    </row>
    <row r="286" spans="2:6">
      <c r="B286" s="685"/>
      <c r="C286" s="685"/>
      <c r="D286" s="685"/>
      <c r="E286" s="686"/>
      <c r="F286" s="685"/>
    </row>
    <row r="287" spans="2:6">
      <c r="B287" s="685"/>
      <c r="C287" s="685"/>
      <c r="D287" s="685"/>
      <c r="E287" s="686"/>
      <c r="F287" s="685"/>
    </row>
    <row r="288" spans="2:6">
      <c r="B288" s="685"/>
      <c r="C288" s="685"/>
      <c r="D288" s="685"/>
      <c r="E288" s="686"/>
      <c r="F288" s="685"/>
    </row>
    <row r="289" spans="2:6">
      <c r="B289" s="685"/>
      <c r="C289" s="685"/>
      <c r="D289" s="685"/>
      <c r="E289" s="686"/>
      <c r="F289" s="685"/>
    </row>
    <row r="290" spans="2:6">
      <c r="B290" s="685"/>
      <c r="C290" s="685"/>
      <c r="D290" s="685"/>
      <c r="E290" s="686"/>
      <c r="F290" s="685"/>
    </row>
    <row r="291" spans="2:6">
      <c r="B291" s="685"/>
      <c r="C291" s="685"/>
      <c r="D291" s="685"/>
      <c r="E291" s="686"/>
      <c r="F291" s="685"/>
    </row>
    <row r="292" spans="2:6">
      <c r="B292" s="685"/>
      <c r="C292" s="685"/>
      <c r="D292" s="685"/>
      <c r="E292" s="686"/>
      <c r="F292" s="685"/>
    </row>
    <row r="293" spans="2:6">
      <c r="B293" s="685"/>
      <c r="C293" s="685"/>
      <c r="D293" s="685"/>
      <c r="E293" s="686"/>
      <c r="F293" s="685"/>
    </row>
    <row r="294" spans="2:6">
      <c r="B294" s="685"/>
      <c r="C294" s="685"/>
      <c r="D294" s="685"/>
      <c r="E294" s="686"/>
      <c r="F294" s="685"/>
    </row>
    <row r="295" spans="2:6">
      <c r="B295" s="685"/>
      <c r="C295" s="685"/>
      <c r="D295" s="685"/>
      <c r="E295" s="686"/>
      <c r="F295" s="685"/>
    </row>
    <row r="296" spans="2:6">
      <c r="B296" s="685"/>
      <c r="C296" s="685"/>
      <c r="D296" s="685"/>
      <c r="E296" s="686"/>
      <c r="F296" s="685"/>
    </row>
    <row r="297" spans="2:6">
      <c r="B297" s="685"/>
      <c r="C297" s="685"/>
      <c r="D297" s="685"/>
      <c r="E297" s="686"/>
      <c r="F297" s="685"/>
    </row>
    <row r="298" spans="2:6">
      <c r="B298" s="685"/>
      <c r="C298" s="685"/>
      <c r="D298" s="685"/>
      <c r="E298" s="686"/>
      <c r="F298" s="685"/>
    </row>
    <row r="299" spans="2:6">
      <c r="B299" s="685"/>
      <c r="C299" s="685"/>
      <c r="D299" s="685"/>
      <c r="E299" s="686"/>
      <c r="F299" s="685"/>
    </row>
    <row r="300" spans="2:6">
      <c r="B300" s="685"/>
      <c r="C300" s="685"/>
      <c r="D300" s="685"/>
      <c r="E300" s="686"/>
      <c r="F300" s="685"/>
    </row>
    <row r="301" spans="2:6">
      <c r="B301" s="685"/>
      <c r="C301" s="685"/>
      <c r="D301" s="685"/>
      <c r="E301" s="686"/>
      <c r="F301" s="685"/>
    </row>
    <row r="302" spans="2:6">
      <c r="B302" s="685"/>
      <c r="C302" s="685"/>
      <c r="D302" s="685"/>
      <c r="E302" s="686"/>
      <c r="F302" s="685"/>
    </row>
    <row r="303" spans="2:6">
      <c r="B303" s="685"/>
      <c r="C303" s="685"/>
      <c r="D303" s="685"/>
      <c r="E303" s="686"/>
      <c r="F303" s="685"/>
    </row>
    <row r="304" spans="2:6">
      <c r="B304" s="685"/>
      <c r="C304" s="685"/>
      <c r="D304" s="685"/>
      <c r="E304" s="686"/>
      <c r="F304" s="685"/>
    </row>
    <row r="305" spans="2:6">
      <c r="B305" s="685"/>
      <c r="C305" s="685"/>
      <c r="D305" s="685"/>
      <c r="E305" s="686"/>
      <c r="F305" s="685"/>
    </row>
    <row r="306" spans="2:6">
      <c r="B306" s="685"/>
      <c r="C306" s="685"/>
      <c r="D306" s="685"/>
      <c r="E306" s="686"/>
      <c r="F306" s="685"/>
    </row>
    <row r="307" spans="2:6">
      <c r="B307" s="685"/>
      <c r="C307" s="685"/>
      <c r="D307" s="685"/>
      <c r="E307" s="686"/>
      <c r="F307" s="685"/>
    </row>
    <row r="308" spans="2:6">
      <c r="B308" s="685"/>
      <c r="C308" s="685"/>
      <c r="D308" s="685"/>
      <c r="E308" s="686"/>
      <c r="F308" s="685"/>
    </row>
    <row r="309" spans="2:6">
      <c r="B309" s="685"/>
      <c r="C309" s="685"/>
      <c r="D309" s="685"/>
      <c r="E309" s="686"/>
      <c r="F309" s="685"/>
    </row>
    <row r="310" spans="2:6">
      <c r="B310" s="685"/>
      <c r="C310" s="685"/>
      <c r="D310" s="685"/>
      <c r="E310" s="686"/>
      <c r="F310" s="685"/>
    </row>
    <row r="311" spans="2:6">
      <c r="B311" s="685"/>
      <c r="C311" s="685"/>
      <c r="D311" s="685"/>
      <c r="E311" s="686"/>
      <c r="F311" s="685"/>
    </row>
    <row r="312" spans="2:6">
      <c r="B312" s="685"/>
      <c r="C312" s="685"/>
      <c r="D312" s="685"/>
      <c r="E312" s="686"/>
      <c r="F312" s="685"/>
    </row>
    <row r="313" spans="2:6">
      <c r="B313" s="685"/>
      <c r="C313" s="685"/>
      <c r="D313" s="685"/>
      <c r="E313" s="686"/>
      <c r="F313" s="685"/>
    </row>
    <row r="314" spans="2:6">
      <c r="B314" s="685"/>
      <c r="C314" s="685"/>
      <c r="D314" s="685"/>
      <c r="E314" s="686"/>
      <c r="F314" s="685"/>
    </row>
    <row r="315" spans="2:6">
      <c r="B315" s="685"/>
      <c r="C315" s="685"/>
      <c r="D315" s="685"/>
      <c r="E315" s="686"/>
      <c r="F315" s="685"/>
    </row>
    <row r="316" spans="2:6">
      <c r="B316" s="685"/>
      <c r="C316" s="685"/>
      <c r="D316" s="685"/>
      <c r="E316" s="686"/>
      <c r="F316" s="685"/>
    </row>
    <row r="317" spans="2:6">
      <c r="B317" s="685"/>
      <c r="C317" s="685"/>
      <c r="D317" s="685"/>
      <c r="E317" s="686"/>
      <c r="F317" s="685"/>
    </row>
    <row r="318" spans="2:6">
      <c r="B318" s="685"/>
      <c r="C318" s="685"/>
      <c r="D318" s="685"/>
      <c r="E318" s="686"/>
      <c r="F318" s="685"/>
    </row>
    <row r="319" spans="2:6">
      <c r="B319" s="685"/>
      <c r="C319" s="685"/>
      <c r="D319" s="685"/>
      <c r="E319" s="686"/>
      <c r="F319" s="685"/>
    </row>
    <row r="320" spans="2:6">
      <c r="B320" s="685"/>
      <c r="C320" s="685"/>
      <c r="D320" s="685"/>
      <c r="E320" s="686"/>
      <c r="F320" s="685"/>
    </row>
    <row r="321" spans="2:6">
      <c r="B321" s="685"/>
      <c r="C321" s="685"/>
      <c r="D321" s="685"/>
      <c r="E321" s="686"/>
      <c r="F321" s="685"/>
    </row>
    <row r="322" spans="2:6">
      <c r="B322" s="685"/>
      <c r="C322" s="685"/>
      <c r="D322" s="685"/>
      <c r="E322" s="686"/>
      <c r="F322" s="685"/>
    </row>
    <row r="323" spans="2:6">
      <c r="B323" s="685"/>
      <c r="C323" s="685"/>
      <c r="D323" s="685"/>
      <c r="E323" s="686"/>
      <c r="F323" s="685"/>
    </row>
    <row r="324" spans="2:6">
      <c r="B324" s="685"/>
      <c r="C324" s="685"/>
      <c r="D324" s="685"/>
      <c r="E324" s="686"/>
      <c r="F324" s="685"/>
    </row>
    <row r="325" spans="2:6">
      <c r="B325" s="685"/>
      <c r="C325" s="685"/>
      <c r="D325" s="685"/>
      <c r="E325" s="686"/>
      <c r="F325" s="685"/>
    </row>
    <row r="326" spans="2:6">
      <c r="B326" s="685"/>
      <c r="C326" s="685"/>
      <c r="D326" s="685"/>
      <c r="E326" s="686"/>
      <c r="F326" s="685"/>
    </row>
    <row r="327" spans="2:6">
      <c r="B327" s="685"/>
      <c r="C327" s="685"/>
      <c r="D327" s="685"/>
      <c r="E327" s="686"/>
      <c r="F327" s="685"/>
    </row>
    <row r="328" spans="2:6">
      <c r="B328" s="685"/>
      <c r="C328" s="685"/>
      <c r="D328" s="685"/>
      <c r="E328" s="686"/>
      <c r="F328" s="685"/>
    </row>
    <row r="329" spans="2:6">
      <c r="B329" s="685"/>
      <c r="C329" s="685"/>
      <c r="D329" s="685"/>
      <c r="E329" s="686"/>
      <c r="F329" s="685"/>
    </row>
    <row r="330" spans="2:6">
      <c r="B330" s="685"/>
      <c r="C330" s="685"/>
      <c r="D330" s="685"/>
      <c r="E330" s="686"/>
      <c r="F330" s="685"/>
    </row>
    <row r="331" spans="2:6">
      <c r="B331" s="685"/>
      <c r="C331" s="685"/>
      <c r="D331" s="685"/>
      <c r="E331" s="686"/>
      <c r="F331" s="685"/>
    </row>
    <row r="332" spans="2:6">
      <c r="B332" s="685"/>
      <c r="C332" s="685"/>
      <c r="D332" s="685"/>
      <c r="E332" s="686"/>
      <c r="F332" s="685"/>
    </row>
    <row r="333" spans="2:6">
      <c r="B333" s="685"/>
      <c r="C333" s="685"/>
      <c r="D333" s="685"/>
      <c r="E333" s="686"/>
      <c r="F333" s="685"/>
    </row>
    <row r="334" spans="2:6">
      <c r="B334" s="685"/>
      <c r="C334" s="685"/>
      <c r="D334" s="685"/>
      <c r="E334" s="686"/>
      <c r="F334" s="685"/>
    </row>
    <row r="335" spans="2:6">
      <c r="B335" s="685"/>
      <c r="C335" s="685"/>
      <c r="D335" s="685"/>
      <c r="E335" s="686"/>
      <c r="F335" s="685"/>
    </row>
    <row r="336" spans="2:6">
      <c r="B336" s="685"/>
      <c r="C336" s="685"/>
      <c r="D336" s="685"/>
      <c r="E336" s="686"/>
      <c r="F336" s="685"/>
    </row>
    <row r="337" spans="2:6">
      <c r="B337" s="685"/>
      <c r="C337" s="685"/>
      <c r="D337" s="685"/>
      <c r="E337" s="686"/>
      <c r="F337" s="685"/>
    </row>
    <row r="338" spans="2:6">
      <c r="B338" s="685"/>
      <c r="C338" s="685"/>
      <c r="D338" s="685"/>
      <c r="E338" s="686"/>
      <c r="F338" s="685"/>
    </row>
    <row r="339" spans="2:6">
      <c r="B339" s="685"/>
      <c r="C339" s="685"/>
      <c r="D339" s="685"/>
      <c r="E339" s="686"/>
      <c r="F339" s="685"/>
    </row>
    <row r="340" spans="2:6">
      <c r="B340" s="685"/>
      <c r="C340" s="685"/>
      <c r="D340" s="685"/>
      <c r="E340" s="686"/>
      <c r="F340" s="685"/>
    </row>
    <row r="341" spans="2:6">
      <c r="B341" s="685"/>
      <c r="C341" s="685"/>
      <c r="D341" s="685"/>
      <c r="E341" s="686"/>
      <c r="F341" s="685"/>
    </row>
    <row r="342" spans="2:6">
      <c r="B342" s="685"/>
      <c r="C342" s="685"/>
      <c r="D342" s="685"/>
      <c r="E342" s="686"/>
      <c r="F342" s="685"/>
    </row>
    <row r="343" spans="2:6">
      <c r="B343" s="685"/>
      <c r="C343" s="685"/>
      <c r="D343" s="685"/>
      <c r="E343" s="686"/>
      <c r="F343" s="685"/>
    </row>
    <row r="344" spans="2:6">
      <c r="B344" s="685"/>
      <c r="C344" s="685"/>
      <c r="D344" s="685"/>
      <c r="E344" s="686"/>
      <c r="F344" s="685"/>
    </row>
    <row r="345" spans="2:6">
      <c r="B345" s="685"/>
      <c r="C345" s="685"/>
      <c r="D345" s="685"/>
      <c r="E345" s="686"/>
      <c r="F345" s="685"/>
    </row>
    <row r="346" spans="2:6">
      <c r="B346" s="685"/>
      <c r="C346" s="685"/>
      <c r="D346" s="685"/>
      <c r="E346" s="686"/>
      <c r="F346" s="685"/>
    </row>
    <row r="347" spans="2:6">
      <c r="B347" s="685"/>
      <c r="C347" s="685"/>
      <c r="D347" s="685"/>
      <c r="E347" s="686"/>
      <c r="F347" s="685"/>
    </row>
    <row r="348" spans="2:6">
      <c r="B348" s="685"/>
      <c r="C348" s="685"/>
      <c r="D348" s="685"/>
      <c r="E348" s="686"/>
      <c r="F348" s="685"/>
    </row>
    <row r="349" spans="2:6">
      <c r="B349" s="685"/>
      <c r="C349" s="685"/>
      <c r="D349" s="685"/>
      <c r="E349" s="686"/>
      <c r="F349" s="685"/>
    </row>
    <row r="350" spans="2:6">
      <c r="B350" s="685"/>
      <c r="C350" s="685"/>
      <c r="D350" s="685"/>
      <c r="E350" s="686"/>
      <c r="F350" s="685"/>
    </row>
    <row r="351" spans="2:6">
      <c r="B351" s="685"/>
      <c r="C351" s="685"/>
      <c r="D351" s="685"/>
      <c r="E351" s="686"/>
      <c r="F351" s="685"/>
    </row>
    <row r="352" spans="2:6">
      <c r="B352" s="685"/>
      <c r="C352" s="685"/>
      <c r="D352" s="685"/>
      <c r="E352" s="686"/>
      <c r="F352" s="685"/>
    </row>
    <row r="353" spans="2:6">
      <c r="B353" s="685"/>
      <c r="C353" s="685"/>
      <c r="D353" s="685"/>
      <c r="E353" s="686"/>
      <c r="F353" s="685"/>
    </row>
    <row r="354" spans="2:6">
      <c r="B354" s="685"/>
      <c r="C354" s="685"/>
      <c r="D354" s="685"/>
      <c r="E354" s="686"/>
      <c r="F354" s="685"/>
    </row>
    <row r="355" spans="2:6">
      <c r="B355" s="685"/>
      <c r="C355" s="685"/>
      <c r="D355" s="685"/>
      <c r="E355" s="686"/>
      <c r="F355" s="685"/>
    </row>
    <row r="356" spans="2:6">
      <c r="B356" s="685"/>
      <c r="C356" s="685"/>
      <c r="D356" s="685"/>
      <c r="E356" s="686"/>
      <c r="F356" s="685"/>
    </row>
    <row r="357" spans="2:6">
      <c r="B357" s="685"/>
      <c r="C357" s="685"/>
      <c r="D357" s="685"/>
      <c r="E357" s="686"/>
      <c r="F357" s="685"/>
    </row>
    <row r="358" spans="2:6">
      <c r="B358" s="685"/>
      <c r="C358" s="685"/>
      <c r="D358" s="685"/>
      <c r="E358" s="686"/>
      <c r="F358" s="685"/>
    </row>
    <row r="359" spans="2:6">
      <c r="B359" s="685"/>
      <c r="C359" s="685"/>
      <c r="D359" s="685"/>
      <c r="E359" s="686"/>
      <c r="F359" s="685"/>
    </row>
    <row r="360" spans="2:6">
      <c r="B360" s="685"/>
      <c r="C360" s="685"/>
      <c r="D360" s="685"/>
      <c r="E360" s="686"/>
      <c r="F360" s="685"/>
    </row>
    <row r="361" spans="2:6">
      <c r="B361" s="685"/>
      <c r="C361" s="685"/>
      <c r="D361" s="685"/>
      <c r="E361" s="686"/>
      <c r="F361" s="685"/>
    </row>
    <row r="362" spans="2:6">
      <c r="B362" s="685"/>
      <c r="C362" s="685"/>
      <c r="D362" s="685"/>
      <c r="E362" s="686"/>
      <c r="F362" s="685"/>
    </row>
    <row r="363" spans="2:6">
      <c r="B363" s="685"/>
      <c r="C363" s="685"/>
      <c r="D363" s="685"/>
      <c r="E363" s="686"/>
      <c r="F363" s="685"/>
    </row>
    <row r="364" spans="2:6">
      <c r="B364" s="685"/>
      <c r="C364" s="685"/>
      <c r="D364" s="685"/>
      <c r="E364" s="686"/>
      <c r="F364" s="685"/>
    </row>
    <row r="365" spans="2:6">
      <c r="B365" s="685"/>
      <c r="C365" s="685"/>
      <c r="D365" s="685"/>
      <c r="E365" s="686"/>
      <c r="F365" s="685"/>
    </row>
    <row r="366" spans="2:6">
      <c r="B366" s="685"/>
      <c r="C366" s="685"/>
      <c r="D366" s="685"/>
      <c r="E366" s="686"/>
      <c r="F366" s="685"/>
    </row>
    <row r="367" spans="2:6">
      <c r="B367" s="685"/>
      <c r="C367" s="685"/>
      <c r="D367" s="685"/>
      <c r="E367" s="686"/>
      <c r="F367" s="685"/>
    </row>
    <row r="368" spans="2:6">
      <c r="B368" s="685"/>
      <c r="C368" s="685"/>
      <c r="D368" s="685"/>
      <c r="E368" s="686"/>
      <c r="F368" s="685"/>
    </row>
    <row r="369" spans="2:6">
      <c r="B369" s="685"/>
      <c r="C369" s="685"/>
      <c r="D369" s="685"/>
      <c r="E369" s="686"/>
      <c r="F369" s="685"/>
    </row>
    <row r="370" spans="2:6">
      <c r="B370" s="685"/>
      <c r="C370" s="685"/>
      <c r="D370" s="685"/>
      <c r="E370" s="686"/>
      <c r="F370" s="685"/>
    </row>
    <row r="371" spans="2:6">
      <c r="B371" s="685"/>
      <c r="C371" s="685"/>
      <c r="D371" s="685"/>
      <c r="E371" s="686"/>
      <c r="F371" s="685"/>
    </row>
    <row r="372" spans="2:6">
      <c r="B372" s="685"/>
      <c r="C372" s="685"/>
      <c r="D372" s="685"/>
      <c r="E372" s="686"/>
      <c r="F372" s="685"/>
    </row>
    <row r="373" spans="2:6">
      <c r="B373" s="685"/>
      <c r="C373" s="685"/>
      <c r="D373" s="685"/>
      <c r="E373" s="686"/>
      <c r="F373" s="685"/>
    </row>
    <row r="374" spans="2:6">
      <c r="B374" s="685"/>
      <c r="C374" s="685"/>
      <c r="D374" s="685"/>
      <c r="E374" s="686"/>
      <c r="F374" s="685"/>
    </row>
    <row r="375" spans="2:6">
      <c r="B375" s="685"/>
      <c r="C375" s="685"/>
      <c r="D375" s="685"/>
      <c r="E375" s="686"/>
      <c r="F375" s="685"/>
    </row>
    <row r="376" spans="2:6">
      <c r="B376" s="685"/>
      <c r="C376" s="685"/>
      <c r="D376" s="685"/>
      <c r="E376" s="686"/>
      <c r="F376" s="685"/>
    </row>
    <row r="377" spans="2:6">
      <c r="B377" s="685"/>
      <c r="C377" s="685"/>
      <c r="D377" s="685"/>
      <c r="E377" s="686"/>
      <c r="F377" s="685"/>
    </row>
    <row r="378" spans="2:6">
      <c r="B378" s="685"/>
      <c r="C378" s="685"/>
      <c r="D378" s="685"/>
      <c r="E378" s="686"/>
      <c r="F378" s="685"/>
    </row>
    <row r="379" spans="2:6">
      <c r="B379" s="685"/>
      <c r="C379" s="685"/>
      <c r="D379" s="685"/>
      <c r="E379" s="686"/>
      <c r="F379" s="685"/>
    </row>
    <row r="380" spans="2:6">
      <c r="B380" s="685"/>
      <c r="C380" s="685"/>
      <c r="D380" s="685"/>
      <c r="E380" s="686"/>
      <c r="F380" s="685"/>
    </row>
    <row r="381" spans="2:6">
      <c r="B381" s="685"/>
      <c r="C381" s="685"/>
      <c r="D381" s="685"/>
      <c r="E381" s="686"/>
      <c r="F381" s="685"/>
    </row>
    <row r="382" spans="2:6">
      <c r="B382" s="685"/>
      <c r="C382" s="685"/>
      <c r="D382" s="685"/>
      <c r="E382" s="686"/>
      <c r="F382" s="685"/>
    </row>
    <row r="383" spans="2:6">
      <c r="B383" s="685"/>
      <c r="C383" s="685"/>
      <c r="D383" s="685"/>
      <c r="E383" s="686"/>
      <c r="F383" s="685"/>
    </row>
    <row r="384" spans="2:6">
      <c r="B384" s="685"/>
      <c r="C384" s="685"/>
      <c r="D384" s="685"/>
      <c r="E384" s="686"/>
      <c r="F384" s="685"/>
    </row>
    <row r="385" spans="2:6">
      <c r="B385" s="685"/>
      <c r="C385" s="685"/>
      <c r="D385" s="685"/>
      <c r="E385" s="686"/>
      <c r="F385" s="685"/>
    </row>
    <row r="386" spans="2:6">
      <c r="B386" s="685"/>
      <c r="C386" s="685"/>
      <c r="D386" s="685"/>
      <c r="E386" s="686"/>
      <c r="F386" s="685"/>
    </row>
    <row r="387" spans="2:6">
      <c r="B387" s="685"/>
      <c r="C387" s="685"/>
      <c r="D387" s="685"/>
      <c r="E387" s="686"/>
      <c r="F387" s="685"/>
    </row>
    <row r="388" spans="2:6">
      <c r="B388" s="685"/>
      <c r="C388" s="685"/>
      <c r="D388" s="685"/>
      <c r="E388" s="686"/>
      <c r="F388" s="685"/>
    </row>
    <row r="389" spans="2:6">
      <c r="B389" s="685"/>
      <c r="C389" s="685"/>
      <c r="D389" s="685"/>
      <c r="E389" s="686"/>
      <c r="F389" s="685"/>
    </row>
    <row r="390" spans="2:6">
      <c r="B390" s="685"/>
      <c r="C390" s="685"/>
      <c r="D390" s="685"/>
      <c r="E390" s="686"/>
      <c r="F390" s="685"/>
    </row>
    <row r="391" spans="2:6">
      <c r="B391" s="685"/>
      <c r="C391" s="685"/>
      <c r="D391" s="685"/>
      <c r="E391" s="686"/>
      <c r="F391" s="685"/>
    </row>
    <row r="392" spans="2:6">
      <c r="B392" s="685"/>
      <c r="C392" s="685"/>
      <c r="D392" s="685"/>
      <c r="E392" s="686"/>
      <c r="F392" s="685"/>
    </row>
    <row r="393" spans="2:6">
      <c r="B393" s="685"/>
      <c r="C393" s="685"/>
      <c r="D393" s="685"/>
      <c r="E393" s="686"/>
      <c r="F393" s="685"/>
    </row>
    <row r="394" spans="2:6">
      <c r="B394" s="685"/>
      <c r="C394" s="685"/>
      <c r="D394" s="685"/>
      <c r="E394" s="686"/>
      <c r="F394" s="685"/>
    </row>
    <row r="395" spans="2:6">
      <c r="B395" s="685"/>
      <c r="C395" s="685"/>
      <c r="D395" s="685"/>
      <c r="E395" s="686"/>
      <c r="F395" s="685"/>
    </row>
    <row r="396" spans="2:6">
      <c r="B396" s="685"/>
      <c r="C396" s="685"/>
      <c r="D396" s="685"/>
      <c r="E396" s="686"/>
      <c r="F396" s="685"/>
    </row>
    <row r="397" spans="2:6">
      <c r="B397" s="685"/>
      <c r="C397" s="685"/>
      <c r="D397" s="685"/>
      <c r="E397" s="686"/>
      <c r="F397" s="685"/>
    </row>
    <row r="398" spans="2:6">
      <c r="B398" s="685"/>
      <c r="C398" s="685"/>
      <c r="D398" s="685"/>
      <c r="E398" s="686"/>
      <c r="F398" s="685"/>
    </row>
    <row r="399" spans="2:6">
      <c r="B399" s="685"/>
      <c r="C399" s="685"/>
      <c r="D399" s="685"/>
      <c r="E399" s="686"/>
      <c r="F399" s="685"/>
    </row>
    <row r="400" spans="2:6">
      <c r="B400" s="685"/>
      <c r="C400" s="685"/>
      <c r="D400" s="685"/>
      <c r="E400" s="686"/>
      <c r="F400" s="685"/>
    </row>
    <row r="401" spans="2:6">
      <c r="B401" s="685"/>
      <c r="C401" s="685"/>
      <c r="D401" s="685"/>
      <c r="E401" s="686"/>
      <c r="F401" s="685"/>
    </row>
    <row r="402" spans="2:6">
      <c r="B402" s="685"/>
      <c r="C402" s="685"/>
      <c r="D402" s="685"/>
      <c r="E402" s="686"/>
      <c r="F402" s="685"/>
    </row>
    <row r="403" spans="2:6">
      <c r="B403" s="685"/>
      <c r="C403" s="685"/>
      <c r="D403" s="685"/>
      <c r="E403" s="686"/>
      <c r="F403" s="685"/>
    </row>
    <row r="404" spans="2:6">
      <c r="B404" s="685"/>
      <c r="C404" s="685"/>
      <c r="D404" s="685"/>
      <c r="E404" s="686"/>
      <c r="F404" s="685"/>
    </row>
    <row r="405" spans="2:6">
      <c r="B405" s="685"/>
      <c r="C405" s="685"/>
      <c r="D405" s="685"/>
      <c r="E405" s="686"/>
      <c r="F405" s="685"/>
    </row>
    <row r="406" spans="2:6">
      <c r="B406" s="685"/>
      <c r="C406" s="685"/>
      <c r="D406" s="685"/>
      <c r="E406" s="686"/>
      <c r="F406" s="685"/>
    </row>
    <row r="407" spans="2:6">
      <c r="B407" s="685"/>
      <c r="C407" s="685"/>
      <c r="D407" s="685"/>
      <c r="E407" s="686"/>
      <c r="F407" s="685"/>
    </row>
    <row r="408" spans="2:6">
      <c r="B408" s="685"/>
      <c r="C408" s="685"/>
      <c r="D408" s="685"/>
      <c r="E408" s="686"/>
      <c r="F408" s="685"/>
    </row>
    <row r="409" spans="2:6">
      <c r="B409" s="685"/>
      <c r="C409" s="685"/>
      <c r="D409" s="685"/>
      <c r="E409" s="686"/>
      <c r="F409" s="685"/>
    </row>
    <row r="410" spans="2:6">
      <c r="B410" s="685"/>
      <c r="C410" s="685"/>
      <c r="D410" s="685"/>
      <c r="E410" s="686"/>
      <c r="F410" s="685"/>
    </row>
    <row r="411" spans="2:6">
      <c r="B411" s="685"/>
      <c r="C411" s="685"/>
      <c r="D411" s="685"/>
      <c r="E411" s="686"/>
      <c r="F411" s="685"/>
    </row>
    <row r="412" spans="2:6">
      <c r="B412" s="685"/>
      <c r="C412" s="685"/>
      <c r="D412" s="685"/>
      <c r="E412" s="686"/>
      <c r="F412" s="685"/>
    </row>
    <row r="413" spans="2:6">
      <c r="B413" s="685"/>
      <c r="C413" s="685"/>
      <c r="D413" s="685"/>
      <c r="E413" s="686"/>
      <c r="F413" s="685"/>
    </row>
    <row r="414" spans="2:6">
      <c r="B414" s="685"/>
      <c r="C414" s="685"/>
      <c r="D414" s="685"/>
      <c r="E414" s="686"/>
      <c r="F414" s="685"/>
    </row>
    <row r="415" spans="2:6">
      <c r="B415" s="685"/>
      <c r="C415" s="685"/>
      <c r="D415" s="685"/>
      <c r="E415" s="686"/>
      <c r="F415" s="685"/>
    </row>
    <row r="416" spans="2:6">
      <c r="B416" s="685"/>
      <c r="C416" s="685"/>
      <c r="D416" s="685"/>
      <c r="E416" s="686"/>
      <c r="F416" s="685"/>
    </row>
    <row r="417" spans="2:6">
      <c r="B417" s="685"/>
      <c r="C417" s="685"/>
      <c r="D417" s="685"/>
      <c r="E417" s="686"/>
      <c r="F417" s="685"/>
    </row>
    <row r="418" spans="2:6">
      <c r="B418" s="685"/>
      <c r="C418" s="685"/>
      <c r="D418" s="685"/>
      <c r="E418" s="686"/>
      <c r="F418" s="685"/>
    </row>
    <row r="419" spans="2:6">
      <c r="B419" s="685"/>
      <c r="C419" s="685"/>
      <c r="D419" s="685"/>
      <c r="E419" s="686"/>
      <c r="F419" s="685"/>
    </row>
    <row r="420" spans="2:6">
      <c r="B420" s="685"/>
      <c r="C420" s="685"/>
      <c r="D420" s="685"/>
      <c r="E420" s="686"/>
      <c r="F420" s="685"/>
    </row>
    <row r="421" spans="2:6">
      <c r="B421" s="685"/>
      <c r="C421" s="685"/>
      <c r="D421" s="685"/>
      <c r="E421" s="686"/>
      <c r="F421" s="685"/>
    </row>
    <row r="422" spans="2:6">
      <c r="B422" s="685"/>
      <c r="C422" s="685"/>
      <c r="D422" s="685"/>
      <c r="E422" s="686"/>
      <c r="F422" s="685"/>
    </row>
    <row r="423" spans="2:6">
      <c r="B423" s="685"/>
      <c r="C423" s="685"/>
      <c r="D423" s="685"/>
      <c r="E423" s="686"/>
      <c r="F423" s="685"/>
    </row>
    <row r="424" spans="2:6">
      <c r="B424" s="685"/>
      <c r="C424" s="685"/>
      <c r="D424" s="685"/>
      <c r="E424" s="686"/>
      <c r="F424" s="685"/>
    </row>
    <row r="425" spans="2:6">
      <c r="B425" s="685"/>
      <c r="C425" s="685"/>
      <c r="D425" s="685"/>
      <c r="E425" s="686"/>
      <c r="F425" s="685"/>
    </row>
    <row r="426" spans="2:6">
      <c r="B426" s="685"/>
      <c r="C426" s="685"/>
      <c r="D426" s="685"/>
      <c r="E426" s="686"/>
      <c r="F426" s="685"/>
    </row>
    <row r="427" spans="2:6">
      <c r="B427" s="685"/>
      <c r="C427" s="685"/>
      <c r="D427" s="685"/>
      <c r="E427" s="686"/>
      <c r="F427" s="685"/>
    </row>
    <row r="428" spans="2:6">
      <c r="B428" s="685"/>
      <c r="C428" s="685"/>
      <c r="D428" s="685"/>
      <c r="E428" s="686"/>
      <c r="F428" s="685"/>
    </row>
    <row r="429" spans="2:6">
      <c r="B429" s="685"/>
      <c r="C429" s="685"/>
      <c r="D429" s="685"/>
      <c r="E429" s="686"/>
      <c r="F429" s="685"/>
    </row>
    <row r="430" spans="2:6">
      <c r="B430" s="685"/>
      <c r="C430" s="685"/>
      <c r="D430" s="685"/>
      <c r="E430" s="686"/>
      <c r="F430" s="685"/>
    </row>
    <row r="431" spans="2:6">
      <c r="B431" s="685"/>
      <c r="C431" s="685"/>
      <c r="D431" s="685"/>
      <c r="E431" s="686"/>
      <c r="F431" s="685"/>
    </row>
    <row r="432" spans="2:6">
      <c r="B432" s="685"/>
      <c r="C432" s="685"/>
      <c r="D432" s="685"/>
      <c r="E432" s="686"/>
      <c r="F432" s="685"/>
    </row>
    <row r="433" spans="2:6">
      <c r="B433" s="685"/>
      <c r="C433" s="685"/>
      <c r="D433" s="685"/>
      <c r="E433" s="686"/>
      <c r="F433" s="685"/>
    </row>
    <row r="434" spans="2:6">
      <c r="B434" s="685"/>
      <c r="C434" s="685"/>
      <c r="D434" s="685"/>
      <c r="E434" s="686"/>
      <c r="F434" s="685"/>
    </row>
    <row r="435" spans="2:6">
      <c r="B435" s="685"/>
      <c r="C435" s="685"/>
      <c r="D435" s="685"/>
      <c r="E435" s="686"/>
      <c r="F435" s="685"/>
    </row>
    <row r="436" spans="2:6">
      <c r="B436" s="685"/>
      <c r="C436" s="685"/>
      <c r="D436" s="685"/>
      <c r="E436" s="686"/>
      <c r="F436" s="685"/>
    </row>
    <row r="437" spans="2:6">
      <c r="B437" s="685"/>
      <c r="C437" s="685"/>
      <c r="D437" s="685"/>
      <c r="E437" s="686"/>
      <c r="F437" s="685"/>
    </row>
    <row r="438" spans="2:6">
      <c r="B438" s="685"/>
      <c r="C438" s="685"/>
      <c r="D438" s="685"/>
      <c r="E438" s="686"/>
      <c r="F438" s="685"/>
    </row>
    <row r="439" spans="2:6">
      <c r="B439" s="685"/>
      <c r="C439" s="685"/>
      <c r="D439" s="685"/>
      <c r="E439" s="686"/>
      <c r="F439" s="685"/>
    </row>
    <row r="440" spans="2:6">
      <c r="B440" s="685"/>
      <c r="C440" s="685"/>
      <c r="D440" s="685"/>
      <c r="E440" s="686"/>
      <c r="F440" s="685"/>
    </row>
    <row r="441" spans="2:6">
      <c r="B441" s="685"/>
      <c r="C441" s="685"/>
      <c r="D441" s="685"/>
      <c r="E441" s="686"/>
      <c r="F441" s="685"/>
    </row>
    <row r="442" spans="2:6">
      <c r="B442" s="685"/>
      <c r="C442" s="685"/>
      <c r="D442" s="685"/>
      <c r="E442" s="686"/>
      <c r="F442" s="685"/>
    </row>
    <row r="443" spans="2:6">
      <c r="B443" s="685"/>
      <c r="C443" s="685"/>
      <c r="D443" s="685"/>
      <c r="E443" s="686"/>
      <c r="F443" s="685"/>
    </row>
    <row r="444" spans="2:6">
      <c r="B444" s="685"/>
      <c r="C444" s="685"/>
      <c r="D444" s="685"/>
      <c r="E444" s="686"/>
      <c r="F444" s="685"/>
    </row>
    <row r="445" spans="2:6">
      <c r="B445" s="685"/>
      <c r="C445" s="685"/>
      <c r="D445" s="685"/>
      <c r="E445" s="686"/>
      <c r="F445" s="685"/>
    </row>
    <row r="446" spans="2:6">
      <c r="B446" s="685"/>
      <c r="C446" s="685"/>
      <c r="D446" s="685"/>
      <c r="E446" s="686"/>
      <c r="F446" s="685"/>
    </row>
    <row r="447" spans="2:6">
      <c r="B447" s="685"/>
      <c r="C447" s="685"/>
      <c r="D447" s="685"/>
      <c r="E447" s="686"/>
      <c r="F447" s="685"/>
    </row>
    <row r="448" spans="2:6">
      <c r="B448" s="685"/>
      <c r="C448" s="685"/>
      <c r="D448" s="685"/>
      <c r="E448" s="686"/>
      <c r="F448" s="685"/>
    </row>
    <row r="449" spans="2:6">
      <c r="B449" s="685"/>
      <c r="C449" s="685"/>
      <c r="D449" s="685"/>
      <c r="E449" s="686"/>
      <c r="F449" s="685"/>
    </row>
    <row r="450" spans="2:6">
      <c r="B450" s="685"/>
      <c r="C450" s="685"/>
      <c r="D450" s="685"/>
      <c r="E450" s="686"/>
      <c r="F450" s="685"/>
    </row>
    <row r="451" spans="2:6">
      <c r="B451" s="685"/>
      <c r="C451" s="685"/>
      <c r="D451" s="685"/>
      <c r="E451" s="686"/>
      <c r="F451" s="685"/>
    </row>
    <row r="452" spans="2:6">
      <c r="B452" s="685"/>
      <c r="C452" s="685"/>
      <c r="D452" s="685"/>
      <c r="E452" s="686"/>
      <c r="F452" s="685"/>
    </row>
    <row r="453" spans="2:6">
      <c r="B453" s="685"/>
      <c r="C453" s="685"/>
      <c r="D453" s="685"/>
      <c r="E453" s="686"/>
      <c r="F453" s="685"/>
    </row>
    <row r="454" spans="2:6">
      <c r="B454" s="685"/>
      <c r="C454" s="685"/>
      <c r="D454" s="685"/>
      <c r="E454" s="686"/>
      <c r="F454" s="685"/>
    </row>
    <row r="455" spans="2:6">
      <c r="B455" s="685"/>
      <c r="C455" s="685"/>
      <c r="D455" s="685"/>
      <c r="E455" s="686"/>
      <c r="F455" s="685"/>
    </row>
    <row r="456" spans="2:6">
      <c r="B456" s="685"/>
      <c r="C456" s="685"/>
      <c r="D456" s="685"/>
      <c r="E456" s="686"/>
      <c r="F456" s="685"/>
    </row>
    <row r="457" spans="2:6">
      <c r="B457" s="685"/>
      <c r="C457" s="685"/>
      <c r="D457" s="685"/>
      <c r="E457" s="686"/>
      <c r="F457" s="685"/>
    </row>
    <row r="458" spans="2:6">
      <c r="B458" s="685"/>
      <c r="C458" s="685"/>
      <c r="D458" s="685"/>
      <c r="E458" s="686"/>
      <c r="F458" s="685"/>
    </row>
    <row r="459" spans="2:6">
      <c r="B459" s="685"/>
      <c r="C459" s="685"/>
      <c r="D459" s="685"/>
      <c r="E459" s="686"/>
      <c r="F459" s="685"/>
    </row>
    <row r="460" spans="2:6">
      <c r="B460" s="685"/>
      <c r="C460" s="685"/>
      <c r="D460" s="685"/>
      <c r="E460" s="686"/>
      <c r="F460" s="685"/>
    </row>
    <row r="461" spans="2:6">
      <c r="B461" s="685"/>
      <c r="C461" s="685"/>
      <c r="D461" s="685"/>
      <c r="E461" s="686"/>
      <c r="F461" s="685"/>
    </row>
    <row r="462" spans="2:6">
      <c r="B462" s="685"/>
      <c r="C462" s="685"/>
      <c r="D462" s="685"/>
      <c r="E462" s="686"/>
      <c r="F462" s="685"/>
    </row>
    <row r="463" spans="2:6">
      <c r="B463" s="685"/>
      <c r="C463" s="685"/>
      <c r="D463" s="685"/>
      <c r="E463" s="686"/>
      <c r="F463" s="685"/>
    </row>
    <row r="464" spans="2:6">
      <c r="B464" s="685"/>
      <c r="C464" s="685"/>
      <c r="D464" s="685"/>
      <c r="E464" s="686"/>
      <c r="F464" s="685"/>
    </row>
    <row r="465" spans="2:6">
      <c r="B465" s="685"/>
      <c r="C465" s="685"/>
      <c r="D465" s="685"/>
      <c r="E465" s="686"/>
      <c r="F465" s="685"/>
    </row>
    <row r="466" spans="2:6">
      <c r="B466" s="685"/>
      <c r="C466" s="685"/>
      <c r="D466" s="685"/>
      <c r="E466" s="686"/>
      <c r="F466" s="685"/>
    </row>
    <row r="467" spans="2:6">
      <c r="B467" s="685"/>
      <c r="C467" s="685"/>
      <c r="D467" s="685"/>
      <c r="E467" s="686"/>
      <c r="F467" s="685"/>
    </row>
    <row r="468" spans="2:6">
      <c r="B468" s="685"/>
      <c r="C468" s="685"/>
      <c r="D468" s="685"/>
      <c r="E468" s="686"/>
      <c r="F468" s="685"/>
    </row>
    <row r="469" spans="2:6">
      <c r="B469" s="685"/>
      <c r="C469" s="685"/>
      <c r="D469" s="685"/>
      <c r="E469" s="686"/>
      <c r="F469" s="685"/>
    </row>
    <row r="470" spans="2:6">
      <c r="B470" s="685"/>
      <c r="C470" s="685"/>
      <c r="D470" s="685"/>
      <c r="E470" s="686"/>
      <c r="F470" s="685"/>
    </row>
    <row r="471" spans="2:6">
      <c r="B471" s="685"/>
      <c r="C471" s="685"/>
      <c r="D471" s="685"/>
      <c r="E471" s="686"/>
      <c r="F471" s="685"/>
    </row>
    <row r="472" spans="2:6">
      <c r="B472" s="685"/>
      <c r="C472" s="685"/>
      <c r="D472" s="685"/>
      <c r="E472" s="686"/>
      <c r="F472" s="685"/>
    </row>
    <row r="473" spans="2:6">
      <c r="B473" s="685"/>
      <c r="C473" s="685"/>
      <c r="D473" s="685"/>
      <c r="E473" s="686"/>
      <c r="F473" s="685"/>
    </row>
    <row r="474" spans="2:6">
      <c r="B474" s="685"/>
      <c r="C474" s="685"/>
      <c r="D474" s="685"/>
      <c r="E474" s="686"/>
      <c r="F474" s="685"/>
    </row>
    <row r="475" spans="2:6">
      <c r="B475" s="685"/>
      <c r="C475" s="685"/>
      <c r="D475" s="685"/>
      <c r="E475" s="686"/>
      <c r="F475" s="685"/>
    </row>
    <row r="476" spans="2:6">
      <c r="B476" s="685"/>
      <c r="C476" s="685"/>
      <c r="D476" s="685"/>
      <c r="E476" s="686"/>
      <c r="F476" s="685"/>
    </row>
    <row r="477" spans="2:6">
      <c r="B477" s="685"/>
      <c r="C477" s="685"/>
      <c r="D477" s="685"/>
      <c r="E477" s="686"/>
      <c r="F477" s="685"/>
    </row>
    <row r="478" spans="2:6">
      <c r="B478" s="685"/>
      <c r="C478" s="685"/>
      <c r="D478" s="685"/>
      <c r="E478" s="686"/>
      <c r="F478" s="685"/>
    </row>
    <row r="479" spans="2:6">
      <c r="B479" s="685"/>
      <c r="C479" s="685"/>
      <c r="D479" s="685"/>
      <c r="E479" s="686"/>
      <c r="F479" s="685"/>
    </row>
    <row r="480" spans="2:6">
      <c r="B480" s="685"/>
      <c r="C480" s="685"/>
      <c r="D480" s="685"/>
      <c r="E480" s="686"/>
      <c r="F480" s="685"/>
    </row>
    <row r="481" spans="2:6">
      <c r="B481" s="685"/>
      <c r="C481" s="685"/>
      <c r="D481" s="685"/>
      <c r="E481" s="686"/>
      <c r="F481" s="685"/>
    </row>
    <row r="482" spans="2:6">
      <c r="B482" s="685"/>
      <c r="C482" s="685"/>
      <c r="D482" s="685"/>
      <c r="E482" s="686"/>
      <c r="F482" s="685"/>
    </row>
    <row r="483" spans="2:6">
      <c r="B483" s="685"/>
      <c r="C483" s="685"/>
      <c r="D483" s="685"/>
      <c r="E483" s="686"/>
      <c r="F483" s="685"/>
    </row>
    <row r="484" spans="2:6">
      <c r="B484" s="685"/>
      <c r="C484" s="685"/>
      <c r="D484" s="685"/>
      <c r="E484" s="686"/>
      <c r="F484" s="685"/>
    </row>
    <row r="485" spans="2:6">
      <c r="B485" s="685"/>
      <c r="C485" s="685"/>
      <c r="D485" s="685"/>
      <c r="E485" s="686"/>
      <c r="F485" s="685"/>
    </row>
    <row r="486" spans="2:6">
      <c r="B486" s="685"/>
      <c r="C486" s="685"/>
      <c r="D486" s="685"/>
      <c r="E486" s="686"/>
      <c r="F486" s="685"/>
    </row>
    <row r="487" spans="2:6">
      <c r="B487" s="685"/>
      <c r="C487" s="685"/>
      <c r="D487" s="685"/>
      <c r="E487" s="686"/>
      <c r="F487" s="685"/>
    </row>
    <row r="488" spans="2:6">
      <c r="B488" s="685"/>
      <c r="C488" s="685"/>
      <c r="D488" s="685"/>
      <c r="E488" s="686"/>
      <c r="F488" s="685"/>
    </row>
    <row r="489" spans="2:6">
      <c r="B489" s="685"/>
      <c r="C489" s="685"/>
      <c r="D489" s="685"/>
      <c r="E489" s="686"/>
      <c r="F489" s="685"/>
    </row>
    <row r="490" spans="2:6">
      <c r="B490" s="685"/>
      <c r="C490" s="685"/>
      <c r="D490" s="685"/>
      <c r="E490" s="686"/>
      <c r="F490" s="685"/>
    </row>
    <row r="491" spans="2:6">
      <c r="B491" s="685"/>
      <c r="C491" s="685"/>
      <c r="D491" s="685"/>
      <c r="E491" s="686"/>
      <c r="F491" s="685"/>
    </row>
    <row r="492" spans="2:6">
      <c r="B492" s="685"/>
      <c r="C492" s="685"/>
      <c r="D492" s="685"/>
      <c r="E492" s="686"/>
      <c r="F492" s="685"/>
    </row>
    <row r="493" spans="2:6">
      <c r="B493" s="685"/>
      <c r="C493" s="685"/>
      <c r="D493" s="685"/>
      <c r="E493" s="686"/>
      <c r="F493" s="685"/>
    </row>
    <row r="494" spans="2:6">
      <c r="B494" s="685"/>
      <c r="C494" s="685"/>
      <c r="D494" s="685"/>
      <c r="E494" s="686"/>
      <c r="F494" s="685"/>
    </row>
    <row r="495" spans="2:6">
      <c r="B495" s="685"/>
      <c r="C495" s="685"/>
      <c r="D495" s="685"/>
      <c r="E495" s="686"/>
      <c r="F495" s="685"/>
    </row>
    <row r="496" spans="2:6">
      <c r="B496" s="685"/>
      <c r="C496" s="685"/>
      <c r="D496" s="685"/>
      <c r="E496" s="686"/>
      <c r="F496" s="685"/>
    </row>
    <row r="497" spans="2:6">
      <c r="B497" s="685"/>
      <c r="C497" s="685"/>
      <c r="D497" s="685"/>
      <c r="E497" s="686"/>
      <c r="F497" s="685"/>
    </row>
    <row r="498" spans="2:6">
      <c r="B498" s="685"/>
      <c r="C498" s="685"/>
      <c r="D498" s="685"/>
      <c r="E498" s="686"/>
      <c r="F498" s="685"/>
    </row>
    <row r="499" spans="2:6">
      <c r="B499" s="685"/>
      <c r="C499" s="685"/>
      <c r="D499" s="685"/>
      <c r="E499" s="686"/>
      <c r="F499" s="685"/>
    </row>
    <row r="500" spans="2:6">
      <c r="B500" s="685"/>
      <c r="C500" s="685"/>
      <c r="D500" s="685"/>
      <c r="E500" s="686"/>
      <c r="F500" s="685"/>
    </row>
    <row r="501" spans="2:6">
      <c r="B501" s="685"/>
      <c r="C501" s="685"/>
      <c r="D501" s="685"/>
      <c r="E501" s="686"/>
      <c r="F501" s="685"/>
    </row>
    <row r="502" spans="2:6">
      <c r="B502" s="685"/>
      <c r="C502" s="685"/>
      <c r="D502" s="685"/>
      <c r="E502" s="686"/>
      <c r="F502" s="685"/>
    </row>
    <row r="503" spans="2:6">
      <c r="B503" s="685"/>
      <c r="C503" s="685"/>
      <c r="D503" s="685"/>
      <c r="E503" s="686"/>
      <c r="F503" s="685"/>
    </row>
    <row r="504" spans="2:6">
      <c r="B504" s="685"/>
      <c r="C504" s="685"/>
      <c r="D504" s="685"/>
      <c r="E504" s="686"/>
      <c r="F504" s="685"/>
    </row>
    <row r="505" spans="2:6">
      <c r="B505" s="685"/>
      <c r="C505" s="685"/>
      <c r="D505" s="685"/>
      <c r="E505" s="686"/>
      <c r="F505" s="685"/>
    </row>
    <row r="506" spans="2:6">
      <c r="B506" s="685"/>
      <c r="C506" s="685"/>
      <c r="D506" s="685"/>
      <c r="E506" s="686"/>
      <c r="F506" s="685"/>
    </row>
    <row r="507" spans="2:6">
      <c r="B507" s="685"/>
      <c r="C507" s="685"/>
      <c r="D507" s="685"/>
      <c r="E507" s="686"/>
      <c r="F507" s="685"/>
    </row>
    <row r="508" spans="2:6">
      <c r="B508" s="685"/>
      <c r="C508" s="685"/>
      <c r="D508" s="685"/>
      <c r="E508" s="686"/>
      <c r="F508" s="685"/>
    </row>
    <row r="509" spans="2:6">
      <c r="B509" s="685"/>
      <c r="C509" s="685"/>
      <c r="D509" s="685"/>
      <c r="E509" s="686"/>
      <c r="F509" s="685"/>
    </row>
    <row r="510" spans="2:6">
      <c r="B510" s="685"/>
      <c r="C510" s="685"/>
      <c r="D510" s="685"/>
      <c r="E510" s="686"/>
      <c r="F510" s="685"/>
    </row>
    <row r="511" spans="2:6">
      <c r="B511" s="685"/>
      <c r="C511" s="685"/>
      <c r="D511" s="685"/>
      <c r="E511" s="686"/>
      <c r="F511" s="685"/>
    </row>
    <row r="512" spans="2:6">
      <c r="B512" s="685"/>
      <c r="C512" s="685"/>
      <c r="D512" s="685"/>
      <c r="E512" s="686"/>
      <c r="F512" s="685"/>
    </row>
    <row r="513" spans="2:6">
      <c r="B513" s="685"/>
      <c r="C513" s="685"/>
      <c r="D513" s="685"/>
      <c r="E513" s="686"/>
      <c r="F513" s="685"/>
    </row>
    <row r="514" spans="2:6">
      <c r="B514" s="685"/>
      <c r="C514" s="685"/>
      <c r="D514" s="685"/>
      <c r="E514" s="686"/>
      <c r="F514" s="685"/>
    </row>
    <row r="515" spans="2:6">
      <c r="B515" s="685"/>
      <c r="C515" s="685"/>
      <c r="D515" s="685"/>
      <c r="E515" s="686"/>
      <c r="F515" s="685"/>
    </row>
    <row r="516" spans="2:6">
      <c r="B516" s="685"/>
      <c r="C516" s="685"/>
      <c r="D516" s="685"/>
      <c r="E516" s="686"/>
      <c r="F516" s="685"/>
    </row>
    <row r="517" spans="2:6">
      <c r="B517" s="685"/>
      <c r="C517" s="685"/>
      <c r="D517" s="685"/>
      <c r="E517" s="686"/>
      <c r="F517" s="685"/>
    </row>
    <row r="518" spans="2:6">
      <c r="B518" s="685"/>
      <c r="C518" s="685"/>
      <c r="D518" s="685"/>
      <c r="E518" s="686"/>
      <c r="F518" s="685"/>
    </row>
    <row r="519" spans="2:6">
      <c r="B519" s="685"/>
      <c r="C519" s="685"/>
      <c r="D519" s="685"/>
      <c r="E519" s="686"/>
      <c r="F519" s="685"/>
    </row>
    <row r="520" spans="2:6">
      <c r="B520" s="685"/>
      <c r="C520" s="685"/>
      <c r="D520" s="685"/>
      <c r="E520" s="686"/>
      <c r="F520" s="685"/>
    </row>
    <row r="521" spans="2:6">
      <c r="B521" s="685"/>
      <c r="C521" s="685"/>
      <c r="D521" s="685"/>
      <c r="E521" s="686"/>
      <c r="F521" s="685"/>
    </row>
    <row r="522" spans="2:6">
      <c r="B522" s="685"/>
      <c r="C522" s="685"/>
      <c r="D522" s="685"/>
      <c r="E522" s="686"/>
      <c r="F522" s="685"/>
    </row>
    <row r="523" spans="2:6">
      <c r="B523" s="685"/>
      <c r="C523" s="685"/>
      <c r="D523" s="685"/>
      <c r="E523" s="686"/>
      <c r="F523" s="685"/>
    </row>
    <row r="524" spans="2:6">
      <c r="B524" s="685"/>
      <c r="C524" s="685"/>
      <c r="D524" s="685"/>
      <c r="E524" s="686"/>
      <c r="F524" s="685"/>
    </row>
    <row r="525" spans="2:6">
      <c r="B525" s="685"/>
      <c r="C525" s="685"/>
      <c r="D525" s="685"/>
      <c r="E525" s="686"/>
      <c r="F525" s="685"/>
    </row>
    <row r="526" spans="2:6">
      <c r="B526" s="685"/>
      <c r="C526" s="685"/>
      <c r="D526" s="685"/>
      <c r="E526" s="686"/>
      <c r="F526" s="685"/>
    </row>
    <row r="527" spans="2:6">
      <c r="B527" s="685"/>
      <c r="C527" s="685"/>
      <c r="D527" s="685"/>
      <c r="E527" s="686"/>
      <c r="F527" s="685"/>
    </row>
    <row r="528" spans="2:6">
      <c r="B528" s="685"/>
      <c r="C528" s="685"/>
      <c r="D528" s="685"/>
      <c r="E528" s="686"/>
      <c r="F528" s="685"/>
    </row>
    <row r="529" spans="2:6">
      <c r="B529" s="685"/>
      <c r="C529" s="685"/>
      <c r="D529" s="685"/>
      <c r="E529" s="686"/>
      <c r="F529" s="685"/>
    </row>
    <row r="530" spans="2:6">
      <c r="B530" s="685"/>
      <c r="C530" s="685"/>
      <c r="D530" s="685"/>
      <c r="E530" s="686"/>
      <c r="F530" s="685"/>
    </row>
    <row r="531" spans="2:6">
      <c r="B531" s="685"/>
      <c r="C531" s="685"/>
      <c r="D531" s="685"/>
      <c r="E531" s="686"/>
      <c r="F531" s="685"/>
    </row>
    <row r="532" spans="2:6">
      <c r="B532" s="685"/>
      <c r="C532" s="685"/>
      <c r="D532" s="685"/>
      <c r="E532" s="686"/>
      <c r="F532" s="685"/>
    </row>
    <row r="533" spans="2:6">
      <c r="B533" s="685"/>
      <c r="C533" s="685"/>
      <c r="D533" s="685"/>
      <c r="E533" s="686"/>
      <c r="F533" s="685"/>
    </row>
    <row r="534" spans="2:6">
      <c r="B534" s="685"/>
      <c r="C534" s="685"/>
      <c r="D534" s="685"/>
      <c r="E534" s="686"/>
      <c r="F534" s="685"/>
    </row>
    <row r="535" spans="2:6">
      <c r="B535" s="685"/>
      <c r="C535" s="685"/>
      <c r="D535" s="685"/>
      <c r="E535" s="686"/>
      <c r="F535" s="685"/>
    </row>
    <row r="536" spans="2:6">
      <c r="B536" s="685"/>
      <c r="C536" s="685"/>
      <c r="D536" s="685"/>
      <c r="E536" s="686"/>
      <c r="F536" s="685"/>
    </row>
    <row r="537" spans="2:6">
      <c r="B537" s="685"/>
      <c r="C537" s="685"/>
      <c r="D537" s="685"/>
      <c r="E537" s="686"/>
      <c r="F537" s="685"/>
    </row>
    <row r="538" spans="2:6">
      <c r="B538" s="685"/>
      <c r="C538" s="685"/>
      <c r="D538" s="685"/>
      <c r="E538" s="686"/>
      <c r="F538" s="685"/>
    </row>
    <row r="539" spans="2:6">
      <c r="B539" s="685"/>
      <c r="C539" s="685"/>
      <c r="D539" s="685"/>
      <c r="E539" s="686"/>
      <c r="F539" s="685"/>
    </row>
    <row r="540" spans="2:6">
      <c r="B540" s="685"/>
      <c r="C540" s="685"/>
      <c r="D540" s="685"/>
      <c r="E540" s="686"/>
      <c r="F540" s="685"/>
    </row>
    <row r="541" spans="2:6">
      <c r="B541" s="685"/>
      <c r="C541" s="685"/>
      <c r="D541" s="685"/>
      <c r="E541" s="686"/>
      <c r="F541" s="685"/>
    </row>
    <row r="542" spans="2:6">
      <c r="B542" s="685"/>
      <c r="C542" s="685"/>
      <c r="D542" s="685"/>
      <c r="E542" s="686"/>
      <c r="F542" s="685"/>
    </row>
    <row r="543" spans="2:6">
      <c r="B543" s="685"/>
      <c r="C543" s="685"/>
      <c r="D543" s="685"/>
      <c r="E543" s="686"/>
      <c r="F543" s="685"/>
    </row>
    <row r="544" spans="2:6">
      <c r="B544" s="685"/>
      <c r="C544" s="685"/>
      <c r="D544" s="685"/>
      <c r="E544" s="686"/>
      <c r="F544" s="685"/>
    </row>
    <row r="545" spans="2:6">
      <c r="B545" s="685"/>
      <c r="C545" s="685"/>
      <c r="D545" s="685"/>
      <c r="E545" s="686"/>
      <c r="F545" s="685"/>
    </row>
    <row r="546" spans="2:6">
      <c r="B546" s="685"/>
      <c r="C546" s="685"/>
      <c r="D546" s="685"/>
      <c r="E546" s="686"/>
      <c r="F546" s="685"/>
    </row>
    <row r="547" spans="2:6">
      <c r="B547" s="685"/>
      <c r="C547" s="685"/>
      <c r="D547" s="685"/>
      <c r="E547" s="686"/>
      <c r="F547" s="685"/>
    </row>
    <row r="548" spans="2:6">
      <c r="B548" s="685"/>
      <c r="C548" s="685"/>
      <c r="D548" s="685"/>
      <c r="E548" s="686"/>
      <c r="F548" s="685"/>
    </row>
    <row r="549" spans="2:6">
      <c r="B549" s="685"/>
      <c r="C549" s="685"/>
      <c r="D549" s="685"/>
      <c r="E549" s="686"/>
      <c r="F549" s="685"/>
    </row>
    <row r="550" spans="2:6">
      <c r="B550" s="685"/>
      <c r="C550" s="685"/>
      <c r="D550" s="685"/>
      <c r="E550" s="686"/>
      <c r="F550" s="685"/>
    </row>
    <row r="551" spans="2:6">
      <c r="B551" s="685"/>
      <c r="C551" s="685"/>
      <c r="D551" s="685"/>
      <c r="E551" s="686"/>
      <c r="F551" s="685"/>
    </row>
    <row r="552" spans="2:6">
      <c r="B552" s="685"/>
      <c r="C552" s="685"/>
      <c r="D552" s="685"/>
      <c r="E552" s="686"/>
      <c r="F552" s="685"/>
    </row>
    <row r="553" spans="2:6">
      <c r="B553" s="685"/>
      <c r="C553" s="685"/>
      <c r="D553" s="685"/>
      <c r="E553" s="686"/>
      <c r="F553" s="685"/>
    </row>
    <row r="554" spans="2:6">
      <c r="B554" s="685"/>
      <c r="C554" s="685"/>
      <c r="D554" s="685"/>
      <c r="E554" s="686"/>
      <c r="F554" s="685"/>
    </row>
    <row r="555" spans="2:6">
      <c r="B555" s="685"/>
      <c r="C555" s="685"/>
      <c r="D555" s="685"/>
      <c r="E555" s="686"/>
      <c r="F555" s="685"/>
    </row>
    <row r="556" spans="2:6">
      <c r="B556" s="685"/>
      <c r="C556" s="685"/>
      <c r="D556" s="685"/>
      <c r="E556" s="686"/>
      <c r="F556" s="685"/>
    </row>
    <row r="557" spans="2:6">
      <c r="B557" s="685"/>
      <c r="C557" s="685"/>
      <c r="D557" s="685"/>
      <c r="E557" s="686"/>
      <c r="F557" s="685"/>
    </row>
    <row r="558" spans="2:6">
      <c r="B558" s="685"/>
      <c r="C558" s="685"/>
      <c r="D558" s="685"/>
      <c r="E558" s="686"/>
      <c r="F558" s="685"/>
    </row>
    <row r="559" spans="2:6">
      <c r="B559" s="685"/>
      <c r="C559" s="685"/>
      <c r="D559" s="685"/>
      <c r="E559" s="686"/>
      <c r="F559" s="685"/>
    </row>
    <row r="560" spans="2:6">
      <c r="B560" s="685"/>
      <c r="C560" s="685"/>
      <c r="D560" s="685"/>
      <c r="E560" s="686"/>
      <c r="F560" s="685"/>
    </row>
    <row r="561" spans="2:6">
      <c r="B561" s="685"/>
      <c r="C561" s="685"/>
      <c r="D561" s="685"/>
      <c r="E561" s="686"/>
      <c r="F561" s="685"/>
    </row>
    <row r="562" spans="2:6">
      <c r="B562" s="685"/>
      <c r="C562" s="685"/>
      <c r="D562" s="685"/>
      <c r="E562" s="686"/>
      <c r="F562" s="685"/>
    </row>
    <row r="563" spans="2:6">
      <c r="B563" s="685"/>
      <c r="C563" s="685"/>
      <c r="D563" s="685"/>
      <c r="E563" s="686"/>
      <c r="F563" s="685"/>
    </row>
    <row r="564" spans="2:6">
      <c r="B564" s="685"/>
      <c r="C564" s="685"/>
      <c r="D564" s="685"/>
      <c r="E564" s="686"/>
      <c r="F564" s="685"/>
    </row>
    <row r="565" spans="2:6">
      <c r="B565" s="685"/>
      <c r="C565" s="685"/>
      <c r="D565" s="685"/>
      <c r="E565" s="686"/>
      <c r="F565" s="685"/>
    </row>
    <row r="566" spans="2:6">
      <c r="B566" s="685"/>
      <c r="C566" s="685"/>
      <c r="D566" s="685"/>
      <c r="E566" s="686"/>
      <c r="F566" s="685"/>
    </row>
    <row r="567" spans="2:6">
      <c r="B567" s="685"/>
      <c r="C567" s="685"/>
      <c r="D567" s="685"/>
      <c r="E567" s="686"/>
      <c r="F567" s="685"/>
    </row>
    <row r="568" spans="2:6">
      <c r="B568" s="685"/>
      <c r="C568" s="685"/>
      <c r="D568" s="685"/>
      <c r="E568" s="686"/>
      <c r="F568" s="685"/>
    </row>
    <row r="569" spans="2:6">
      <c r="B569" s="685"/>
      <c r="C569" s="685"/>
      <c r="D569" s="685"/>
      <c r="E569" s="686"/>
      <c r="F569" s="685"/>
    </row>
    <row r="570" spans="2:6">
      <c r="B570" s="685"/>
      <c r="C570" s="685"/>
      <c r="D570" s="685"/>
      <c r="E570" s="686"/>
      <c r="F570" s="685"/>
    </row>
    <row r="571" spans="2:6">
      <c r="B571" s="685"/>
      <c r="C571" s="685"/>
      <c r="D571" s="685"/>
      <c r="E571" s="686"/>
      <c r="F571" s="685"/>
    </row>
    <row r="572" spans="2:6">
      <c r="B572" s="685"/>
      <c r="C572" s="685"/>
      <c r="D572" s="685"/>
      <c r="E572" s="686"/>
      <c r="F572" s="685"/>
    </row>
    <row r="573" spans="2:6">
      <c r="B573" s="685"/>
      <c r="C573" s="685"/>
      <c r="D573" s="685"/>
      <c r="E573" s="686"/>
      <c r="F573" s="685"/>
    </row>
    <row r="574" spans="2:6">
      <c r="B574" s="685"/>
      <c r="C574" s="685"/>
      <c r="D574" s="685"/>
      <c r="E574" s="686"/>
      <c r="F574" s="685"/>
    </row>
    <row r="575" spans="2:6">
      <c r="B575" s="685"/>
      <c r="C575" s="685"/>
      <c r="D575" s="685"/>
      <c r="E575" s="686"/>
      <c r="F575" s="685"/>
    </row>
    <row r="576" spans="2:6">
      <c r="B576" s="685"/>
      <c r="C576" s="685"/>
      <c r="D576" s="685"/>
      <c r="E576" s="686"/>
      <c r="F576" s="685"/>
    </row>
    <row r="577" spans="2:6">
      <c r="B577" s="685"/>
      <c r="C577" s="685"/>
      <c r="D577" s="685"/>
      <c r="E577" s="686"/>
      <c r="F577" s="685"/>
    </row>
    <row r="578" spans="2:6">
      <c r="B578" s="685"/>
      <c r="C578" s="685"/>
      <c r="D578" s="685"/>
      <c r="E578" s="686"/>
      <c r="F578" s="685"/>
    </row>
    <row r="579" spans="2:6">
      <c r="B579" s="685"/>
      <c r="C579" s="685"/>
      <c r="D579" s="685"/>
      <c r="E579" s="686"/>
      <c r="F579" s="685"/>
    </row>
    <row r="580" spans="2:6">
      <c r="B580" s="685"/>
      <c r="C580" s="685"/>
      <c r="D580" s="685"/>
      <c r="E580" s="686"/>
      <c r="F580" s="685"/>
    </row>
    <row r="581" spans="2:6">
      <c r="B581" s="685"/>
      <c r="C581" s="685"/>
      <c r="D581" s="685"/>
      <c r="E581" s="686"/>
      <c r="F581" s="685"/>
    </row>
    <row r="582" spans="2:6">
      <c r="B582" s="685"/>
      <c r="C582" s="685"/>
      <c r="D582" s="685"/>
      <c r="E582" s="686"/>
      <c r="F582" s="685"/>
    </row>
    <row r="583" spans="2:6">
      <c r="B583" s="685"/>
      <c r="C583" s="685"/>
      <c r="D583" s="685"/>
      <c r="E583" s="686"/>
      <c r="F583" s="685"/>
    </row>
    <row r="584" spans="2:6">
      <c r="B584" s="685"/>
      <c r="C584" s="685"/>
      <c r="D584" s="685"/>
      <c r="E584" s="686"/>
      <c r="F584" s="685"/>
    </row>
    <row r="585" spans="2:6">
      <c r="B585" s="685"/>
      <c r="C585" s="685"/>
      <c r="D585" s="685"/>
      <c r="E585" s="686"/>
      <c r="F585" s="685"/>
    </row>
    <row r="586" spans="2:6">
      <c r="B586" s="685"/>
      <c r="C586" s="685"/>
      <c r="D586" s="685"/>
      <c r="E586" s="686"/>
      <c r="F586" s="685"/>
    </row>
    <row r="587" spans="2:6">
      <c r="B587" s="685"/>
      <c r="C587" s="685"/>
      <c r="D587" s="685"/>
      <c r="E587" s="686"/>
      <c r="F587" s="685"/>
    </row>
    <row r="588" spans="2:6">
      <c r="B588" s="685"/>
      <c r="C588" s="685"/>
      <c r="D588" s="685"/>
      <c r="E588" s="686"/>
      <c r="F588" s="685"/>
    </row>
    <row r="589" spans="2:6">
      <c r="B589" s="685"/>
      <c r="C589" s="685"/>
      <c r="D589" s="685"/>
      <c r="E589" s="686"/>
      <c r="F589" s="685"/>
    </row>
    <row r="590" spans="2:6">
      <c r="B590" s="685"/>
      <c r="C590" s="685"/>
      <c r="D590" s="685"/>
      <c r="E590" s="686"/>
      <c r="F590" s="685"/>
    </row>
    <row r="591" spans="2:6">
      <c r="B591" s="685"/>
      <c r="C591" s="685"/>
      <c r="D591" s="685"/>
      <c r="E591" s="686"/>
      <c r="F591" s="685"/>
    </row>
    <row r="592" spans="2:6">
      <c r="B592" s="685"/>
      <c r="C592" s="685"/>
      <c r="D592" s="685"/>
      <c r="E592" s="686"/>
      <c r="F592" s="685"/>
    </row>
    <row r="593" spans="2:6">
      <c r="B593" s="685"/>
      <c r="C593" s="685"/>
      <c r="D593" s="685"/>
      <c r="E593" s="686"/>
      <c r="F593" s="685"/>
    </row>
    <row r="594" spans="2:6">
      <c r="B594" s="685"/>
      <c r="C594" s="685"/>
      <c r="D594" s="685"/>
      <c r="E594" s="686"/>
      <c r="F594" s="685"/>
    </row>
    <row r="595" spans="2:6">
      <c r="B595" s="685"/>
      <c r="C595" s="685"/>
      <c r="D595" s="685"/>
      <c r="E595" s="686"/>
      <c r="F595" s="685"/>
    </row>
    <row r="596" spans="2:6">
      <c r="B596" s="685"/>
      <c r="C596" s="685"/>
      <c r="D596" s="685"/>
      <c r="E596" s="686"/>
      <c r="F596" s="685"/>
    </row>
    <row r="597" spans="2:6">
      <c r="B597" s="685"/>
      <c r="C597" s="685"/>
      <c r="D597" s="685"/>
      <c r="E597" s="686"/>
      <c r="F597" s="685"/>
    </row>
    <row r="598" spans="2:6">
      <c r="B598" s="685"/>
      <c r="C598" s="685"/>
      <c r="D598" s="685"/>
      <c r="E598" s="686"/>
      <c r="F598" s="685"/>
    </row>
    <row r="599" spans="2:6">
      <c r="B599" s="685"/>
      <c r="C599" s="685"/>
      <c r="D599" s="685"/>
      <c r="E599" s="686"/>
      <c r="F599" s="685"/>
    </row>
    <row r="600" spans="2:6">
      <c r="B600" s="685"/>
      <c r="C600" s="685"/>
      <c r="D600" s="685"/>
      <c r="E600" s="686"/>
      <c r="F600" s="685"/>
    </row>
    <row r="601" spans="2:6">
      <c r="B601" s="685"/>
      <c r="C601" s="685"/>
      <c r="D601" s="685"/>
      <c r="E601" s="686"/>
      <c r="F601" s="685"/>
    </row>
    <row r="602" spans="2:6">
      <c r="B602" s="685"/>
      <c r="C602" s="685"/>
      <c r="D602" s="685"/>
      <c r="E602" s="686"/>
      <c r="F602" s="685"/>
    </row>
    <row r="603" spans="2:6">
      <c r="B603" s="685"/>
      <c r="C603" s="685"/>
      <c r="D603" s="685"/>
      <c r="E603" s="686"/>
      <c r="F603" s="685"/>
    </row>
    <row r="604" spans="2:6">
      <c r="B604" s="685"/>
      <c r="C604" s="685"/>
      <c r="D604" s="685"/>
      <c r="E604" s="686"/>
      <c r="F604" s="685"/>
    </row>
    <row r="605" spans="2:6">
      <c r="B605" s="685"/>
      <c r="C605" s="685"/>
      <c r="D605" s="685"/>
      <c r="E605" s="686"/>
      <c r="F605" s="685"/>
    </row>
    <row r="606" spans="2:6">
      <c r="B606" s="685"/>
      <c r="C606" s="685"/>
      <c r="D606" s="685"/>
      <c r="E606" s="686"/>
      <c r="F606" s="685"/>
    </row>
    <row r="607" spans="2:6">
      <c r="B607" s="685"/>
      <c r="C607" s="685"/>
      <c r="D607" s="685"/>
      <c r="E607" s="686"/>
      <c r="F607" s="685"/>
    </row>
    <row r="608" spans="2:6">
      <c r="B608" s="685"/>
      <c r="C608" s="685"/>
      <c r="D608" s="685"/>
      <c r="E608" s="686"/>
      <c r="F608" s="685"/>
    </row>
    <row r="609" spans="2:6">
      <c r="B609" s="685"/>
      <c r="C609" s="685"/>
      <c r="D609" s="685"/>
      <c r="E609" s="686"/>
      <c r="F609" s="685"/>
    </row>
    <row r="610" spans="2:6">
      <c r="B610" s="685"/>
      <c r="C610" s="685"/>
      <c r="D610" s="685"/>
      <c r="E610" s="686"/>
      <c r="F610" s="685"/>
    </row>
    <row r="611" spans="2:6">
      <c r="B611" s="685"/>
      <c r="C611" s="685"/>
      <c r="D611" s="685"/>
      <c r="E611" s="686"/>
      <c r="F611" s="685"/>
    </row>
    <row r="612" spans="2:6">
      <c r="B612" s="685"/>
      <c r="C612" s="685"/>
      <c r="D612" s="685"/>
      <c r="E612" s="686"/>
      <c r="F612" s="685"/>
    </row>
    <row r="613" spans="2:6">
      <c r="B613" s="685"/>
      <c r="C613" s="685"/>
      <c r="D613" s="685"/>
      <c r="E613" s="686"/>
      <c r="F613" s="685"/>
    </row>
    <row r="614" spans="2:6">
      <c r="B614" s="685"/>
      <c r="C614" s="685"/>
      <c r="D614" s="685"/>
      <c r="E614" s="686"/>
      <c r="F614" s="685"/>
    </row>
    <row r="615" spans="2:6">
      <c r="B615" s="685"/>
      <c r="C615" s="685"/>
      <c r="D615" s="685"/>
      <c r="E615" s="686"/>
      <c r="F615" s="685"/>
    </row>
    <row r="616" spans="2:6">
      <c r="B616" s="685"/>
      <c r="C616" s="685"/>
      <c r="D616" s="685"/>
      <c r="E616" s="686"/>
      <c r="F616" s="685"/>
    </row>
    <row r="617" spans="2:6">
      <c r="B617" s="685"/>
      <c r="C617" s="685"/>
      <c r="D617" s="685"/>
      <c r="E617" s="686"/>
      <c r="F617" s="685"/>
    </row>
    <row r="618" spans="2:6">
      <c r="B618" s="685"/>
      <c r="C618" s="685"/>
      <c r="D618" s="685"/>
      <c r="E618" s="686"/>
      <c r="F618" s="685"/>
    </row>
    <row r="619" spans="2:6">
      <c r="B619" s="685"/>
      <c r="C619" s="685"/>
      <c r="D619" s="685"/>
      <c r="E619" s="686"/>
      <c r="F619" s="685"/>
    </row>
    <row r="620" spans="2:6">
      <c r="B620" s="685"/>
      <c r="C620" s="685"/>
      <c r="D620" s="685"/>
      <c r="E620" s="686"/>
      <c r="F620" s="685"/>
    </row>
    <row r="621" spans="2:6">
      <c r="B621" s="685"/>
      <c r="C621" s="685"/>
      <c r="D621" s="685"/>
      <c r="E621" s="686"/>
      <c r="F621" s="685"/>
    </row>
    <row r="622" spans="2:6">
      <c r="B622" s="685"/>
      <c r="C622" s="685"/>
      <c r="D622" s="685"/>
      <c r="E622" s="686"/>
      <c r="F622" s="685"/>
    </row>
    <row r="623" spans="2:6">
      <c r="B623" s="685"/>
      <c r="C623" s="685"/>
      <c r="D623" s="685"/>
      <c r="E623" s="686"/>
      <c r="F623" s="685"/>
    </row>
    <row r="624" spans="2:6">
      <c r="B624" s="685"/>
      <c r="C624" s="685"/>
      <c r="D624" s="685"/>
      <c r="E624" s="686"/>
      <c r="F624" s="685"/>
    </row>
    <row r="625" spans="2:6">
      <c r="B625" s="685"/>
      <c r="C625" s="685"/>
      <c r="D625" s="685"/>
      <c r="E625" s="686"/>
      <c r="F625" s="685"/>
    </row>
    <row r="626" spans="2:6">
      <c r="B626" s="685"/>
      <c r="C626" s="685"/>
      <c r="D626" s="685"/>
      <c r="E626" s="686"/>
      <c r="F626" s="685"/>
    </row>
    <row r="627" spans="2:6">
      <c r="B627" s="685"/>
      <c r="C627" s="685"/>
      <c r="D627" s="685"/>
      <c r="E627" s="686"/>
      <c r="F627" s="685"/>
    </row>
    <row r="628" spans="2:6">
      <c r="B628" s="685"/>
      <c r="C628" s="685"/>
      <c r="D628" s="685"/>
      <c r="E628" s="686"/>
      <c r="F628" s="685"/>
    </row>
    <row r="629" spans="2:6">
      <c r="B629" s="685"/>
      <c r="C629" s="685"/>
      <c r="D629" s="685"/>
      <c r="E629" s="686"/>
      <c r="F629" s="685"/>
    </row>
    <row r="630" spans="2:6">
      <c r="B630" s="685"/>
      <c r="C630" s="685"/>
      <c r="D630" s="685"/>
      <c r="E630" s="686"/>
      <c r="F630" s="685"/>
    </row>
    <row r="631" spans="2:6">
      <c r="B631" s="685"/>
      <c r="C631" s="685"/>
      <c r="D631" s="685"/>
      <c r="E631" s="686"/>
      <c r="F631" s="685"/>
    </row>
    <row r="632" spans="2:6">
      <c r="B632" s="685"/>
      <c r="C632" s="685"/>
      <c r="D632" s="685"/>
      <c r="E632" s="686"/>
      <c r="F632" s="685"/>
    </row>
    <row r="633" spans="2:6">
      <c r="B633" s="685"/>
      <c r="C633" s="685"/>
      <c r="D633" s="685"/>
      <c r="E633" s="686"/>
      <c r="F633" s="685"/>
    </row>
    <row r="634" spans="2:6">
      <c r="B634" s="685"/>
      <c r="C634" s="685"/>
      <c r="D634" s="685"/>
      <c r="E634" s="686"/>
      <c r="F634" s="685"/>
    </row>
    <row r="635" spans="2:6">
      <c r="B635" s="685"/>
      <c r="C635" s="685"/>
      <c r="D635" s="685"/>
      <c r="E635" s="686"/>
      <c r="F635" s="685"/>
    </row>
    <row r="636" spans="2:6">
      <c r="B636" s="685"/>
      <c r="C636" s="685"/>
      <c r="D636" s="685"/>
      <c r="E636" s="686"/>
      <c r="F636" s="685"/>
    </row>
    <row r="637" spans="2:6">
      <c r="B637" s="685"/>
      <c r="C637" s="685"/>
      <c r="D637" s="685"/>
      <c r="E637" s="686"/>
      <c r="F637" s="685"/>
    </row>
    <row r="638" spans="2:6">
      <c r="B638" s="685"/>
      <c r="C638" s="685"/>
      <c r="D638" s="685"/>
      <c r="E638" s="686"/>
      <c r="F638" s="685"/>
    </row>
    <row r="639" spans="2:6">
      <c r="B639" s="685"/>
      <c r="C639" s="685"/>
      <c r="D639" s="685"/>
      <c r="E639" s="686"/>
      <c r="F639" s="685"/>
    </row>
    <row r="640" spans="2:6">
      <c r="B640" s="685"/>
      <c r="C640" s="685"/>
      <c r="D640" s="685"/>
      <c r="E640" s="686"/>
      <c r="F640" s="685"/>
    </row>
    <row r="641" spans="2:6">
      <c r="B641" s="685"/>
      <c r="C641" s="685"/>
      <c r="D641" s="685"/>
      <c r="E641" s="686"/>
      <c r="F641" s="685"/>
    </row>
    <row r="642" spans="2:6">
      <c r="B642" s="685"/>
      <c r="C642" s="685"/>
      <c r="D642" s="685"/>
      <c r="E642" s="686"/>
      <c r="F642" s="685"/>
    </row>
    <row r="643" spans="2:6">
      <c r="B643" s="685"/>
      <c r="C643" s="685"/>
      <c r="D643" s="685"/>
      <c r="E643" s="686"/>
      <c r="F643" s="685"/>
    </row>
    <row r="644" spans="2:6">
      <c r="B644" s="685"/>
      <c r="C644" s="685"/>
      <c r="D644" s="685"/>
      <c r="E644" s="686"/>
      <c r="F644" s="685"/>
    </row>
    <row r="645" spans="2:6">
      <c r="B645" s="685"/>
      <c r="C645" s="685"/>
      <c r="D645" s="685"/>
      <c r="E645" s="686"/>
      <c r="F645" s="685"/>
    </row>
    <row r="646" spans="2:6">
      <c r="B646" s="685"/>
      <c r="C646" s="685"/>
      <c r="D646" s="685"/>
      <c r="E646" s="686"/>
      <c r="F646" s="685"/>
    </row>
    <row r="647" spans="2:6">
      <c r="B647" s="685"/>
      <c r="C647" s="685"/>
      <c r="D647" s="685"/>
      <c r="E647" s="686"/>
      <c r="F647" s="685"/>
    </row>
    <row r="648" spans="2:6">
      <c r="B648" s="685"/>
      <c r="C648" s="685"/>
      <c r="D648" s="685"/>
      <c r="E648" s="686"/>
      <c r="F648" s="685"/>
    </row>
    <row r="649" spans="2:6">
      <c r="B649" s="685"/>
      <c r="C649" s="685"/>
      <c r="D649" s="685"/>
      <c r="E649" s="686"/>
      <c r="F649" s="685"/>
    </row>
    <row r="650" spans="2:6">
      <c r="B650" s="685"/>
      <c r="C650" s="685"/>
      <c r="D650" s="685"/>
      <c r="E650" s="686"/>
      <c r="F650" s="685"/>
    </row>
    <row r="651" spans="2:6">
      <c r="B651" s="685"/>
      <c r="C651" s="685"/>
      <c r="D651" s="685"/>
      <c r="E651" s="686"/>
      <c r="F651" s="685"/>
    </row>
    <row r="652" spans="2:6">
      <c r="B652" s="685"/>
      <c r="C652" s="685"/>
      <c r="D652" s="685"/>
      <c r="E652" s="686"/>
      <c r="F652" s="685"/>
    </row>
    <row r="653" spans="2:6">
      <c r="B653" s="685"/>
      <c r="C653" s="685"/>
      <c r="D653" s="685"/>
      <c r="E653" s="686"/>
      <c r="F653" s="685"/>
    </row>
    <row r="654" spans="2:6">
      <c r="B654" s="685"/>
      <c r="C654" s="685"/>
      <c r="D654" s="685"/>
      <c r="E654" s="686"/>
      <c r="F654" s="685"/>
    </row>
    <row r="655" spans="2:6">
      <c r="B655" s="685"/>
      <c r="C655" s="685"/>
      <c r="D655" s="685"/>
      <c r="E655" s="686"/>
      <c r="F655" s="685"/>
    </row>
    <row r="656" spans="2:6">
      <c r="B656" s="685"/>
      <c r="C656" s="685"/>
      <c r="D656" s="685"/>
      <c r="E656" s="686"/>
      <c r="F656" s="685"/>
    </row>
    <row r="657" spans="2:6">
      <c r="B657" s="685"/>
      <c r="C657" s="685"/>
      <c r="D657" s="685"/>
      <c r="E657" s="686"/>
      <c r="F657" s="685"/>
    </row>
    <row r="658" spans="2:6">
      <c r="B658" s="685"/>
      <c r="C658" s="685"/>
      <c r="D658" s="685"/>
      <c r="E658" s="686"/>
      <c r="F658" s="685"/>
    </row>
    <row r="659" spans="2:6">
      <c r="B659" s="685"/>
      <c r="C659" s="685"/>
      <c r="D659" s="685"/>
      <c r="E659" s="686"/>
      <c r="F659" s="685"/>
    </row>
    <row r="660" spans="2:6">
      <c r="B660" s="685"/>
      <c r="C660" s="685"/>
      <c r="D660" s="685"/>
      <c r="E660" s="686"/>
      <c r="F660" s="685"/>
    </row>
    <row r="661" spans="2:6">
      <c r="B661" s="685"/>
      <c r="C661" s="685"/>
      <c r="D661" s="685"/>
      <c r="E661" s="686"/>
      <c r="F661" s="685"/>
    </row>
    <row r="662" spans="2:6">
      <c r="B662" s="685"/>
      <c r="C662" s="685"/>
      <c r="D662" s="685"/>
      <c r="E662" s="686"/>
      <c r="F662" s="685"/>
    </row>
    <row r="663" spans="2:6">
      <c r="B663" s="685"/>
      <c r="C663" s="685"/>
      <c r="D663" s="685"/>
      <c r="E663" s="686"/>
      <c r="F663" s="685"/>
    </row>
    <row r="664" spans="2:6">
      <c r="B664" s="685"/>
      <c r="C664" s="685"/>
      <c r="D664" s="685"/>
      <c r="E664" s="686"/>
      <c r="F664" s="685"/>
    </row>
    <row r="665" spans="2:6">
      <c r="B665" s="685"/>
      <c r="C665" s="685"/>
      <c r="D665" s="685"/>
      <c r="E665" s="686"/>
      <c r="F665" s="685"/>
    </row>
    <row r="666" spans="2:6">
      <c r="B666" s="685"/>
      <c r="C666" s="685"/>
      <c r="D666" s="685"/>
      <c r="E666" s="686"/>
      <c r="F666" s="685"/>
    </row>
    <row r="667" spans="2:6">
      <c r="B667" s="685"/>
      <c r="C667" s="685"/>
      <c r="D667" s="685"/>
      <c r="E667" s="686"/>
      <c r="F667" s="685"/>
    </row>
    <row r="668" spans="2:6">
      <c r="B668" s="685"/>
      <c r="C668" s="685"/>
      <c r="D668" s="685"/>
      <c r="E668" s="686"/>
      <c r="F668" s="685"/>
    </row>
    <row r="669" spans="2:6">
      <c r="B669" s="685"/>
      <c r="C669" s="685"/>
      <c r="D669" s="685"/>
      <c r="E669" s="686"/>
      <c r="F669" s="685"/>
    </row>
    <row r="670" spans="2:6">
      <c r="B670" s="685"/>
      <c r="C670" s="685"/>
      <c r="D670" s="685"/>
      <c r="E670" s="686"/>
      <c r="F670" s="685"/>
    </row>
    <row r="671" spans="2:6">
      <c r="B671" s="685"/>
      <c r="C671" s="685"/>
      <c r="D671" s="685"/>
      <c r="E671" s="686"/>
      <c r="F671" s="685"/>
    </row>
    <row r="672" spans="2:6">
      <c r="B672" s="685"/>
      <c r="C672" s="685"/>
      <c r="D672" s="685"/>
      <c r="E672" s="686"/>
      <c r="F672" s="685"/>
    </row>
    <row r="673" spans="2:6">
      <c r="B673" s="685"/>
      <c r="C673" s="685"/>
      <c r="D673" s="685"/>
      <c r="E673" s="686"/>
      <c r="F673" s="685"/>
    </row>
    <row r="674" spans="2:6">
      <c r="B674" s="685"/>
      <c r="C674" s="685"/>
      <c r="D674" s="685"/>
      <c r="E674" s="686"/>
      <c r="F674" s="685"/>
    </row>
    <row r="675" spans="2:6">
      <c r="B675" s="685"/>
      <c r="C675" s="685"/>
      <c r="D675" s="685"/>
      <c r="E675" s="686"/>
      <c r="F675" s="685"/>
    </row>
    <row r="676" spans="2:6">
      <c r="B676" s="685"/>
      <c r="C676" s="685"/>
      <c r="D676" s="685"/>
      <c r="E676" s="686"/>
      <c r="F676" s="685"/>
    </row>
    <row r="677" spans="2:6">
      <c r="B677" s="685"/>
      <c r="C677" s="685"/>
      <c r="D677" s="685"/>
      <c r="E677" s="686"/>
      <c r="F677" s="685"/>
    </row>
    <row r="678" spans="2:6">
      <c r="B678" s="685"/>
      <c r="C678" s="685"/>
      <c r="D678" s="685"/>
      <c r="E678" s="686"/>
      <c r="F678" s="685"/>
    </row>
    <row r="679" spans="2:6">
      <c r="B679" s="685"/>
      <c r="C679" s="685"/>
      <c r="D679" s="685"/>
      <c r="E679" s="686"/>
      <c r="F679" s="685"/>
    </row>
    <row r="680" spans="2:6">
      <c r="B680" s="685"/>
      <c r="C680" s="685"/>
      <c r="D680" s="685"/>
      <c r="E680" s="686"/>
      <c r="F680" s="685"/>
    </row>
    <row r="681" spans="2:6">
      <c r="B681" s="685"/>
      <c r="C681" s="685"/>
      <c r="D681" s="685"/>
      <c r="E681" s="686"/>
      <c r="F681" s="685"/>
    </row>
    <row r="682" spans="2:6">
      <c r="B682" s="685"/>
      <c r="C682" s="685"/>
      <c r="D682" s="685"/>
      <c r="E682" s="686"/>
      <c r="F682" s="685"/>
    </row>
    <row r="683" spans="2:6">
      <c r="B683" s="685"/>
      <c r="C683" s="685"/>
      <c r="D683" s="685"/>
      <c r="E683" s="686"/>
      <c r="F683" s="685"/>
    </row>
    <row r="684" spans="2:6">
      <c r="B684" s="685"/>
      <c r="C684" s="685"/>
      <c r="D684" s="685"/>
      <c r="E684" s="686"/>
      <c r="F684" s="685"/>
    </row>
    <row r="685" spans="2:6">
      <c r="B685" s="685"/>
      <c r="C685" s="685"/>
      <c r="D685" s="685"/>
      <c r="E685" s="686"/>
      <c r="F685" s="685"/>
    </row>
    <row r="686" spans="2:6">
      <c r="B686" s="685"/>
      <c r="C686" s="685"/>
      <c r="D686" s="685"/>
      <c r="E686" s="686"/>
      <c r="F686" s="685"/>
    </row>
    <row r="687" spans="2:6">
      <c r="B687" s="685"/>
      <c r="C687" s="685"/>
      <c r="D687" s="685"/>
      <c r="E687" s="686"/>
      <c r="F687" s="685"/>
    </row>
    <row r="688" spans="2:6">
      <c r="B688" s="685"/>
      <c r="C688" s="685"/>
      <c r="D688" s="685"/>
      <c r="E688" s="686"/>
      <c r="F688" s="685"/>
    </row>
    <row r="689" spans="2:6">
      <c r="B689" s="685"/>
      <c r="C689" s="685"/>
      <c r="D689" s="685"/>
      <c r="E689" s="686"/>
      <c r="F689" s="685"/>
    </row>
    <row r="690" spans="2:6">
      <c r="B690" s="685"/>
      <c r="C690" s="685"/>
      <c r="D690" s="685"/>
      <c r="E690" s="686"/>
      <c r="F690" s="685"/>
    </row>
    <row r="691" spans="2:6">
      <c r="B691" s="685"/>
      <c r="C691" s="685"/>
      <c r="D691" s="685"/>
      <c r="E691" s="686"/>
      <c r="F691" s="685"/>
    </row>
    <row r="692" spans="2:6">
      <c r="B692" s="685"/>
      <c r="C692" s="685"/>
      <c r="D692" s="685"/>
      <c r="E692" s="686"/>
      <c r="F692" s="685"/>
    </row>
    <row r="693" spans="2:6">
      <c r="B693" s="685"/>
      <c r="C693" s="685"/>
      <c r="D693" s="685"/>
      <c r="E693" s="686"/>
      <c r="F693" s="685"/>
    </row>
    <row r="694" spans="2:6">
      <c r="B694" s="685"/>
      <c r="C694" s="685"/>
      <c r="D694" s="685"/>
      <c r="E694" s="686"/>
      <c r="F694" s="685"/>
    </row>
    <row r="695" spans="2:6">
      <c r="B695" s="685"/>
      <c r="C695" s="685"/>
      <c r="D695" s="685"/>
      <c r="E695" s="686"/>
      <c r="F695" s="685"/>
    </row>
    <row r="696" spans="2:6">
      <c r="B696" s="685"/>
      <c r="C696" s="685"/>
      <c r="D696" s="685"/>
      <c r="E696" s="686"/>
      <c r="F696" s="685"/>
    </row>
    <row r="697" spans="2:6">
      <c r="B697" s="685"/>
      <c r="C697" s="685"/>
      <c r="D697" s="685"/>
      <c r="E697" s="686"/>
      <c r="F697" s="685"/>
    </row>
    <row r="698" spans="2:6">
      <c r="B698" s="685"/>
      <c r="C698" s="685"/>
      <c r="D698" s="685"/>
      <c r="E698" s="686"/>
      <c r="F698" s="685"/>
    </row>
    <row r="699" spans="2:6">
      <c r="B699" s="685"/>
      <c r="C699" s="685"/>
      <c r="D699" s="685"/>
      <c r="E699" s="686"/>
      <c r="F699" s="685"/>
    </row>
    <row r="700" spans="2:6">
      <c r="B700" s="685"/>
      <c r="C700" s="685"/>
      <c r="D700" s="685"/>
      <c r="E700" s="686"/>
      <c r="F700" s="685"/>
    </row>
    <row r="701" spans="2:6">
      <c r="B701" s="685"/>
      <c r="C701" s="685"/>
      <c r="D701" s="685"/>
      <c r="E701" s="686"/>
      <c r="F701" s="685"/>
    </row>
    <row r="702" spans="2:6">
      <c r="B702" s="685"/>
      <c r="C702" s="685"/>
      <c r="D702" s="685"/>
      <c r="E702" s="686"/>
      <c r="F702" s="685"/>
    </row>
    <row r="703" spans="2:6">
      <c r="B703" s="685"/>
      <c r="C703" s="685"/>
      <c r="D703" s="685"/>
      <c r="E703" s="686"/>
      <c r="F703" s="685"/>
    </row>
    <row r="704" spans="2:6">
      <c r="B704" s="685"/>
      <c r="C704" s="685"/>
      <c r="D704" s="685"/>
      <c r="E704" s="686"/>
      <c r="F704" s="685"/>
    </row>
    <row r="705" spans="2:6">
      <c r="B705" s="685"/>
      <c r="C705" s="685"/>
      <c r="D705" s="685"/>
      <c r="E705" s="686"/>
      <c r="F705" s="685"/>
    </row>
    <row r="706" spans="2:6">
      <c r="B706" s="685"/>
      <c r="C706" s="685"/>
      <c r="D706" s="685"/>
      <c r="E706" s="686"/>
      <c r="F706" s="685"/>
    </row>
    <row r="707" spans="2:6">
      <c r="B707" s="685"/>
      <c r="C707" s="685"/>
      <c r="D707" s="685"/>
      <c r="E707" s="686"/>
      <c r="F707" s="685"/>
    </row>
    <row r="708" spans="2:6">
      <c r="B708" s="685"/>
      <c r="C708" s="685"/>
      <c r="D708" s="685"/>
      <c r="E708" s="686"/>
      <c r="F708" s="685"/>
    </row>
    <row r="709" spans="2:6">
      <c r="B709" s="685"/>
      <c r="C709" s="685"/>
      <c r="D709" s="685"/>
      <c r="E709" s="686"/>
      <c r="F709" s="685"/>
    </row>
    <row r="710" spans="2:6">
      <c r="B710" s="685"/>
      <c r="C710" s="685"/>
      <c r="D710" s="685"/>
      <c r="E710" s="686"/>
      <c r="F710" s="685"/>
    </row>
    <row r="711" spans="2:6">
      <c r="B711" s="685"/>
      <c r="C711" s="685"/>
      <c r="D711" s="685"/>
      <c r="E711" s="686"/>
      <c r="F711" s="685"/>
    </row>
    <row r="712" spans="2:6">
      <c r="B712" s="685"/>
      <c r="C712" s="685"/>
      <c r="D712" s="685"/>
      <c r="E712" s="686"/>
      <c r="F712" s="685"/>
    </row>
    <row r="713" spans="2:6">
      <c r="B713" s="685"/>
      <c r="C713" s="685"/>
      <c r="D713" s="685"/>
      <c r="E713" s="686"/>
      <c r="F713" s="685"/>
    </row>
    <row r="714" spans="2:6">
      <c r="B714" s="685"/>
      <c r="C714" s="685"/>
      <c r="D714" s="685"/>
      <c r="E714" s="686"/>
      <c r="F714" s="685"/>
    </row>
    <row r="715" spans="2:6">
      <c r="B715" s="685"/>
      <c r="C715" s="685"/>
      <c r="D715" s="685"/>
      <c r="E715" s="686"/>
      <c r="F715" s="685"/>
    </row>
    <row r="716" spans="2:6">
      <c r="B716" s="685"/>
      <c r="C716" s="685"/>
      <c r="D716" s="685"/>
      <c r="E716" s="686"/>
      <c r="F716" s="685"/>
    </row>
    <row r="717" spans="2:6">
      <c r="B717" s="685"/>
      <c r="C717" s="685"/>
      <c r="D717" s="685"/>
      <c r="E717" s="686"/>
      <c r="F717" s="685"/>
    </row>
    <row r="718" spans="2:6">
      <c r="B718" s="685"/>
      <c r="C718" s="685"/>
      <c r="D718" s="685"/>
      <c r="E718" s="686"/>
      <c r="F718" s="685"/>
    </row>
    <row r="719" spans="2:6">
      <c r="B719" s="685"/>
      <c r="C719" s="685"/>
      <c r="D719" s="685"/>
      <c r="E719" s="686"/>
      <c r="F719" s="685"/>
    </row>
    <row r="720" spans="2:6">
      <c r="B720" s="685"/>
      <c r="C720" s="685"/>
      <c r="D720" s="685"/>
      <c r="E720" s="686"/>
      <c r="F720" s="685"/>
    </row>
    <row r="721" spans="2:6">
      <c r="B721" s="685"/>
      <c r="C721" s="685"/>
      <c r="D721" s="685"/>
      <c r="E721" s="686"/>
      <c r="F721" s="685"/>
    </row>
    <row r="722" spans="2:6">
      <c r="B722" s="685"/>
      <c r="C722" s="685"/>
      <c r="D722" s="685"/>
      <c r="E722" s="686"/>
      <c r="F722" s="685"/>
    </row>
    <row r="723" spans="2:6">
      <c r="B723" s="685"/>
      <c r="C723" s="685"/>
      <c r="D723" s="685"/>
      <c r="E723" s="686"/>
      <c r="F723" s="685"/>
    </row>
    <row r="724" spans="2:6">
      <c r="B724" s="685"/>
      <c r="C724" s="685"/>
      <c r="D724" s="685"/>
      <c r="E724" s="686"/>
      <c r="F724" s="685"/>
    </row>
    <row r="725" spans="2:6">
      <c r="B725" s="685"/>
      <c r="C725" s="685"/>
      <c r="D725" s="685"/>
      <c r="E725" s="686"/>
      <c r="F725" s="685"/>
    </row>
    <row r="726" spans="2:6">
      <c r="B726" s="685"/>
      <c r="C726" s="685"/>
      <c r="D726" s="685"/>
      <c r="E726" s="686"/>
      <c r="F726" s="685"/>
    </row>
    <row r="727" spans="2:6">
      <c r="B727" s="685"/>
      <c r="C727" s="685"/>
      <c r="D727" s="685"/>
      <c r="E727" s="686"/>
      <c r="F727" s="685"/>
    </row>
    <row r="728" spans="2:6">
      <c r="B728" s="685"/>
      <c r="C728" s="685"/>
      <c r="D728" s="685"/>
      <c r="E728" s="686"/>
      <c r="F728" s="685"/>
    </row>
    <row r="729" spans="2:6">
      <c r="B729" s="685"/>
      <c r="C729" s="685"/>
      <c r="D729" s="685"/>
      <c r="E729" s="686"/>
      <c r="F729" s="685"/>
    </row>
    <row r="730" spans="2:6">
      <c r="B730" s="685"/>
      <c r="C730" s="685"/>
      <c r="D730" s="685"/>
      <c r="E730" s="686"/>
      <c r="F730" s="685"/>
    </row>
    <row r="731" spans="2:6">
      <c r="B731" s="685"/>
      <c r="C731" s="685"/>
      <c r="D731" s="685"/>
      <c r="E731" s="686"/>
      <c r="F731" s="685"/>
    </row>
    <row r="732" spans="2:6">
      <c r="B732" s="685"/>
      <c r="C732" s="685"/>
      <c r="D732" s="685"/>
      <c r="E732" s="686"/>
      <c r="F732" s="685"/>
    </row>
    <row r="733" spans="2:6">
      <c r="B733" s="685"/>
      <c r="C733" s="685"/>
      <c r="D733" s="685"/>
      <c r="E733" s="686"/>
      <c r="F733" s="685"/>
    </row>
    <row r="734" spans="2:6">
      <c r="B734" s="685"/>
      <c r="C734" s="685"/>
      <c r="D734" s="685"/>
      <c r="E734" s="686"/>
      <c r="F734" s="685"/>
    </row>
    <row r="735" spans="2:6">
      <c r="B735" s="685"/>
      <c r="C735" s="685"/>
      <c r="D735" s="685"/>
      <c r="E735" s="686"/>
      <c r="F735" s="685"/>
    </row>
    <row r="736" spans="2:6">
      <c r="B736" s="685"/>
      <c r="C736" s="685"/>
      <c r="D736" s="685"/>
      <c r="E736" s="686"/>
      <c r="F736" s="685"/>
    </row>
    <row r="737" spans="2:6">
      <c r="B737" s="685"/>
      <c r="C737" s="685"/>
      <c r="D737" s="685"/>
      <c r="E737" s="686"/>
      <c r="F737" s="685"/>
    </row>
    <row r="738" spans="2:6">
      <c r="B738" s="685"/>
      <c r="C738" s="685"/>
      <c r="D738" s="685"/>
      <c r="E738" s="686"/>
      <c r="F738" s="685"/>
    </row>
    <row r="739" spans="2:6">
      <c r="B739" s="685"/>
      <c r="C739" s="685"/>
      <c r="D739" s="685"/>
      <c r="E739" s="686"/>
      <c r="F739" s="685"/>
    </row>
    <row r="740" spans="2:6">
      <c r="B740" s="685"/>
      <c r="C740" s="685"/>
      <c r="D740" s="685"/>
      <c r="E740" s="686"/>
      <c r="F740" s="685"/>
    </row>
    <row r="741" spans="2:6">
      <c r="B741" s="685"/>
      <c r="C741" s="685"/>
      <c r="D741" s="685"/>
      <c r="E741" s="686"/>
      <c r="F741" s="685"/>
    </row>
    <row r="742" spans="2:6">
      <c r="B742" s="685"/>
      <c r="C742" s="685"/>
      <c r="D742" s="685"/>
      <c r="E742" s="686"/>
      <c r="F742" s="685"/>
    </row>
    <row r="743" spans="2:6">
      <c r="B743" s="685"/>
      <c r="C743" s="685"/>
      <c r="D743" s="685"/>
      <c r="E743" s="686"/>
      <c r="F743" s="685"/>
    </row>
    <row r="744" spans="2:6">
      <c r="B744" s="685"/>
      <c r="C744" s="685"/>
      <c r="D744" s="685"/>
      <c r="E744" s="686"/>
      <c r="F744" s="685"/>
    </row>
    <row r="745" spans="2:6">
      <c r="B745" s="685"/>
      <c r="C745" s="685"/>
      <c r="D745" s="685"/>
      <c r="E745" s="686"/>
      <c r="F745" s="685"/>
    </row>
    <row r="746" spans="2:6">
      <c r="B746" s="685"/>
      <c r="C746" s="685"/>
      <c r="D746" s="685"/>
      <c r="E746" s="686"/>
      <c r="F746" s="685"/>
    </row>
    <row r="747" spans="2:6">
      <c r="B747" s="685"/>
      <c r="C747" s="685"/>
      <c r="D747" s="685"/>
      <c r="E747" s="686"/>
      <c r="F747" s="685"/>
    </row>
    <row r="748" spans="2:6">
      <c r="B748" s="685"/>
      <c r="C748" s="685"/>
      <c r="D748" s="685"/>
      <c r="E748" s="686"/>
      <c r="F748" s="685"/>
    </row>
    <row r="749" spans="2:6">
      <c r="B749" s="685"/>
      <c r="C749" s="685"/>
      <c r="D749" s="685"/>
      <c r="E749" s="686"/>
      <c r="F749" s="685"/>
    </row>
    <row r="750" spans="2:6">
      <c r="B750" s="685"/>
      <c r="C750" s="685"/>
      <c r="D750" s="685"/>
      <c r="E750" s="686"/>
      <c r="F750" s="685"/>
    </row>
    <row r="751" spans="2:6">
      <c r="B751" s="685"/>
      <c r="C751" s="685"/>
      <c r="D751" s="685"/>
      <c r="E751" s="686"/>
      <c r="F751" s="685"/>
    </row>
    <row r="752" spans="2:6">
      <c r="B752" s="685"/>
      <c r="C752" s="685"/>
      <c r="D752" s="685"/>
      <c r="E752" s="686"/>
      <c r="F752" s="685"/>
    </row>
    <row r="753" spans="2:6">
      <c r="B753" s="685"/>
      <c r="C753" s="685"/>
      <c r="D753" s="685"/>
      <c r="E753" s="686"/>
      <c r="F753" s="685"/>
    </row>
    <row r="754" spans="2:6">
      <c r="B754" s="685"/>
      <c r="C754" s="685"/>
      <c r="D754" s="685"/>
      <c r="E754" s="686"/>
      <c r="F754" s="685"/>
    </row>
    <row r="755" spans="2:6">
      <c r="B755" s="685"/>
      <c r="C755" s="685"/>
      <c r="D755" s="685"/>
      <c r="E755" s="686"/>
      <c r="F755" s="685"/>
    </row>
    <row r="756" spans="2:6">
      <c r="B756" s="685"/>
      <c r="C756" s="685"/>
      <c r="D756" s="685"/>
      <c r="E756" s="686"/>
      <c r="F756" s="685"/>
    </row>
    <row r="757" spans="2:6">
      <c r="B757" s="685"/>
      <c r="C757" s="685"/>
      <c r="D757" s="685"/>
      <c r="E757" s="686"/>
      <c r="F757" s="685"/>
    </row>
    <row r="758" spans="2:6">
      <c r="B758" s="685"/>
      <c r="C758" s="685"/>
      <c r="D758" s="685"/>
      <c r="E758" s="686"/>
      <c r="F758" s="685"/>
    </row>
    <row r="759" spans="2:6">
      <c r="B759" s="685"/>
      <c r="C759" s="685"/>
      <c r="D759" s="685"/>
      <c r="E759" s="686"/>
      <c r="F759" s="685"/>
    </row>
    <row r="760" spans="2:6">
      <c r="B760" s="685"/>
      <c r="C760" s="685"/>
      <c r="D760" s="685"/>
      <c r="E760" s="686"/>
      <c r="F760" s="685"/>
    </row>
    <row r="761" spans="2:6">
      <c r="B761" s="685"/>
      <c r="C761" s="685"/>
      <c r="D761" s="685"/>
      <c r="E761" s="686"/>
      <c r="F761" s="685"/>
    </row>
    <row r="762" spans="2:6">
      <c r="B762" s="685"/>
      <c r="C762" s="685"/>
      <c r="D762" s="685"/>
      <c r="E762" s="686"/>
      <c r="F762" s="685"/>
    </row>
    <row r="763" spans="2:6">
      <c r="B763" s="685"/>
      <c r="C763" s="685"/>
      <c r="D763" s="685"/>
      <c r="E763" s="686"/>
      <c r="F763" s="685"/>
    </row>
    <row r="764" spans="2:6">
      <c r="B764" s="685"/>
      <c r="C764" s="685"/>
      <c r="D764" s="685"/>
      <c r="E764" s="686"/>
      <c r="F764" s="685"/>
    </row>
    <row r="765" spans="2:6">
      <c r="B765" s="685"/>
      <c r="C765" s="685"/>
      <c r="D765" s="685"/>
      <c r="E765" s="686"/>
      <c r="F765" s="685"/>
    </row>
    <row r="766" spans="2:6">
      <c r="B766" s="685"/>
      <c r="C766" s="685"/>
      <c r="D766" s="685"/>
      <c r="E766" s="686"/>
      <c r="F766" s="685"/>
    </row>
    <row r="767" spans="2:6">
      <c r="B767" s="685"/>
      <c r="C767" s="685"/>
      <c r="D767" s="685"/>
      <c r="E767" s="686"/>
      <c r="F767" s="685"/>
    </row>
    <row r="768" spans="2:6">
      <c r="B768" s="685"/>
      <c r="C768" s="685"/>
      <c r="D768" s="685"/>
      <c r="E768" s="686"/>
      <c r="F768" s="685"/>
    </row>
    <row r="769" spans="2:6">
      <c r="B769" s="685"/>
      <c r="C769" s="685"/>
      <c r="D769" s="685"/>
      <c r="E769" s="686"/>
      <c r="F769" s="685"/>
    </row>
    <row r="770" spans="2:6">
      <c r="B770" s="685"/>
      <c r="C770" s="685"/>
      <c r="D770" s="685"/>
      <c r="E770" s="686"/>
      <c r="F770" s="685"/>
    </row>
    <row r="771" spans="2:6">
      <c r="B771" s="685"/>
      <c r="C771" s="685"/>
      <c r="D771" s="685"/>
      <c r="E771" s="686"/>
      <c r="F771" s="685"/>
    </row>
    <row r="772" spans="2:6">
      <c r="B772" s="685"/>
      <c r="C772" s="685"/>
      <c r="D772" s="685"/>
      <c r="E772" s="686"/>
      <c r="F772" s="685"/>
    </row>
    <row r="773" spans="2:6">
      <c r="B773" s="685"/>
      <c r="C773" s="685"/>
      <c r="D773" s="685"/>
      <c r="E773" s="686"/>
      <c r="F773" s="685"/>
    </row>
    <row r="774" spans="2:6">
      <c r="B774" s="685"/>
      <c r="C774" s="685"/>
      <c r="D774" s="685"/>
      <c r="E774" s="686"/>
      <c r="F774" s="685"/>
    </row>
    <row r="775" spans="2:6">
      <c r="B775" s="685"/>
      <c r="C775" s="685"/>
      <c r="D775" s="685"/>
      <c r="E775" s="686"/>
      <c r="F775" s="685"/>
    </row>
    <row r="776" spans="2:6">
      <c r="B776" s="685"/>
      <c r="C776" s="685"/>
      <c r="D776" s="685"/>
      <c r="E776" s="686"/>
      <c r="F776" s="685"/>
    </row>
    <row r="777" spans="2:6">
      <c r="B777" s="685"/>
      <c r="C777" s="685"/>
      <c r="D777" s="685"/>
      <c r="E777" s="686"/>
      <c r="F777" s="685"/>
    </row>
    <row r="778" spans="2:6">
      <c r="B778" s="685"/>
      <c r="C778" s="685"/>
      <c r="D778" s="685"/>
      <c r="E778" s="686"/>
      <c r="F778" s="685"/>
    </row>
    <row r="779" spans="2:6">
      <c r="B779" s="685"/>
      <c r="C779" s="685"/>
      <c r="D779" s="685"/>
      <c r="E779" s="686"/>
      <c r="F779" s="685"/>
    </row>
    <row r="780" spans="2:6">
      <c r="B780" s="685"/>
      <c r="C780" s="685"/>
      <c r="D780" s="685"/>
      <c r="E780" s="686"/>
      <c r="F780" s="685"/>
    </row>
    <row r="781" spans="2:6">
      <c r="B781" s="685"/>
      <c r="C781" s="685"/>
      <c r="D781" s="685"/>
      <c r="E781" s="686"/>
      <c r="F781" s="685"/>
    </row>
    <row r="782" spans="2:6">
      <c r="B782" s="685"/>
      <c r="C782" s="685"/>
      <c r="D782" s="685"/>
      <c r="E782" s="686"/>
      <c r="F782" s="685"/>
    </row>
    <row r="783" spans="2:6">
      <c r="B783" s="685"/>
      <c r="C783" s="685"/>
      <c r="D783" s="685"/>
      <c r="E783" s="686"/>
      <c r="F783" s="685"/>
    </row>
    <row r="784" spans="2:6">
      <c r="B784" s="685"/>
      <c r="C784" s="685"/>
      <c r="D784" s="685"/>
      <c r="E784" s="686"/>
      <c r="F784" s="685"/>
    </row>
    <row r="785" spans="2:6">
      <c r="B785" s="685"/>
      <c r="C785" s="685"/>
      <c r="D785" s="685"/>
      <c r="E785" s="686"/>
      <c r="F785" s="685"/>
    </row>
    <row r="786" spans="2:6">
      <c r="B786" s="685"/>
      <c r="C786" s="685"/>
      <c r="D786" s="685"/>
      <c r="E786" s="686"/>
      <c r="F786" s="685"/>
    </row>
    <row r="787" spans="2:6">
      <c r="B787" s="685"/>
      <c r="C787" s="685"/>
      <c r="D787" s="685"/>
      <c r="E787" s="686"/>
      <c r="F787" s="685"/>
    </row>
    <row r="788" spans="2:6">
      <c r="B788" s="685"/>
      <c r="C788" s="685"/>
      <c r="D788" s="685"/>
      <c r="E788" s="686"/>
      <c r="F788" s="685"/>
    </row>
    <row r="789" spans="2:6">
      <c r="B789" s="685"/>
      <c r="C789" s="685"/>
      <c r="D789" s="685"/>
      <c r="E789" s="686"/>
      <c r="F789" s="685"/>
    </row>
    <row r="790" spans="2:6">
      <c r="B790" s="685"/>
      <c r="C790" s="685"/>
      <c r="D790" s="685"/>
      <c r="E790" s="686"/>
      <c r="F790" s="685"/>
    </row>
    <row r="791" spans="2:6">
      <c r="B791" s="685"/>
      <c r="C791" s="685"/>
      <c r="D791" s="685"/>
      <c r="E791" s="686"/>
      <c r="F791" s="685"/>
    </row>
    <row r="792" spans="2:6">
      <c r="B792" s="685"/>
      <c r="C792" s="685"/>
      <c r="D792" s="685"/>
      <c r="E792" s="686"/>
      <c r="F792" s="685"/>
    </row>
    <row r="793" spans="2:6">
      <c r="B793" s="685"/>
      <c r="C793" s="685"/>
      <c r="D793" s="685"/>
      <c r="E793" s="686"/>
      <c r="F793" s="685"/>
    </row>
    <row r="794" spans="2:6">
      <c r="B794" s="685"/>
      <c r="C794" s="685"/>
      <c r="D794" s="685"/>
      <c r="E794" s="686"/>
      <c r="F794" s="685"/>
    </row>
    <row r="795" spans="2:6">
      <c r="B795" s="685"/>
      <c r="C795" s="685"/>
      <c r="D795" s="685"/>
      <c r="E795" s="686"/>
      <c r="F795" s="685"/>
    </row>
    <row r="796" spans="2:6">
      <c r="B796" s="685"/>
      <c r="C796" s="685"/>
      <c r="D796" s="685"/>
      <c r="E796" s="686"/>
      <c r="F796" s="685"/>
    </row>
    <row r="797" spans="2:6">
      <c r="B797" s="685"/>
      <c r="C797" s="685"/>
      <c r="D797" s="685"/>
      <c r="E797" s="686"/>
      <c r="F797" s="685"/>
    </row>
    <row r="798" spans="2:6">
      <c r="B798" s="685"/>
      <c r="C798" s="685"/>
      <c r="D798" s="685"/>
      <c r="E798" s="686"/>
      <c r="F798" s="685"/>
    </row>
    <row r="799" spans="2:6">
      <c r="B799" s="685"/>
      <c r="C799" s="685"/>
      <c r="D799" s="685"/>
      <c r="E799" s="686"/>
      <c r="F799" s="685"/>
    </row>
    <row r="800" spans="2:6">
      <c r="B800" s="685"/>
      <c r="C800" s="685"/>
      <c r="D800" s="685"/>
      <c r="E800" s="686"/>
      <c r="F800" s="685"/>
    </row>
    <row r="801" spans="2:6">
      <c r="B801" s="685"/>
      <c r="C801" s="685"/>
      <c r="D801" s="685"/>
      <c r="E801" s="686"/>
      <c r="F801" s="685"/>
    </row>
    <row r="802" spans="2:6">
      <c r="B802" s="685"/>
      <c r="C802" s="685"/>
      <c r="D802" s="685"/>
      <c r="E802" s="686"/>
      <c r="F802" s="685"/>
    </row>
    <row r="803" spans="2:6">
      <c r="B803" s="685"/>
      <c r="C803" s="685"/>
      <c r="D803" s="685"/>
      <c r="E803" s="686"/>
      <c r="F803" s="685"/>
    </row>
    <row r="804" spans="2:6">
      <c r="B804" s="685"/>
      <c r="C804" s="685"/>
      <c r="D804" s="685"/>
      <c r="E804" s="686"/>
      <c r="F804" s="685"/>
    </row>
    <row r="805" spans="2:6">
      <c r="B805" s="685"/>
      <c r="C805" s="685"/>
      <c r="D805" s="685"/>
      <c r="E805" s="686"/>
      <c r="F805" s="685"/>
    </row>
    <row r="806" spans="2:6">
      <c r="B806" s="685"/>
      <c r="C806" s="685"/>
      <c r="D806" s="685"/>
      <c r="E806" s="686"/>
      <c r="F806" s="685"/>
    </row>
    <row r="807" spans="2:6">
      <c r="B807" s="685"/>
      <c r="C807" s="685"/>
      <c r="D807" s="685"/>
      <c r="E807" s="686"/>
      <c r="F807" s="685"/>
    </row>
    <row r="808" spans="2:6">
      <c r="B808" s="685"/>
      <c r="C808" s="685"/>
      <c r="D808" s="685"/>
      <c r="E808" s="686"/>
      <c r="F808" s="685"/>
    </row>
    <row r="809" spans="2:6">
      <c r="B809" s="685"/>
      <c r="C809" s="685"/>
      <c r="D809" s="685"/>
      <c r="E809" s="686"/>
      <c r="F809" s="685"/>
    </row>
    <row r="810" spans="2:6">
      <c r="B810" s="685"/>
      <c r="C810" s="685"/>
      <c r="D810" s="685"/>
      <c r="E810" s="686"/>
      <c r="F810" s="685"/>
    </row>
    <row r="811" spans="2:6">
      <c r="B811" s="685"/>
      <c r="C811" s="685"/>
      <c r="D811" s="685"/>
      <c r="E811" s="686"/>
      <c r="F811" s="685"/>
    </row>
    <row r="812" spans="2:6">
      <c r="B812" s="685"/>
      <c r="C812" s="685"/>
      <c r="D812" s="685"/>
      <c r="E812" s="686"/>
      <c r="F812" s="685"/>
    </row>
    <row r="813" spans="2:6">
      <c r="B813" s="685"/>
      <c r="C813" s="685"/>
      <c r="D813" s="685"/>
      <c r="E813" s="686"/>
      <c r="F813" s="685"/>
    </row>
    <row r="814" spans="2:6">
      <c r="B814" s="685"/>
      <c r="C814" s="685"/>
      <c r="D814" s="685"/>
      <c r="E814" s="686"/>
      <c r="F814" s="685"/>
    </row>
    <row r="815" spans="2:6">
      <c r="B815" s="685"/>
      <c r="C815" s="685"/>
      <c r="D815" s="685"/>
      <c r="E815" s="686"/>
      <c r="F815" s="685"/>
    </row>
    <row r="816" spans="2:6">
      <c r="B816" s="685"/>
      <c r="C816" s="685"/>
      <c r="D816" s="685"/>
      <c r="E816" s="686"/>
      <c r="F816" s="685"/>
    </row>
    <row r="817" spans="2:6">
      <c r="B817" s="685"/>
      <c r="C817" s="685"/>
      <c r="D817" s="685"/>
      <c r="E817" s="686"/>
      <c r="F817" s="685"/>
    </row>
    <row r="818" spans="2:6">
      <c r="B818" s="685"/>
      <c r="C818" s="685"/>
      <c r="D818" s="685"/>
      <c r="E818" s="686"/>
      <c r="F818" s="685"/>
    </row>
    <row r="819" spans="2:6">
      <c r="B819" s="685"/>
      <c r="C819" s="685"/>
      <c r="D819" s="685"/>
      <c r="E819" s="686"/>
      <c r="F819" s="685"/>
    </row>
    <row r="820" spans="2:6">
      <c r="B820" s="685"/>
      <c r="C820" s="685"/>
      <c r="D820" s="685"/>
      <c r="E820" s="686"/>
      <c r="F820" s="685"/>
    </row>
    <row r="821" spans="2:6">
      <c r="B821" s="685"/>
      <c r="C821" s="685"/>
      <c r="D821" s="685"/>
      <c r="E821" s="686"/>
      <c r="F821" s="685"/>
    </row>
    <row r="822" spans="2:6">
      <c r="B822" s="685"/>
      <c r="C822" s="685"/>
      <c r="D822" s="685"/>
      <c r="E822" s="686"/>
      <c r="F822" s="685"/>
    </row>
    <row r="823" spans="2:6">
      <c r="B823" s="685"/>
      <c r="C823" s="685"/>
      <c r="D823" s="685"/>
      <c r="E823" s="686"/>
      <c r="F823" s="685"/>
    </row>
    <row r="824" spans="2:6">
      <c r="B824" s="685"/>
      <c r="C824" s="685"/>
      <c r="D824" s="685"/>
      <c r="E824" s="686"/>
      <c r="F824" s="685"/>
    </row>
    <row r="825" spans="2:6">
      <c r="B825" s="685"/>
      <c r="C825" s="685"/>
      <c r="D825" s="685"/>
      <c r="E825" s="686"/>
      <c r="F825" s="685"/>
    </row>
    <row r="826" spans="2:6">
      <c r="B826" s="685"/>
      <c r="C826" s="685"/>
      <c r="D826" s="685"/>
      <c r="E826" s="686"/>
      <c r="F826" s="685"/>
    </row>
    <row r="827" spans="2:6">
      <c r="B827" s="685"/>
      <c r="C827" s="685"/>
      <c r="D827" s="685"/>
      <c r="E827" s="686"/>
      <c r="F827" s="685"/>
    </row>
    <row r="828" spans="2:6">
      <c r="B828" s="685"/>
      <c r="C828" s="685"/>
      <c r="D828" s="685"/>
      <c r="E828" s="686"/>
      <c r="F828" s="685"/>
    </row>
    <row r="829" spans="2:6">
      <c r="B829" s="685"/>
      <c r="C829" s="685"/>
      <c r="D829" s="685"/>
      <c r="E829" s="686"/>
      <c r="F829" s="685"/>
    </row>
    <row r="830" spans="2:6">
      <c r="B830" s="685"/>
      <c r="C830" s="685"/>
      <c r="D830" s="685"/>
      <c r="E830" s="686"/>
      <c r="F830" s="685"/>
    </row>
    <row r="831" spans="2:6">
      <c r="B831" s="685"/>
      <c r="C831" s="685"/>
      <c r="D831" s="685"/>
      <c r="E831" s="686"/>
      <c r="F831" s="685"/>
    </row>
    <row r="832" spans="2:6">
      <c r="B832" s="685"/>
      <c r="C832" s="685"/>
      <c r="D832" s="685"/>
      <c r="E832" s="686"/>
      <c r="F832" s="685"/>
    </row>
    <row r="833" spans="2:6">
      <c r="B833" s="685"/>
      <c r="C833" s="685"/>
      <c r="D833" s="685"/>
      <c r="E833" s="686"/>
      <c r="F833" s="685"/>
    </row>
    <row r="834" spans="2:6">
      <c r="B834" s="685"/>
      <c r="C834" s="685"/>
      <c r="D834" s="685"/>
      <c r="E834" s="686"/>
      <c r="F834" s="685"/>
    </row>
    <row r="835" spans="2:6">
      <c r="B835" s="685"/>
      <c r="C835" s="685"/>
      <c r="D835" s="685"/>
      <c r="E835" s="686"/>
      <c r="F835" s="685"/>
    </row>
    <row r="836" spans="2:6">
      <c r="B836" s="685"/>
      <c r="C836" s="685"/>
      <c r="D836" s="685"/>
      <c r="E836" s="686"/>
      <c r="F836" s="685"/>
    </row>
    <row r="837" spans="2:6">
      <c r="B837" s="685"/>
      <c r="C837" s="685"/>
      <c r="D837" s="685"/>
      <c r="E837" s="686"/>
      <c r="F837" s="685"/>
    </row>
    <row r="838" spans="2:6">
      <c r="B838" s="685"/>
      <c r="C838" s="685"/>
      <c r="D838" s="685"/>
      <c r="E838" s="686"/>
      <c r="F838" s="685"/>
    </row>
    <row r="839" spans="2:6">
      <c r="B839" s="685"/>
      <c r="C839" s="685"/>
      <c r="D839" s="685"/>
      <c r="E839" s="686"/>
      <c r="F839" s="685"/>
    </row>
    <row r="840" spans="2:6">
      <c r="B840" s="685"/>
      <c r="C840" s="685"/>
      <c r="D840" s="685"/>
      <c r="E840" s="686"/>
      <c r="F840" s="685"/>
    </row>
    <row r="841" spans="2:6">
      <c r="B841" s="685"/>
      <c r="C841" s="685"/>
      <c r="D841" s="685"/>
      <c r="E841" s="686"/>
      <c r="F841" s="685"/>
    </row>
    <row r="842" spans="2:6">
      <c r="B842" s="685"/>
      <c r="C842" s="685"/>
      <c r="D842" s="685"/>
      <c r="E842" s="686"/>
      <c r="F842" s="685"/>
    </row>
    <row r="843" spans="2:6">
      <c r="B843" s="685"/>
      <c r="C843" s="685"/>
      <c r="D843" s="685"/>
      <c r="E843" s="686"/>
      <c r="F843" s="685"/>
    </row>
    <row r="844" spans="2:6">
      <c r="B844" s="685"/>
      <c r="C844" s="685"/>
      <c r="D844" s="685"/>
      <c r="E844" s="686"/>
      <c r="F844" s="685"/>
    </row>
    <row r="845" spans="2:6">
      <c r="B845" s="685"/>
      <c r="C845" s="685"/>
      <c r="D845" s="685"/>
      <c r="E845" s="686"/>
      <c r="F845" s="685"/>
    </row>
    <row r="846" spans="2:6">
      <c r="B846" s="685"/>
      <c r="C846" s="685"/>
      <c r="D846" s="685"/>
      <c r="E846" s="686"/>
      <c r="F846" s="685"/>
    </row>
    <row r="847" spans="2:6">
      <c r="B847" s="685"/>
      <c r="C847" s="685"/>
      <c r="D847" s="685"/>
      <c r="E847" s="686"/>
      <c r="F847" s="685"/>
    </row>
    <row r="848" spans="2:6">
      <c r="B848" s="685"/>
      <c r="C848" s="685"/>
      <c r="D848" s="685"/>
      <c r="E848" s="686"/>
      <c r="F848" s="685"/>
    </row>
    <row r="849" spans="2:6">
      <c r="B849" s="685"/>
      <c r="C849" s="685"/>
      <c r="D849" s="685"/>
      <c r="E849" s="686"/>
      <c r="F849" s="685"/>
    </row>
    <row r="850" spans="2:6">
      <c r="B850" s="685"/>
      <c r="C850" s="685"/>
      <c r="D850" s="685"/>
      <c r="E850" s="686"/>
      <c r="F850" s="685"/>
    </row>
    <row r="851" spans="2:6">
      <c r="B851" s="685"/>
      <c r="C851" s="685"/>
      <c r="D851" s="685"/>
      <c r="E851" s="686"/>
      <c r="F851" s="685"/>
    </row>
    <row r="852" spans="2:6">
      <c r="B852" s="685"/>
      <c r="C852" s="685"/>
      <c r="D852" s="685"/>
      <c r="E852" s="686"/>
      <c r="F852" s="685"/>
    </row>
    <row r="853" spans="2:6">
      <c r="B853" s="685"/>
      <c r="C853" s="685"/>
      <c r="D853" s="685"/>
      <c r="E853" s="686"/>
      <c r="F853" s="685"/>
    </row>
    <row r="854" spans="2:6">
      <c r="B854" s="685"/>
      <c r="C854" s="685"/>
      <c r="D854" s="685"/>
      <c r="E854" s="686"/>
      <c r="F854" s="685"/>
    </row>
    <row r="855" spans="2:6">
      <c r="B855" s="685"/>
      <c r="C855" s="685"/>
      <c r="D855" s="685"/>
      <c r="E855" s="686"/>
      <c r="F855" s="685"/>
    </row>
    <row r="856" spans="2:6">
      <c r="B856" s="685"/>
      <c r="C856" s="685"/>
      <c r="D856" s="685"/>
      <c r="E856" s="686"/>
      <c r="F856" s="685"/>
    </row>
    <row r="857" spans="2:6">
      <c r="B857" s="685"/>
      <c r="C857" s="685"/>
      <c r="D857" s="685"/>
      <c r="E857" s="686"/>
      <c r="F857" s="685"/>
    </row>
    <row r="858" spans="2:6">
      <c r="B858" s="685"/>
      <c r="C858" s="685"/>
      <c r="D858" s="685"/>
      <c r="E858" s="686"/>
      <c r="F858" s="685"/>
    </row>
    <row r="859" spans="2:6">
      <c r="B859" s="685"/>
      <c r="C859" s="685"/>
      <c r="D859" s="685"/>
      <c r="E859" s="686"/>
      <c r="F859" s="685"/>
    </row>
    <row r="860" spans="2:6">
      <c r="B860" s="685"/>
      <c r="C860" s="685"/>
      <c r="D860" s="685"/>
      <c r="E860" s="686"/>
      <c r="F860" s="685"/>
    </row>
    <row r="861" spans="2:6">
      <c r="B861" s="685"/>
      <c r="C861" s="685"/>
      <c r="D861" s="685"/>
      <c r="E861" s="686"/>
      <c r="F861" s="685"/>
    </row>
    <row r="862" spans="2:6">
      <c r="B862" s="685"/>
      <c r="C862" s="685"/>
      <c r="D862" s="685"/>
      <c r="E862" s="686"/>
      <c r="F862" s="685"/>
    </row>
    <row r="863" spans="2:6">
      <c r="B863" s="685"/>
      <c r="C863" s="685"/>
      <c r="D863" s="685"/>
      <c r="E863" s="686"/>
      <c r="F863" s="685"/>
    </row>
    <row r="864" spans="2:6">
      <c r="B864" s="685"/>
      <c r="C864" s="685"/>
      <c r="D864" s="685"/>
      <c r="E864" s="686"/>
      <c r="F864" s="685"/>
    </row>
    <row r="865" spans="2:6">
      <c r="B865" s="685"/>
      <c r="C865" s="685"/>
      <c r="D865" s="685"/>
      <c r="E865" s="686"/>
      <c r="F865" s="685"/>
    </row>
    <row r="866" spans="2:6">
      <c r="B866" s="685"/>
      <c r="C866" s="685"/>
      <c r="D866" s="685"/>
      <c r="E866" s="686"/>
      <c r="F866" s="685"/>
    </row>
    <row r="867" spans="2:6">
      <c r="B867" s="685"/>
      <c r="C867" s="685"/>
      <c r="D867" s="685"/>
      <c r="E867" s="686"/>
      <c r="F867" s="685"/>
    </row>
    <row r="868" spans="2:6">
      <c r="B868" s="685"/>
      <c r="C868" s="685"/>
      <c r="D868" s="685"/>
      <c r="E868" s="686"/>
      <c r="F868" s="685"/>
    </row>
    <row r="869" spans="2:6">
      <c r="B869" s="685"/>
      <c r="C869" s="685"/>
      <c r="D869" s="685"/>
      <c r="E869" s="686"/>
      <c r="F869" s="685"/>
    </row>
    <row r="870" spans="2:6">
      <c r="B870" s="685"/>
      <c r="C870" s="685"/>
      <c r="D870" s="685"/>
      <c r="E870" s="686"/>
      <c r="F870" s="685"/>
    </row>
    <row r="871" spans="2:6">
      <c r="B871" s="685"/>
      <c r="C871" s="685"/>
      <c r="D871" s="685"/>
      <c r="E871" s="686"/>
      <c r="F871" s="685"/>
    </row>
    <row r="872" spans="2:6">
      <c r="B872" s="685"/>
      <c r="C872" s="685"/>
      <c r="D872" s="685"/>
      <c r="E872" s="686"/>
      <c r="F872" s="685"/>
    </row>
    <row r="873" spans="2:6">
      <c r="B873" s="685"/>
      <c r="C873" s="685"/>
      <c r="D873" s="685"/>
      <c r="E873" s="686"/>
      <c r="F873" s="685"/>
    </row>
    <row r="874" spans="2:6">
      <c r="B874" s="685"/>
      <c r="C874" s="685"/>
      <c r="D874" s="685"/>
      <c r="E874" s="686"/>
      <c r="F874" s="685"/>
    </row>
    <row r="875" spans="2:6">
      <c r="B875" s="685"/>
      <c r="C875" s="685"/>
      <c r="D875" s="685"/>
      <c r="E875" s="686"/>
      <c r="F875" s="685"/>
    </row>
    <row r="876" spans="2:6">
      <c r="B876" s="685"/>
      <c r="C876" s="685"/>
      <c r="D876" s="685"/>
      <c r="E876" s="686"/>
      <c r="F876" s="685"/>
    </row>
    <row r="877" spans="2:6">
      <c r="B877" s="685"/>
      <c r="C877" s="685"/>
      <c r="D877" s="685"/>
      <c r="E877" s="686"/>
      <c r="F877" s="685"/>
    </row>
    <row r="878" spans="2:6">
      <c r="B878" s="685"/>
      <c r="C878" s="685"/>
      <c r="D878" s="685"/>
      <c r="E878" s="686"/>
      <c r="F878" s="685"/>
    </row>
    <row r="879" spans="2:6">
      <c r="B879" s="685"/>
      <c r="C879" s="685"/>
      <c r="D879" s="685"/>
      <c r="E879" s="686"/>
      <c r="F879" s="685"/>
    </row>
    <row r="880" spans="2:6">
      <c r="B880" s="685"/>
      <c r="C880" s="685"/>
      <c r="D880" s="685"/>
      <c r="E880" s="686"/>
      <c r="F880" s="685"/>
    </row>
    <row r="881" spans="2:6">
      <c r="B881" s="685"/>
      <c r="C881" s="685"/>
      <c r="D881" s="685"/>
      <c r="E881" s="686"/>
      <c r="F881" s="685"/>
    </row>
    <row r="882" spans="2:6">
      <c r="B882" s="685"/>
      <c r="C882" s="685"/>
      <c r="D882" s="685"/>
      <c r="E882" s="686"/>
      <c r="F882" s="685"/>
    </row>
    <row r="883" spans="2:6">
      <c r="B883" s="685"/>
      <c r="C883" s="685"/>
      <c r="D883" s="685"/>
      <c r="E883" s="686"/>
      <c r="F883" s="685"/>
    </row>
    <row r="884" spans="2:6">
      <c r="B884" s="685"/>
      <c r="C884" s="685"/>
      <c r="D884" s="685"/>
      <c r="E884" s="686"/>
      <c r="F884" s="685"/>
    </row>
    <row r="885" spans="2:6">
      <c r="B885" s="685"/>
      <c r="C885" s="685"/>
      <c r="D885" s="685"/>
      <c r="E885" s="686"/>
      <c r="F885" s="685"/>
    </row>
    <row r="886" spans="2:6">
      <c r="B886" s="685"/>
      <c r="C886" s="685"/>
      <c r="D886" s="685"/>
      <c r="E886" s="686"/>
      <c r="F886" s="685"/>
    </row>
    <row r="887" spans="2:6">
      <c r="B887" s="685"/>
      <c r="C887" s="685"/>
      <c r="D887" s="685"/>
      <c r="E887" s="686"/>
      <c r="F887" s="685"/>
    </row>
    <row r="888" spans="2:6">
      <c r="B888" s="685"/>
      <c r="C888" s="685"/>
      <c r="D888" s="685"/>
      <c r="E888" s="686"/>
      <c r="F888" s="685"/>
    </row>
    <row r="889" spans="2:6">
      <c r="B889" s="685"/>
      <c r="C889" s="685"/>
      <c r="D889" s="685"/>
      <c r="E889" s="686"/>
      <c r="F889" s="685"/>
    </row>
    <row r="890" spans="2:6">
      <c r="B890" s="685"/>
      <c r="C890" s="685"/>
      <c r="D890" s="685"/>
      <c r="E890" s="686"/>
      <c r="F890" s="685"/>
    </row>
    <row r="891" spans="2:6">
      <c r="B891" s="685"/>
      <c r="C891" s="685"/>
      <c r="D891" s="685"/>
      <c r="E891" s="686"/>
      <c r="F891" s="685"/>
    </row>
    <row r="892" spans="2:6">
      <c r="B892" s="685"/>
      <c r="C892" s="685"/>
      <c r="D892" s="685"/>
      <c r="E892" s="686"/>
      <c r="F892" s="685"/>
    </row>
    <row r="893" spans="2:6">
      <c r="B893" s="685"/>
      <c r="C893" s="685"/>
      <c r="D893" s="685"/>
      <c r="E893" s="686"/>
      <c r="F893" s="685"/>
    </row>
    <row r="894" spans="2:6">
      <c r="B894" s="685"/>
      <c r="C894" s="685"/>
      <c r="D894" s="685"/>
      <c r="E894" s="686"/>
      <c r="F894" s="685"/>
    </row>
    <row r="895" spans="2:6">
      <c r="B895" s="685"/>
      <c r="C895" s="685"/>
      <c r="D895" s="685"/>
      <c r="E895" s="686"/>
      <c r="F895" s="685"/>
    </row>
    <row r="896" spans="2:6">
      <c r="B896" s="685"/>
      <c r="C896" s="685"/>
      <c r="D896" s="685"/>
      <c r="E896" s="686"/>
      <c r="F896" s="685"/>
    </row>
    <row r="897" spans="2:6">
      <c r="B897" s="685"/>
      <c r="C897" s="685"/>
      <c r="D897" s="685"/>
      <c r="E897" s="686"/>
      <c r="F897" s="685"/>
    </row>
    <row r="898" spans="2:6">
      <c r="B898" s="685"/>
      <c r="C898" s="685"/>
      <c r="D898" s="685"/>
      <c r="E898" s="686"/>
      <c r="F898" s="685"/>
    </row>
    <row r="899" spans="2:6">
      <c r="B899" s="685"/>
      <c r="C899" s="685"/>
      <c r="D899" s="685"/>
      <c r="E899" s="686"/>
      <c r="F899" s="685"/>
    </row>
    <row r="900" spans="2:6">
      <c r="B900" s="685"/>
      <c r="C900" s="685"/>
      <c r="D900" s="685"/>
      <c r="E900" s="686"/>
      <c r="F900" s="685"/>
    </row>
    <row r="901" spans="2:6">
      <c r="B901" s="685"/>
      <c r="C901" s="685"/>
      <c r="D901" s="685"/>
      <c r="E901" s="686"/>
      <c r="F901" s="685"/>
    </row>
    <row r="902" spans="2:6">
      <c r="B902" s="685"/>
      <c r="C902" s="685"/>
      <c r="D902" s="685"/>
      <c r="E902" s="686"/>
      <c r="F902" s="685"/>
    </row>
    <row r="903" spans="2:6">
      <c r="B903" s="685"/>
      <c r="C903" s="685"/>
      <c r="D903" s="685"/>
      <c r="E903" s="686"/>
      <c r="F903" s="685"/>
    </row>
    <row r="904" spans="2:6">
      <c r="B904" s="685"/>
      <c r="C904" s="685"/>
      <c r="D904" s="685"/>
      <c r="E904" s="686"/>
      <c r="F904" s="685"/>
    </row>
    <row r="905" spans="2:6">
      <c r="B905" s="685"/>
      <c r="C905" s="685"/>
      <c r="D905" s="685"/>
      <c r="E905" s="686"/>
      <c r="F905" s="685"/>
    </row>
    <row r="906" spans="2:6">
      <c r="B906" s="685"/>
      <c r="C906" s="685"/>
      <c r="D906" s="685"/>
      <c r="E906" s="686"/>
      <c r="F906" s="685"/>
    </row>
    <row r="907" spans="2:6">
      <c r="B907" s="685"/>
      <c r="C907" s="685"/>
      <c r="D907" s="685"/>
      <c r="E907" s="686"/>
      <c r="F907" s="685"/>
    </row>
    <row r="908" spans="2:6">
      <c r="B908" s="685"/>
      <c r="C908" s="685"/>
      <c r="D908" s="685"/>
      <c r="E908" s="686"/>
      <c r="F908" s="685"/>
    </row>
    <row r="909" spans="2:6">
      <c r="B909" s="685"/>
      <c r="C909" s="685"/>
      <c r="D909" s="685"/>
      <c r="E909" s="686"/>
      <c r="F909" s="685"/>
    </row>
    <row r="910" spans="2:6">
      <c r="B910" s="685"/>
      <c r="C910" s="685"/>
      <c r="D910" s="685"/>
      <c r="E910" s="686"/>
      <c r="F910" s="685"/>
    </row>
    <row r="911" spans="2:6">
      <c r="B911" s="685"/>
      <c r="C911" s="685"/>
      <c r="D911" s="685"/>
      <c r="E911" s="686"/>
      <c r="F911" s="685"/>
    </row>
    <row r="912" spans="2:6">
      <c r="B912" s="685"/>
      <c r="C912" s="685"/>
      <c r="D912" s="685"/>
      <c r="E912" s="686"/>
      <c r="F912" s="685"/>
    </row>
    <row r="913" spans="2:6">
      <c r="B913" s="685"/>
      <c r="C913" s="685"/>
      <c r="D913" s="685"/>
      <c r="E913" s="686"/>
      <c r="F913" s="685"/>
    </row>
    <row r="914" spans="2:6">
      <c r="B914" s="685"/>
      <c r="C914" s="685"/>
      <c r="D914" s="685"/>
      <c r="E914" s="686"/>
      <c r="F914" s="685"/>
    </row>
    <row r="915" spans="2:6">
      <c r="B915" s="685"/>
      <c r="C915" s="685"/>
      <c r="D915" s="685"/>
      <c r="E915" s="686"/>
      <c r="F915" s="685"/>
    </row>
    <row r="916" spans="2:6">
      <c r="B916" s="685"/>
      <c r="C916" s="685"/>
      <c r="D916" s="685"/>
      <c r="E916" s="686"/>
      <c r="F916" s="685"/>
    </row>
    <row r="917" spans="2:6">
      <c r="B917" s="685"/>
      <c r="C917" s="685"/>
      <c r="D917" s="685"/>
      <c r="E917" s="686"/>
      <c r="F917" s="685"/>
    </row>
    <row r="918" spans="2:6">
      <c r="B918" s="685"/>
      <c r="C918" s="685"/>
      <c r="D918" s="685"/>
      <c r="E918" s="686"/>
      <c r="F918" s="685"/>
    </row>
    <row r="919" spans="2:6">
      <c r="B919" s="685"/>
      <c r="C919" s="685"/>
      <c r="D919" s="685"/>
      <c r="E919" s="686"/>
      <c r="F919" s="685"/>
    </row>
    <row r="920" spans="2:6">
      <c r="B920" s="685"/>
      <c r="C920" s="685"/>
      <c r="D920" s="685"/>
      <c r="E920" s="686"/>
      <c r="F920" s="685"/>
    </row>
    <row r="921" spans="2:6">
      <c r="B921" s="685"/>
      <c r="C921" s="685"/>
      <c r="D921" s="685"/>
      <c r="E921" s="686"/>
      <c r="F921" s="685"/>
    </row>
    <row r="922" spans="2:6">
      <c r="B922" s="685"/>
      <c r="C922" s="685"/>
      <c r="D922" s="685"/>
      <c r="E922" s="686"/>
      <c r="F922" s="685"/>
    </row>
    <row r="923" spans="2:6">
      <c r="B923" s="685"/>
      <c r="C923" s="685"/>
      <c r="D923" s="685"/>
      <c r="E923" s="686"/>
      <c r="F923" s="685"/>
    </row>
    <row r="924" spans="2:6">
      <c r="B924" s="685"/>
      <c r="C924" s="685"/>
      <c r="D924" s="685"/>
      <c r="E924" s="686"/>
      <c r="F924" s="685"/>
    </row>
    <row r="925" spans="2:6">
      <c r="B925" s="685"/>
      <c r="C925" s="685"/>
      <c r="D925" s="685"/>
      <c r="E925" s="686"/>
      <c r="F925" s="685"/>
    </row>
    <row r="926" spans="2:6">
      <c r="B926" s="685"/>
      <c r="C926" s="685"/>
      <c r="D926" s="685"/>
      <c r="E926" s="686"/>
      <c r="F926" s="685"/>
    </row>
    <row r="927" spans="2:6">
      <c r="B927" s="685"/>
      <c r="C927" s="685"/>
      <c r="D927" s="685"/>
      <c r="E927" s="686"/>
      <c r="F927" s="685"/>
    </row>
    <row r="928" spans="2:6">
      <c r="B928" s="685"/>
      <c r="C928" s="685"/>
      <c r="D928" s="685"/>
      <c r="E928" s="686"/>
      <c r="F928" s="685"/>
    </row>
    <row r="929" spans="2:6">
      <c r="B929" s="685"/>
      <c r="C929" s="685"/>
      <c r="D929" s="685"/>
      <c r="E929" s="686"/>
      <c r="F929" s="685"/>
    </row>
    <row r="930" spans="2:6">
      <c r="B930" s="685"/>
      <c r="C930" s="685"/>
      <c r="D930" s="685"/>
      <c r="E930" s="686"/>
      <c r="F930" s="685"/>
    </row>
    <row r="931" spans="2:6">
      <c r="B931" s="685"/>
      <c r="C931" s="685"/>
      <c r="D931" s="685"/>
      <c r="E931" s="686"/>
      <c r="F931" s="685"/>
    </row>
    <row r="932" spans="2:6">
      <c r="B932" s="685"/>
      <c r="C932" s="685"/>
      <c r="D932" s="685"/>
      <c r="E932" s="686"/>
      <c r="F932" s="685"/>
    </row>
    <row r="933" spans="2:6">
      <c r="B933" s="685"/>
      <c r="C933" s="685"/>
      <c r="D933" s="685"/>
      <c r="E933" s="686"/>
      <c r="F933" s="685"/>
    </row>
    <row r="934" spans="2:6">
      <c r="B934" s="685"/>
      <c r="C934" s="685"/>
      <c r="D934" s="685"/>
      <c r="E934" s="686"/>
      <c r="F934" s="685"/>
    </row>
    <row r="935" spans="2:6">
      <c r="B935" s="685"/>
      <c r="C935" s="685"/>
      <c r="D935" s="685"/>
      <c r="E935" s="686"/>
      <c r="F935" s="685"/>
    </row>
    <row r="936" spans="2:6">
      <c r="B936" s="685"/>
      <c r="C936" s="685"/>
      <c r="D936" s="685"/>
      <c r="E936" s="686"/>
      <c r="F936" s="685"/>
    </row>
    <row r="937" spans="2:6">
      <c r="B937" s="685"/>
      <c r="C937" s="685"/>
      <c r="D937" s="685"/>
      <c r="E937" s="686"/>
      <c r="F937" s="685"/>
    </row>
    <row r="938" spans="2:6">
      <c r="B938" s="685"/>
      <c r="C938" s="685"/>
      <c r="D938" s="685"/>
      <c r="E938" s="686"/>
      <c r="F938" s="685"/>
    </row>
    <row r="939" spans="2:6">
      <c r="B939" s="685"/>
      <c r="C939" s="685"/>
      <c r="D939" s="685"/>
      <c r="E939" s="686"/>
      <c r="F939" s="685"/>
    </row>
    <row r="940" spans="2:6">
      <c r="B940" s="685"/>
      <c r="C940" s="685"/>
      <c r="D940" s="685"/>
      <c r="E940" s="686"/>
      <c r="F940" s="685"/>
    </row>
    <row r="941" spans="2:6">
      <c r="B941" s="685"/>
      <c r="C941" s="685"/>
      <c r="D941" s="685"/>
      <c r="E941" s="686"/>
      <c r="F941" s="685"/>
    </row>
    <row r="942" spans="2:6">
      <c r="B942" s="685"/>
      <c r="C942" s="685"/>
      <c r="D942" s="685"/>
      <c r="E942" s="686"/>
      <c r="F942" s="685"/>
    </row>
    <row r="943" spans="2:6">
      <c r="B943" s="685"/>
      <c r="C943" s="685"/>
      <c r="D943" s="685"/>
      <c r="E943" s="686"/>
      <c r="F943" s="685"/>
    </row>
    <row r="944" spans="2:6">
      <c r="B944" s="685"/>
      <c r="C944" s="685"/>
      <c r="D944" s="685"/>
      <c r="E944" s="686"/>
      <c r="F944" s="685"/>
    </row>
    <row r="945" spans="2:6">
      <c r="B945" s="685"/>
      <c r="C945" s="685"/>
      <c r="D945" s="685"/>
      <c r="E945" s="686"/>
      <c r="F945" s="685"/>
    </row>
    <row r="946" spans="2:6">
      <c r="B946" s="685"/>
      <c r="C946" s="685"/>
      <c r="D946" s="685"/>
      <c r="E946" s="686"/>
      <c r="F946" s="685"/>
    </row>
    <row r="947" spans="2:6">
      <c r="B947" s="685"/>
      <c r="C947" s="685"/>
      <c r="D947" s="685"/>
      <c r="E947" s="686"/>
      <c r="F947" s="685"/>
    </row>
    <row r="948" spans="2:6">
      <c r="B948" s="685"/>
      <c r="C948" s="685"/>
      <c r="D948" s="685"/>
      <c r="E948" s="686"/>
      <c r="F948" s="685"/>
    </row>
    <row r="949" spans="2:6">
      <c r="B949" s="685"/>
      <c r="C949" s="685"/>
      <c r="D949" s="685"/>
      <c r="E949" s="686"/>
      <c r="F949" s="685"/>
    </row>
    <row r="950" spans="2:6">
      <c r="B950" s="685"/>
      <c r="C950" s="685"/>
      <c r="D950" s="685"/>
      <c r="E950" s="686"/>
      <c r="F950" s="685"/>
    </row>
    <row r="951" spans="2:6">
      <c r="B951" s="685"/>
      <c r="C951" s="685"/>
      <c r="D951" s="685"/>
      <c r="E951" s="686"/>
      <c r="F951" s="685"/>
    </row>
    <row r="952" spans="2:6">
      <c r="B952" s="685"/>
      <c r="C952" s="685"/>
      <c r="D952" s="685"/>
      <c r="E952" s="686"/>
      <c r="F952" s="685"/>
    </row>
    <row r="953" spans="2:6">
      <c r="B953" s="685"/>
      <c r="C953" s="685"/>
      <c r="D953" s="685"/>
      <c r="E953" s="686"/>
      <c r="F953" s="685"/>
    </row>
    <row r="954" spans="2:6">
      <c r="B954" s="685"/>
      <c r="C954" s="685"/>
      <c r="D954" s="685"/>
      <c r="E954" s="686"/>
      <c r="F954" s="685"/>
    </row>
    <row r="955" spans="2:6">
      <c r="B955" s="685"/>
      <c r="C955" s="685"/>
      <c r="D955" s="685"/>
      <c r="E955" s="686"/>
      <c r="F955" s="685"/>
    </row>
    <row r="956" spans="2:6">
      <c r="B956" s="685"/>
      <c r="C956" s="685"/>
      <c r="D956" s="685"/>
      <c r="E956" s="686"/>
      <c r="F956" s="685"/>
    </row>
    <row r="957" spans="2:6">
      <c r="B957" s="685"/>
      <c r="C957" s="685"/>
      <c r="D957" s="685"/>
      <c r="E957" s="686"/>
      <c r="F957" s="685"/>
    </row>
    <row r="958" spans="2:6">
      <c r="B958" s="685"/>
      <c r="C958" s="685"/>
      <c r="D958" s="685"/>
      <c r="E958" s="686"/>
      <c r="F958" s="685"/>
    </row>
    <row r="959" spans="2:6">
      <c r="B959" s="685"/>
      <c r="C959" s="685"/>
      <c r="D959" s="685"/>
      <c r="E959" s="686"/>
      <c r="F959" s="685"/>
    </row>
    <row r="960" spans="2:6">
      <c r="B960" s="685"/>
      <c r="C960" s="685"/>
      <c r="D960" s="685"/>
      <c r="E960" s="686"/>
      <c r="F960" s="685"/>
    </row>
    <row r="961" spans="2:6">
      <c r="B961" s="685"/>
      <c r="C961" s="685"/>
      <c r="D961" s="685"/>
      <c r="E961" s="686"/>
      <c r="F961" s="685"/>
    </row>
    <row r="962" spans="2:6">
      <c r="B962" s="685"/>
      <c r="C962" s="685"/>
      <c r="D962" s="685"/>
      <c r="E962" s="686"/>
      <c r="F962" s="685"/>
    </row>
    <row r="963" spans="2:6">
      <c r="B963" s="685"/>
      <c r="C963" s="685"/>
      <c r="D963" s="685"/>
      <c r="E963" s="686"/>
      <c r="F963" s="685"/>
    </row>
    <row r="964" spans="2:6">
      <c r="B964" s="685"/>
      <c r="C964" s="685"/>
      <c r="D964" s="685"/>
      <c r="E964" s="686"/>
      <c r="F964" s="685"/>
    </row>
    <row r="965" spans="2:6">
      <c r="B965" s="685"/>
      <c r="C965" s="685"/>
      <c r="D965" s="685"/>
      <c r="E965" s="686"/>
      <c r="F965" s="685"/>
    </row>
    <row r="966" spans="2:6">
      <c r="B966" s="685"/>
      <c r="C966" s="685"/>
      <c r="D966" s="685"/>
      <c r="E966" s="686"/>
      <c r="F966" s="685"/>
    </row>
    <row r="967" spans="2:6">
      <c r="B967" s="685"/>
      <c r="C967" s="685"/>
      <c r="D967" s="685"/>
      <c r="E967" s="686"/>
      <c r="F967" s="685"/>
    </row>
    <row r="968" spans="2:6">
      <c r="B968" s="685"/>
      <c r="C968" s="685"/>
      <c r="D968" s="685"/>
      <c r="E968" s="686"/>
      <c r="F968" s="685"/>
    </row>
    <row r="969" spans="2:6">
      <c r="B969" s="685"/>
      <c r="C969" s="685"/>
      <c r="D969" s="685"/>
      <c r="E969" s="686"/>
      <c r="F969" s="685"/>
    </row>
    <row r="970" spans="2:6">
      <c r="B970" s="685"/>
      <c r="C970" s="685"/>
      <c r="D970" s="685"/>
      <c r="E970" s="686"/>
      <c r="F970" s="685"/>
    </row>
    <row r="971" spans="2:6">
      <c r="B971" s="685"/>
      <c r="C971" s="685"/>
      <c r="D971" s="685"/>
      <c r="E971" s="686"/>
      <c r="F971" s="685"/>
    </row>
    <row r="972" spans="2:6">
      <c r="B972" s="685"/>
      <c r="C972" s="685"/>
      <c r="D972" s="685"/>
      <c r="E972" s="686"/>
      <c r="F972" s="685"/>
    </row>
    <row r="973" spans="2:6">
      <c r="B973" s="685"/>
      <c r="C973" s="685"/>
      <c r="D973" s="685"/>
      <c r="E973" s="686"/>
      <c r="F973" s="685"/>
    </row>
    <row r="974" spans="2:6">
      <c r="B974" s="685"/>
      <c r="C974" s="685"/>
      <c r="D974" s="685"/>
      <c r="E974" s="686"/>
      <c r="F974" s="685"/>
    </row>
    <row r="975" spans="2:6">
      <c r="B975" s="685"/>
      <c r="C975" s="685"/>
      <c r="D975" s="685"/>
      <c r="E975" s="686"/>
      <c r="F975" s="685"/>
    </row>
    <row r="976" spans="2:6">
      <c r="B976" s="685"/>
      <c r="C976" s="685"/>
      <c r="D976" s="685"/>
      <c r="E976" s="686"/>
      <c r="F976" s="685"/>
    </row>
    <row r="977" spans="2:6">
      <c r="B977" s="685"/>
      <c r="C977" s="685"/>
      <c r="D977" s="685"/>
      <c r="E977" s="686"/>
      <c r="F977" s="685"/>
    </row>
    <row r="978" spans="2:6">
      <c r="B978" s="685"/>
      <c r="C978" s="685"/>
      <c r="D978" s="685"/>
      <c r="E978" s="686"/>
      <c r="F978" s="685"/>
    </row>
    <row r="979" spans="2:6">
      <c r="B979" s="685"/>
      <c r="C979" s="685"/>
      <c r="D979" s="685"/>
      <c r="E979" s="686"/>
      <c r="F979" s="685"/>
    </row>
    <row r="980" spans="2:6">
      <c r="B980" s="685"/>
      <c r="C980" s="685"/>
      <c r="D980" s="685"/>
      <c r="E980" s="686"/>
      <c r="F980" s="685"/>
    </row>
    <row r="981" spans="2:6">
      <c r="B981" s="685"/>
      <c r="C981" s="685"/>
      <c r="D981" s="685"/>
      <c r="E981" s="686"/>
      <c r="F981" s="685"/>
    </row>
    <row r="982" spans="2:6">
      <c r="B982" s="685"/>
      <c r="C982" s="685"/>
      <c r="D982" s="685"/>
      <c r="E982" s="686"/>
      <c r="F982" s="685"/>
    </row>
    <row r="983" spans="2:6">
      <c r="B983" s="685"/>
      <c r="C983" s="685"/>
      <c r="D983" s="685"/>
      <c r="E983" s="686"/>
      <c r="F983" s="685"/>
    </row>
    <row r="984" spans="2:6">
      <c r="B984" s="685"/>
      <c r="C984" s="685"/>
      <c r="D984" s="685"/>
      <c r="E984" s="686"/>
      <c r="F984" s="685"/>
    </row>
    <row r="985" spans="2:6">
      <c r="B985" s="685"/>
      <c r="C985" s="685"/>
      <c r="D985" s="685"/>
      <c r="E985" s="686"/>
      <c r="F985" s="685"/>
    </row>
    <row r="986" spans="2:6">
      <c r="B986" s="685"/>
      <c r="C986" s="685"/>
      <c r="D986" s="685"/>
      <c r="E986" s="686"/>
      <c r="F986" s="685"/>
    </row>
    <row r="987" spans="2:6">
      <c r="B987" s="685"/>
      <c r="C987" s="685"/>
      <c r="D987" s="685"/>
      <c r="E987" s="686"/>
      <c r="F987" s="685"/>
    </row>
    <row r="988" spans="2:6">
      <c r="B988" s="685"/>
      <c r="C988" s="685"/>
      <c r="D988" s="685"/>
      <c r="E988" s="686"/>
      <c r="F988" s="685"/>
    </row>
    <row r="989" spans="2:6">
      <c r="B989" s="685"/>
      <c r="C989" s="685"/>
      <c r="D989" s="685"/>
      <c r="E989" s="686"/>
      <c r="F989" s="685"/>
    </row>
    <row r="990" spans="2:6">
      <c r="B990" s="685"/>
      <c r="C990" s="685"/>
      <c r="D990" s="685"/>
      <c r="E990" s="686"/>
      <c r="F990" s="685"/>
    </row>
    <row r="991" spans="2:6">
      <c r="B991" s="685"/>
      <c r="C991" s="685"/>
      <c r="D991" s="685"/>
      <c r="E991" s="686"/>
      <c r="F991" s="685"/>
    </row>
    <row r="992" spans="2:6">
      <c r="B992" s="685"/>
      <c r="C992" s="685"/>
      <c r="D992" s="685"/>
      <c r="E992" s="686"/>
      <c r="F992" s="685"/>
    </row>
    <row r="993" spans="2:6">
      <c r="B993" s="685"/>
      <c r="C993" s="685"/>
      <c r="D993" s="685"/>
      <c r="E993" s="686"/>
      <c r="F993" s="685"/>
    </row>
    <row r="994" spans="2:6">
      <c r="B994" s="685"/>
      <c r="C994" s="685"/>
      <c r="D994" s="685"/>
      <c r="E994" s="686"/>
      <c r="F994" s="685"/>
    </row>
    <row r="995" spans="2:6">
      <c r="B995" s="685"/>
      <c r="C995" s="685"/>
      <c r="D995" s="685"/>
      <c r="E995" s="686"/>
      <c r="F995" s="685"/>
    </row>
    <row r="996" spans="2:6">
      <c r="B996" s="685"/>
      <c r="C996" s="685"/>
      <c r="D996" s="685"/>
      <c r="E996" s="686"/>
      <c r="F996" s="685"/>
    </row>
    <row r="997" spans="2:6">
      <c r="B997" s="685"/>
      <c r="C997" s="685"/>
      <c r="D997" s="685"/>
      <c r="E997" s="686"/>
      <c r="F997" s="685"/>
    </row>
    <row r="998" spans="2:6">
      <c r="B998" s="685"/>
      <c r="C998" s="685"/>
      <c r="D998" s="685"/>
      <c r="E998" s="686"/>
      <c r="F998" s="685"/>
    </row>
    <row r="999" spans="2:6">
      <c r="B999" s="685"/>
      <c r="C999" s="685"/>
      <c r="D999" s="685"/>
      <c r="E999" s="686"/>
      <c r="F999" s="685"/>
    </row>
    <row r="1000" spans="2:6">
      <c r="B1000" s="685"/>
      <c r="C1000" s="685"/>
      <c r="D1000" s="685"/>
      <c r="E1000" s="686"/>
      <c r="F1000" s="685"/>
    </row>
    <row r="1001" spans="2:6">
      <c r="B1001" s="685"/>
      <c r="C1001" s="685"/>
      <c r="D1001" s="685"/>
      <c r="E1001" s="686"/>
      <c r="F1001" s="685"/>
    </row>
    <row r="1002" spans="2:6">
      <c r="B1002" s="685"/>
      <c r="C1002" s="685"/>
      <c r="D1002" s="685"/>
      <c r="E1002" s="686"/>
      <c r="F1002" s="685"/>
    </row>
    <row r="1003" spans="2:6">
      <c r="B1003" s="685"/>
      <c r="C1003" s="685"/>
      <c r="D1003" s="685"/>
      <c r="E1003" s="686"/>
      <c r="F1003" s="685"/>
    </row>
    <row r="1004" spans="2:6">
      <c r="B1004" s="685"/>
      <c r="C1004" s="685"/>
      <c r="D1004" s="685"/>
      <c r="E1004" s="686"/>
      <c r="F1004" s="685"/>
    </row>
    <row r="1005" spans="2:6">
      <c r="B1005" s="685"/>
      <c r="C1005" s="685"/>
      <c r="D1005" s="685"/>
      <c r="E1005" s="686"/>
      <c r="F1005" s="685"/>
    </row>
    <row r="1006" spans="2:6">
      <c r="B1006" s="685"/>
      <c r="C1006" s="685"/>
      <c r="D1006" s="685"/>
      <c r="E1006" s="686"/>
      <c r="F1006" s="685"/>
    </row>
    <row r="1007" spans="2:6">
      <c r="B1007" s="685"/>
      <c r="C1007" s="685"/>
      <c r="D1007" s="685"/>
      <c r="E1007" s="686"/>
      <c r="F1007" s="685"/>
    </row>
    <row r="1008" spans="2:6">
      <c r="B1008" s="685"/>
      <c r="C1008" s="685"/>
      <c r="D1008" s="685"/>
      <c r="E1008" s="686"/>
      <c r="F1008" s="685"/>
    </row>
    <row r="1009" spans="2:6">
      <c r="B1009" s="685"/>
      <c r="C1009" s="685"/>
      <c r="D1009" s="685"/>
      <c r="E1009" s="686"/>
      <c r="F1009" s="685"/>
    </row>
    <row r="1010" spans="2:6">
      <c r="B1010" s="685"/>
      <c r="C1010" s="685"/>
      <c r="D1010" s="685"/>
      <c r="E1010" s="686"/>
      <c r="F1010" s="685"/>
    </row>
    <row r="1011" spans="2:6">
      <c r="B1011" s="685"/>
      <c r="C1011" s="685"/>
      <c r="D1011" s="685"/>
      <c r="E1011" s="686"/>
      <c r="F1011" s="685"/>
    </row>
    <row r="1012" spans="2:6">
      <c r="B1012" s="685"/>
      <c r="C1012" s="685"/>
      <c r="D1012" s="685"/>
      <c r="E1012" s="686"/>
      <c r="F1012" s="685"/>
    </row>
    <row r="1013" spans="2:6">
      <c r="B1013" s="685"/>
      <c r="C1013" s="685"/>
      <c r="D1013" s="685"/>
      <c r="E1013" s="686"/>
      <c r="F1013" s="685"/>
    </row>
    <row r="1014" spans="2:6">
      <c r="B1014" s="685"/>
      <c r="C1014" s="685"/>
      <c r="D1014" s="685"/>
      <c r="E1014" s="686"/>
      <c r="F1014" s="685"/>
    </row>
    <row r="1015" spans="2:6">
      <c r="B1015" s="685"/>
      <c r="C1015" s="685"/>
      <c r="D1015" s="685"/>
      <c r="E1015" s="686"/>
      <c r="F1015" s="685"/>
    </row>
    <row r="1016" spans="2:6">
      <c r="B1016" s="685"/>
      <c r="C1016" s="685"/>
      <c r="D1016" s="685"/>
      <c r="E1016" s="686"/>
      <c r="F1016" s="685"/>
    </row>
    <row r="1017" spans="2:6">
      <c r="B1017" s="685"/>
      <c r="C1017" s="685"/>
      <c r="D1017" s="685"/>
      <c r="E1017" s="686"/>
      <c r="F1017" s="685"/>
    </row>
    <row r="1018" spans="2:6">
      <c r="B1018" s="685"/>
      <c r="C1018" s="685"/>
      <c r="D1018" s="685"/>
      <c r="E1018" s="686"/>
      <c r="F1018" s="685"/>
    </row>
    <row r="1019" spans="2:6">
      <c r="B1019" s="685"/>
      <c r="C1019" s="685"/>
      <c r="D1019" s="685"/>
      <c r="E1019" s="686"/>
      <c r="F1019" s="685"/>
    </row>
    <row r="1020" spans="2:6">
      <c r="B1020" s="685"/>
      <c r="C1020" s="685"/>
      <c r="D1020" s="685"/>
      <c r="E1020" s="686"/>
      <c r="F1020" s="685"/>
    </row>
    <row r="1021" spans="2:6">
      <c r="B1021" s="685"/>
      <c r="C1021" s="685"/>
      <c r="D1021" s="685"/>
      <c r="E1021" s="686"/>
      <c r="F1021" s="685"/>
    </row>
    <row r="1022" spans="2:6">
      <c r="B1022" s="685"/>
      <c r="C1022" s="685"/>
      <c r="D1022" s="685"/>
      <c r="E1022" s="686"/>
      <c r="F1022" s="685"/>
    </row>
    <row r="1023" spans="2:6">
      <c r="B1023" s="685"/>
      <c r="C1023" s="685"/>
      <c r="D1023" s="685"/>
      <c r="E1023" s="686"/>
      <c r="F1023" s="685"/>
    </row>
    <row r="1024" spans="2:6">
      <c r="B1024" s="685"/>
      <c r="C1024" s="685"/>
      <c r="D1024" s="685"/>
      <c r="E1024" s="686"/>
      <c r="F1024" s="685"/>
    </row>
    <row r="1025" spans="2:6">
      <c r="B1025" s="685"/>
      <c r="C1025" s="685"/>
      <c r="D1025" s="685"/>
      <c r="E1025" s="686"/>
      <c r="F1025" s="685"/>
    </row>
    <row r="1026" spans="2:6">
      <c r="B1026" s="685"/>
      <c r="C1026" s="685"/>
      <c r="D1026" s="685"/>
      <c r="E1026" s="686"/>
      <c r="F1026" s="685"/>
    </row>
    <row r="1027" spans="2:6">
      <c r="B1027" s="685"/>
      <c r="C1027" s="685"/>
      <c r="D1027" s="685"/>
      <c r="E1027" s="686"/>
      <c r="F1027" s="685"/>
    </row>
    <row r="1028" spans="2:6">
      <c r="B1028" s="685"/>
      <c r="C1028" s="685"/>
      <c r="D1028" s="685"/>
      <c r="E1028" s="686"/>
      <c r="F1028" s="685"/>
    </row>
    <row r="1029" spans="2:6">
      <c r="B1029" s="685"/>
      <c r="C1029" s="685"/>
      <c r="D1029" s="685"/>
      <c r="E1029" s="686"/>
      <c r="F1029" s="685"/>
    </row>
    <row r="1030" spans="2:6">
      <c r="B1030" s="685"/>
      <c r="C1030" s="685"/>
      <c r="D1030" s="685"/>
      <c r="E1030" s="686"/>
      <c r="F1030" s="685"/>
    </row>
    <row r="1031" spans="2:6">
      <c r="B1031" s="685"/>
      <c r="C1031" s="685"/>
      <c r="D1031" s="685"/>
      <c r="E1031" s="686"/>
      <c r="F1031" s="685"/>
    </row>
    <row r="1032" spans="2:6">
      <c r="B1032" s="685"/>
      <c r="C1032" s="685"/>
      <c r="D1032" s="685"/>
      <c r="E1032" s="686"/>
      <c r="F1032" s="685"/>
    </row>
    <row r="1033" spans="2:6">
      <c r="B1033" s="685"/>
      <c r="C1033" s="685"/>
      <c r="D1033" s="685"/>
      <c r="E1033" s="686"/>
      <c r="F1033" s="685"/>
    </row>
    <row r="1034" spans="2:6">
      <c r="B1034" s="685"/>
      <c r="C1034" s="685"/>
      <c r="D1034" s="685"/>
      <c r="E1034" s="686"/>
      <c r="F1034" s="685"/>
    </row>
    <row r="1035" spans="2:6">
      <c r="B1035" s="685"/>
      <c r="C1035" s="685"/>
      <c r="D1035" s="685"/>
      <c r="E1035" s="686"/>
      <c r="F1035" s="685"/>
    </row>
    <row r="1036" spans="2:6">
      <c r="B1036" s="685"/>
      <c r="C1036" s="685"/>
      <c r="D1036" s="685"/>
      <c r="E1036" s="686"/>
      <c r="F1036" s="685"/>
    </row>
    <row r="1037" spans="2:6">
      <c r="B1037" s="685"/>
      <c r="C1037" s="685"/>
      <c r="D1037" s="685"/>
      <c r="E1037" s="686"/>
      <c r="F1037" s="685"/>
    </row>
    <row r="1038" spans="2:6">
      <c r="B1038" s="685"/>
      <c r="C1038" s="685"/>
      <c r="D1038" s="685"/>
      <c r="E1038" s="686"/>
      <c r="F1038" s="685"/>
    </row>
    <row r="1039" spans="2:6">
      <c r="B1039" s="685"/>
      <c r="C1039" s="685"/>
      <c r="D1039" s="685"/>
      <c r="E1039" s="686"/>
      <c r="F1039" s="685"/>
    </row>
    <row r="1040" spans="2:6">
      <c r="B1040" s="685"/>
      <c r="C1040" s="685"/>
      <c r="D1040" s="685"/>
      <c r="E1040" s="686"/>
      <c r="F1040" s="685"/>
    </row>
    <row r="1041" spans="2:6">
      <c r="B1041" s="685"/>
      <c r="C1041" s="685"/>
      <c r="D1041" s="685"/>
      <c r="E1041" s="686"/>
      <c r="F1041" s="685"/>
    </row>
    <row r="1042" spans="2:6">
      <c r="B1042" s="685"/>
      <c r="C1042" s="685"/>
      <c r="D1042" s="685"/>
      <c r="E1042" s="686"/>
      <c r="F1042" s="685"/>
    </row>
    <row r="1043" spans="2:6">
      <c r="B1043" s="685"/>
      <c r="C1043" s="685"/>
      <c r="D1043" s="685"/>
      <c r="E1043" s="686"/>
      <c r="F1043" s="685"/>
    </row>
    <row r="1044" spans="2:6">
      <c r="B1044" s="685"/>
      <c r="C1044" s="685"/>
      <c r="D1044" s="685"/>
      <c r="E1044" s="686"/>
      <c r="F1044" s="685"/>
    </row>
    <row r="1045" spans="2:6">
      <c r="B1045" s="685"/>
      <c r="C1045" s="685"/>
      <c r="D1045" s="685"/>
      <c r="E1045" s="686"/>
      <c r="F1045" s="685"/>
    </row>
    <row r="1046" spans="2:6">
      <c r="B1046" s="685"/>
      <c r="C1046" s="685"/>
      <c r="D1046" s="685"/>
      <c r="E1046" s="686"/>
      <c r="F1046" s="685"/>
    </row>
    <row r="1047" spans="2:6">
      <c r="B1047" s="685"/>
      <c r="C1047" s="685"/>
      <c r="D1047" s="685"/>
      <c r="E1047" s="686"/>
      <c r="F1047" s="685"/>
    </row>
    <row r="1048" spans="2:6">
      <c r="B1048" s="685"/>
      <c r="C1048" s="685"/>
      <c r="D1048" s="685"/>
      <c r="E1048" s="686"/>
      <c r="F1048" s="685"/>
    </row>
    <row r="1049" spans="2:6">
      <c r="B1049" s="685"/>
      <c r="C1049" s="685"/>
      <c r="D1049" s="685"/>
      <c r="E1049" s="686"/>
      <c r="F1049" s="685"/>
    </row>
    <row r="1050" spans="2:6">
      <c r="B1050" s="685"/>
      <c r="C1050" s="685"/>
      <c r="D1050" s="685"/>
      <c r="E1050" s="686"/>
      <c r="F1050" s="685"/>
    </row>
    <row r="1051" spans="2:6">
      <c r="B1051" s="685"/>
      <c r="C1051" s="685"/>
      <c r="D1051" s="685"/>
      <c r="E1051" s="686"/>
      <c r="F1051" s="685"/>
    </row>
    <row r="1052" spans="2:6">
      <c r="B1052" s="685"/>
      <c r="C1052" s="685"/>
      <c r="D1052" s="685"/>
      <c r="E1052" s="686"/>
      <c r="F1052" s="685"/>
    </row>
    <row r="1053" spans="2:6">
      <c r="B1053" s="685"/>
      <c r="C1053" s="685"/>
      <c r="D1053" s="685"/>
      <c r="E1053" s="686"/>
      <c r="F1053" s="685"/>
    </row>
    <row r="1054" spans="2:6">
      <c r="B1054" s="685"/>
      <c r="C1054" s="685"/>
      <c r="D1054" s="685"/>
      <c r="E1054" s="686"/>
      <c r="F1054" s="685"/>
    </row>
    <row r="1055" spans="2:6">
      <c r="B1055" s="685"/>
      <c r="C1055" s="685"/>
      <c r="D1055" s="685"/>
      <c r="E1055" s="686"/>
      <c r="F1055" s="685"/>
    </row>
    <row r="1056" spans="2:6">
      <c r="B1056" s="685"/>
      <c r="C1056" s="685"/>
      <c r="D1056" s="685"/>
      <c r="E1056" s="686"/>
      <c r="F1056" s="685"/>
    </row>
    <row r="1057" spans="2:6">
      <c r="B1057" s="685"/>
      <c r="C1057" s="685"/>
      <c r="D1057" s="685"/>
      <c r="E1057" s="686"/>
      <c r="F1057" s="685"/>
    </row>
    <row r="1058" spans="2:6">
      <c r="B1058" s="685"/>
      <c r="C1058" s="685"/>
      <c r="D1058" s="685"/>
      <c r="E1058" s="686"/>
      <c r="F1058" s="685"/>
    </row>
    <row r="1059" spans="2:6">
      <c r="B1059" s="685"/>
      <c r="C1059" s="685"/>
      <c r="D1059" s="685"/>
      <c r="E1059" s="686"/>
      <c r="F1059" s="685"/>
    </row>
    <row r="1060" spans="2:6">
      <c r="B1060" s="685"/>
      <c r="C1060" s="685"/>
      <c r="D1060" s="685"/>
      <c r="E1060" s="686"/>
      <c r="F1060" s="685"/>
    </row>
    <row r="1061" spans="2:6">
      <c r="B1061" s="685"/>
      <c r="C1061" s="685"/>
      <c r="D1061" s="685"/>
      <c r="E1061" s="686"/>
      <c r="F1061" s="685"/>
    </row>
    <row r="1062" spans="2:6">
      <c r="B1062" s="685"/>
      <c r="C1062" s="685"/>
      <c r="D1062" s="685"/>
      <c r="E1062" s="686"/>
      <c r="F1062" s="685"/>
    </row>
    <row r="1063" spans="2:6">
      <c r="B1063" s="685"/>
      <c r="C1063" s="685"/>
      <c r="D1063" s="685"/>
      <c r="E1063" s="686"/>
      <c r="F1063" s="685"/>
    </row>
    <row r="1064" spans="2:6">
      <c r="B1064" s="685"/>
      <c r="C1064" s="685"/>
      <c r="D1064" s="685"/>
      <c r="E1064" s="686"/>
      <c r="F1064" s="685"/>
    </row>
    <row r="1065" spans="2:6">
      <c r="B1065" s="685"/>
      <c r="C1065" s="685"/>
      <c r="D1065" s="685"/>
      <c r="E1065" s="686"/>
      <c r="F1065" s="685"/>
    </row>
    <row r="1066" spans="2:6">
      <c r="B1066" s="685"/>
      <c r="C1066" s="685"/>
      <c r="D1066" s="685"/>
      <c r="E1066" s="686"/>
      <c r="F1066" s="685"/>
    </row>
    <row r="1067" spans="2:6">
      <c r="B1067" s="685"/>
      <c r="C1067" s="685"/>
      <c r="D1067" s="685"/>
      <c r="E1067" s="686"/>
      <c r="F1067" s="685"/>
    </row>
    <row r="1068" spans="2:6">
      <c r="B1068" s="685"/>
      <c r="C1068" s="685"/>
      <c r="D1068" s="685"/>
      <c r="E1068" s="686"/>
      <c r="F1068" s="685"/>
    </row>
    <row r="1069" spans="2:6">
      <c r="B1069" s="685"/>
      <c r="C1069" s="685"/>
      <c r="D1069" s="685"/>
      <c r="E1069" s="686"/>
      <c r="F1069" s="685"/>
    </row>
    <row r="1070" spans="2:6">
      <c r="B1070" s="685"/>
      <c r="C1070" s="685"/>
      <c r="D1070" s="685"/>
      <c r="E1070" s="686"/>
      <c r="F1070" s="685"/>
    </row>
    <row r="1071" spans="2:6">
      <c r="B1071" s="685"/>
      <c r="C1071" s="685"/>
      <c r="D1071" s="685"/>
      <c r="E1071" s="686"/>
      <c r="F1071" s="685"/>
    </row>
    <row r="1072" spans="2:6">
      <c r="B1072" s="685"/>
      <c r="C1072" s="685"/>
      <c r="D1072" s="685"/>
      <c r="E1072" s="686"/>
      <c r="F1072" s="685"/>
    </row>
    <row r="1073" spans="2:6">
      <c r="B1073" s="685"/>
      <c r="C1073" s="685"/>
      <c r="D1073" s="685"/>
      <c r="E1073" s="686"/>
      <c r="F1073" s="685"/>
    </row>
    <row r="1074" spans="2:6">
      <c r="B1074" s="685"/>
      <c r="C1074" s="685"/>
      <c r="D1074" s="685"/>
      <c r="E1074" s="686"/>
      <c r="F1074" s="685"/>
    </row>
    <row r="1075" spans="2:6">
      <c r="B1075" s="685"/>
      <c r="C1075" s="685"/>
      <c r="D1075" s="685"/>
      <c r="E1075" s="686"/>
      <c r="F1075" s="685"/>
    </row>
    <row r="1076" spans="2:6">
      <c r="B1076" s="685"/>
      <c r="C1076" s="685"/>
      <c r="D1076" s="685"/>
      <c r="E1076" s="686"/>
      <c r="F1076" s="685"/>
    </row>
    <row r="1077" spans="2:6">
      <c r="B1077" s="685"/>
      <c r="C1077" s="685"/>
      <c r="D1077" s="685"/>
      <c r="E1077" s="686"/>
      <c r="F1077" s="685"/>
    </row>
    <row r="1078" spans="2:6">
      <c r="B1078" s="685"/>
      <c r="C1078" s="685"/>
      <c r="D1078" s="685"/>
      <c r="E1078" s="686"/>
      <c r="F1078" s="685"/>
    </row>
    <row r="1079" spans="2:6">
      <c r="B1079" s="685"/>
      <c r="C1079" s="685"/>
      <c r="D1079" s="685"/>
      <c r="E1079" s="686"/>
      <c r="F1079" s="685"/>
    </row>
    <row r="1080" spans="2:6">
      <c r="B1080" s="685"/>
      <c r="C1080" s="685"/>
      <c r="D1080" s="685"/>
      <c r="E1080" s="686"/>
      <c r="F1080" s="685"/>
    </row>
    <row r="1081" spans="2:6">
      <c r="B1081" s="685"/>
      <c r="C1081" s="685"/>
      <c r="D1081" s="685"/>
      <c r="E1081" s="686"/>
      <c r="F1081" s="685"/>
    </row>
    <row r="1082" spans="2:6">
      <c r="B1082" s="685"/>
      <c r="C1082" s="685"/>
      <c r="D1082" s="685"/>
      <c r="E1082" s="686"/>
      <c r="F1082" s="685"/>
    </row>
    <row r="1083" spans="2:6">
      <c r="B1083" s="685"/>
      <c r="C1083" s="685"/>
      <c r="D1083" s="685"/>
      <c r="E1083" s="686"/>
      <c r="F1083" s="685"/>
    </row>
    <row r="1084" spans="2:6">
      <c r="B1084" s="685"/>
      <c r="C1084" s="685"/>
      <c r="D1084" s="685"/>
      <c r="E1084" s="686"/>
      <c r="F1084" s="685"/>
    </row>
    <row r="1085" spans="2:6">
      <c r="B1085" s="685"/>
      <c r="C1085" s="685"/>
      <c r="D1085" s="685"/>
      <c r="E1085" s="686"/>
      <c r="F1085" s="685"/>
    </row>
    <row r="1086" spans="2:6">
      <c r="B1086" s="685"/>
      <c r="C1086" s="685"/>
      <c r="D1086" s="685"/>
      <c r="E1086" s="686"/>
      <c r="F1086" s="685"/>
    </row>
    <row r="1087" spans="2:6">
      <c r="B1087" s="685"/>
      <c r="C1087" s="685"/>
      <c r="D1087" s="685"/>
      <c r="E1087" s="686"/>
      <c r="F1087" s="685"/>
    </row>
    <row r="1088" spans="2:6">
      <c r="B1088" s="685"/>
      <c r="C1088" s="685"/>
      <c r="D1088" s="685"/>
      <c r="E1088" s="686"/>
      <c r="F1088" s="685"/>
    </row>
    <row r="1089" spans="2:6">
      <c r="B1089" s="685"/>
      <c r="C1089" s="685"/>
      <c r="D1089" s="685"/>
      <c r="E1089" s="686"/>
      <c r="F1089" s="685"/>
    </row>
    <row r="1090" spans="2:6">
      <c r="B1090" s="685"/>
      <c r="C1090" s="685"/>
      <c r="D1090" s="685"/>
      <c r="E1090" s="686"/>
      <c r="F1090" s="685"/>
    </row>
    <row r="1091" spans="2:6">
      <c r="B1091" s="685"/>
      <c r="C1091" s="685"/>
      <c r="D1091" s="685"/>
      <c r="E1091" s="686"/>
      <c r="F1091" s="685"/>
    </row>
    <row r="1092" spans="2:6">
      <c r="B1092" s="685"/>
      <c r="C1092" s="685"/>
      <c r="D1092" s="685"/>
      <c r="E1092" s="686"/>
      <c r="F1092" s="685"/>
    </row>
    <row r="1093" spans="2:6">
      <c r="B1093" s="685"/>
      <c r="C1093" s="685"/>
      <c r="D1093" s="685"/>
      <c r="E1093" s="686"/>
      <c r="F1093" s="685"/>
    </row>
    <row r="1094" spans="2:6">
      <c r="B1094" s="685"/>
      <c r="C1094" s="685"/>
      <c r="D1094" s="685"/>
      <c r="E1094" s="686"/>
      <c r="F1094" s="685"/>
    </row>
    <row r="1095" spans="2:6">
      <c r="B1095" s="685"/>
      <c r="C1095" s="685"/>
      <c r="D1095" s="685"/>
      <c r="E1095" s="686"/>
      <c r="F1095" s="685"/>
    </row>
    <row r="1096" spans="2:6">
      <c r="B1096" s="685"/>
      <c r="C1096" s="685"/>
      <c r="D1096" s="685"/>
      <c r="E1096" s="686"/>
      <c r="F1096" s="685"/>
    </row>
    <row r="1097" spans="2:6">
      <c r="B1097" s="685"/>
      <c r="C1097" s="685"/>
      <c r="D1097" s="685"/>
      <c r="E1097" s="686"/>
      <c r="F1097" s="685"/>
    </row>
    <row r="1098" spans="2:6">
      <c r="B1098" s="685"/>
      <c r="C1098" s="685"/>
      <c r="D1098" s="685"/>
      <c r="E1098" s="686"/>
      <c r="F1098" s="685"/>
    </row>
    <row r="1099" spans="2:6">
      <c r="B1099" s="685"/>
      <c r="C1099" s="685"/>
      <c r="D1099" s="685"/>
      <c r="E1099" s="686"/>
      <c r="F1099" s="685"/>
    </row>
    <row r="1100" spans="2:6">
      <c r="B1100" s="685"/>
      <c r="C1100" s="685"/>
      <c r="D1100" s="685"/>
      <c r="E1100" s="686"/>
      <c r="F1100" s="685"/>
    </row>
    <row r="1101" spans="2:6">
      <c r="B1101" s="685"/>
      <c r="C1101" s="685"/>
      <c r="D1101" s="685"/>
      <c r="E1101" s="686"/>
      <c r="F1101" s="685"/>
    </row>
    <row r="1102" spans="2:6">
      <c r="B1102" s="685"/>
      <c r="C1102" s="685"/>
      <c r="D1102" s="685"/>
      <c r="E1102" s="686"/>
      <c r="F1102" s="685"/>
    </row>
    <row r="1103" spans="2:6">
      <c r="B1103" s="685"/>
      <c r="C1103" s="685"/>
      <c r="D1103" s="685"/>
      <c r="E1103" s="686"/>
      <c r="F1103" s="685"/>
    </row>
    <row r="1104" spans="2:6">
      <c r="B1104" s="685"/>
      <c r="C1104" s="685"/>
      <c r="D1104" s="685"/>
      <c r="E1104" s="686"/>
      <c r="F1104" s="685"/>
    </row>
    <row r="1105" spans="2:6">
      <c r="B1105" s="685"/>
      <c r="C1105" s="685"/>
      <c r="D1105" s="685"/>
      <c r="E1105" s="686"/>
      <c r="F1105" s="685"/>
    </row>
    <row r="1106" spans="2:6">
      <c r="B1106" s="685"/>
      <c r="C1106" s="685"/>
      <c r="D1106" s="685"/>
      <c r="E1106" s="686"/>
      <c r="F1106" s="685"/>
    </row>
    <row r="1107" spans="2:6">
      <c r="B1107" s="685"/>
      <c r="C1107" s="685"/>
      <c r="D1107" s="685"/>
      <c r="E1107" s="686"/>
      <c r="F1107" s="685"/>
    </row>
    <row r="1108" spans="2:6">
      <c r="B1108" s="685"/>
      <c r="C1108" s="685"/>
      <c r="D1108" s="685"/>
      <c r="E1108" s="686"/>
      <c r="F1108" s="685"/>
    </row>
    <row r="1109" spans="2:6">
      <c r="B1109" s="685"/>
      <c r="C1109" s="685"/>
      <c r="D1109" s="685"/>
      <c r="E1109" s="686"/>
      <c r="F1109" s="685"/>
    </row>
    <row r="1110" spans="2:6">
      <c r="B1110" s="685"/>
      <c r="C1110" s="685"/>
      <c r="D1110" s="685"/>
      <c r="E1110" s="686"/>
      <c r="F1110" s="685"/>
    </row>
    <row r="1111" spans="2:6">
      <c r="B1111" s="685"/>
      <c r="C1111" s="685"/>
      <c r="D1111" s="685"/>
      <c r="E1111" s="686"/>
      <c r="F1111" s="685"/>
    </row>
    <row r="1112" spans="2:6">
      <c r="B1112" s="685"/>
      <c r="C1112" s="685"/>
      <c r="D1112" s="685"/>
      <c r="E1112" s="686"/>
      <c r="F1112" s="685"/>
    </row>
    <row r="1113" spans="2:6">
      <c r="B1113" s="685"/>
      <c r="C1113" s="685"/>
      <c r="D1113" s="685"/>
      <c r="E1113" s="686"/>
      <c r="F1113" s="685"/>
    </row>
    <row r="1114" spans="2:6">
      <c r="B1114" s="685"/>
      <c r="C1114" s="685"/>
      <c r="D1114" s="685"/>
      <c r="E1114" s="686"/>
      <c r="F1114" s="685"/>
    </row>
    <row r="1115" spans="2:6">
      <c r="B1115" s="685"/>
      <c r="C1115" s="685"/>
      <c r="D1115" s="685"/>
      <c r="E1115" s="686"/>
      <c r="F1115" s="685"/>
    </row>
    <row r="1116" spans="2:6">
      <c r="B1116" s="685"/>
      <c r="C1116" s="685"/>
      <c r="D1116" s="685"/>
      <c r="E1116" s="686"/>
      <c r="F1116" s="685"/>
    </row>
    <row r="1117" spans="2:6">
      <c r="B1117" s="685"/>
      <c r="C1117" s="685"/>
      <c r="D1117" s="685"/>
      <c r="E1117" s="686"/>
      <c r="F1117" s="685"/>
    </row>
    <row r="1118" spans="2:6">
      <c r="B1118" s="685"/>
      <c r="C1118" s="685"/>
      <c r="D1118" s="685"/>
      <c r="E1118" s="686"/>
      <c r="F1118" s="685"/>
    </row>
    <row r="1119" spans="2:6">
      <c r="B1119" s="685"/>
      <c r="C1119" s="685"/>
      <c r="D1119" s="685"/>
      <c r="E1119" s="686"/>
      <c r="F1119" s="685"/>
    </row>
    <row r="1120" spans="2:6">
      <c r="B1120" s="685"/>
      <c r="C1120" s="685"/>
      <c r="D1120" s="685"/>
      <c r="E1120" s="686"/>
      <c r="F1120" s="685"/>
    </row>
    <row r="1121" spans="2:6">
      <c r="B1121" s="685"/>
      <c r="C1121" s="685"/>
      <c r="D1121" s="685"/>
      <c r="E1121" s="686"/>
      <c r="F1121" s="685"/>
    </row>
    <row r="1122" spans="2:6">
      <c r="B1122" s="685"/>
      <c r="C1122" s="685"/>
      <c r="D1122" s="685"/>
      <c r="E1122" s="686"/>
      <c r="F1122" s="685"/>
    </row>
    <row r="1123" spans="2:6">
      <c r="B1123" s="685"/>
      <c r="C1123" s="685"/>
      <c r="D1123" s="685"/>
      <c r="E1123" s="686"/>
      <c r="F1123" s="685"/>
    </row>
    <row r="1124" spans="2:6">
      <c r="B1124" s="685"/>
      <c r="C1124" s="685"/>
      <c r="D1124" s="685"/>
      <c r="E1124" s="686"/>
      <c r="F1124" s="685"/>
    </row>
    <row r="1125" spans="2:6">
      <c r="B1125" s="685"/>
      <c r="C1125" s="685"/>
      <c r="D1125" s="685"/>
      <c r="E1125" s="686"/>
      <c r="F1125" s="685"/>
    </row>
    <row r="1126" spans="2:6">
      <c r="B1126" s="685"/>
      <c r="C1126" s="685"/>
      <c r="D1126" s="685"/>
      <c r="E1126" s="686"/>
      <c r="F1126" s="685"/>
    </row>
    <row r="1127" spans="2:6">
      <c r="B1127" s="685"/>
      <c r="C1127" s="685"/>
      <c r="D1127" s="685"/>
      <c r="E1127" s="686"/>
      <c r="F1127" s="685"/>
    </row>
    <row r="1128" spans="2:6">
      <c r="B1128" s="685"/>
      <c r="C1128" s="685"/>
      <c r="D1128" s="685"/>
      <c r="E1128" s="686"/>
      <c r="F1128" s="685"/>
    </row>
    <row r="1129" spans="2:6">
      <c r="B1129" s="685"/>
      <c r="C1129" s="685"/>
      <c r="D1129" s="685"/>
      <c r="E1129" s="686"/>
      <c r="F1129" s="685"/>
    </row>
    <row r="1130" spans="2:6">
      <c r="B1130" s="685"/>
      <c r="C1130" s="685"/>
      <c r="D1130" s="685"/>
      <c r="E1130" s="686"/>
      <c r="F1130" s="685"/>
    </row>
    <row r="1131" spans="2:6">
      <c r="B1131" s="685"/>
      <c r="C1131" s="685"/>
      <c r="D1131" s="685"/>
      <c r="E1131" s="686"/>
      <c r="F1131" s="685"/>
    </row>
    <row r="1132" spans="2:6">
      <c r="B1132" s="685"/>
      <c r="C1132" s="685"/>
      <c r="D1132" s="685"/>
      <c r="E1132" s="686"/>
      <c r="F1132" s="685"/>
    </row>
    <row r="1133" spans="2:6">
      <c r="B1133" s="685"/>
      <c r="C1133" s="685"/>
      <c r="D1133" s="685"/>
      <c r="E1133" s="686"/>
      <c r="F1133" s="685"/>
    </row>
    <row r="1134" spans="2:6">
      <c r="B1134" s="685"/>
      <c r="C1134" s="685"/>
      <c r="D1134" s="685"/>
      <c r="E1134" s="686"/>
      <c r="F1134" s="685"/>
    </row>
    <row r="1135" spans="2:6">
      <c r="B1135" s="685"/>
      <c r="C1135" s="685"/>
      <c r="D1135" s="685"/>
      <c r="E1135" s="686"/>
      <c r="F1135" s="685"/>
    </row>
    <row r="1136" spans="2:6">
      <c r="B1136" s="685"/>
      <c r="C1136" s="685"/>
      <c r="D1136" s="685"/>
      <c r="E1136" s="686"/>
      <c r="F1136" s="685"/>
    </row>
    <row r="1137" spans="2:6">
      <c r="B1137" s="685"/>
      <c r="C1137" s="685"/>
      <c r="D1137" s="685"/>
      <c r="E1137" s="686"/>
      <c r="F1137" s="685"/>
    </row>
    <row r="1138" spans="2:6">
      <c r="B1138" s="685"/>
      <c r="C1138" s="685"/>
      <c r="D1138" s="685"/>
      <c r="E1138" s="686"/>
      <c r="F1138" s="685"/>
    </row>
    <row r="1139" spans="2:6">
      <c r="B1139" s="685"/>
      <c r="C1139" s="685"/>
      <c r="D1139" s="685"/>
      <c r="E1139" s="686"/>
      <c r="F1139" s="685"/>
    </row>
    <row r="1140" spans="2:6">
      <c r="B1140" s="685"/>
      <c r="C1140" s="685"/>
      <c r="D1140" s="685"/>
      <c r="E1140" s="686"/>
      <c r="F1140" s="685"/>
    </row>
    <row r="1141" spans="2:6">
      <c r="B1141" s="685"/>
      <c r="C1141" s="685"/>
      <c r="D1141" s="685"/>
      <c r="E1141" s="686"/>
      <c r="F1141" s="685"/>
    </row>
    <row r="1142" spans="2:6">
      <c r="B1142" s="685"/>
      <c r="C1142" s="685"/>
      <c r="D1142" s="685"/>
      <c r="E1142" s="686"/>
      <c r="F1142" s="685"/>
    </row>
    <row r="1143" spans="2:6">
      <c r="B1143" s="685"/>
      <c r="C1143" s="685"/>
      <c r="D1143" s="685"/>
      <c r="E1143" s="686"/>
      <c r="F1143" s="685"/>
    </row>
    <row r="1144" spans="2:6">
      <c r="B1144" s="685"/>
      <c r="C1144" s="685"/>
      <c r="D1144" s="685"/>
      <c r="E1144" s="686"/>
      <c r="F1144" s="685"/>
    </row>
    <row r="1145" spans="2:6">
      <c r="B1145" s="685"/>
      <c r="C1145" s="685"/>
      <c r="D1145" s="685"/>
      <c r="E1145" s="686"/>
      <c r="F1145" s="685"/>
    </row>
    <row r="1146" spans="2:6">
      <c r="B1146" s="685"/>
      <c r="C1146" s="685"/>
      <c r="D1146" s="685"/>
      <c r="E1146" s="686"/>
      <c r="F1146" s="685"/>
    </row>
    <row r="1147" spans="2:6">
      <c r="B1147" s="685"/>
      <c r="C1147" s="685"/>
      <c r="D1147" s="685"/>
      <c r="E1147" s="686"/>
      <c r="F1147" s="685"/>
    </row>
    <row r="1148" spans="2:6">
      <c r="B1148" s="685"/>
      <c r="C1148" s="685"/>
      <c r="D1148" s="685"/>
      <c r="E1148" s="686"/>
      <c r="F1148" s="685"/>
    </row>
    <row r="1149" spans="2:6">
      <c r="B1149" s="685"/>
      <c r="C1149" s="685"/>
      <c r="D1149" s="685"/>
      <c r="E1149" s="686"/>
      <c r="F1149" s="685"/>
    </row>
    <row r="1150" spans="2:6">
      <c r="B1150" s="685"/>
      <c r="C1150" s="685"/>
      <c r="D1150" s="685"/>
      <c r="E1150" s="686"/>
      <c r="F1150" s="685"/>
    </row>
    <row r="1151" spans="2:6">
      <c r="B1151" s="685"/>
      <c r="C1151" s="685"/>
      <c r="D1151" s="685"/>
      <c r="E1151" s="686"/>
      <c r="F1151" s="685"/>
    </row>
    <row r="1152" spans="2:6">
      <c r="B1152" s="685"/>
      <c r="C1152" s="685"/>
      <c r="D1152" s="685"/>
      <c r="E1152" s="686"/>
      <c r="F1152" s="685"/>
    </row>
    <row r="1153" spans="2:6">
      <c r="B1153" s="685"/>
      <c r="C1153" s="685"/>
      <c r="D1153" s="685"/>
      <c r="E1153" s="686"/>
      <c r="F1153" s="685"/>
    </row>
    <row r="1154" spans="2:6">
      <c r="B1154" s="685"/>
      <c r="C1154" s="685"/>
      <c r="D1154" s="685"/>
      <c r="E1154" s="686"/>
      <c r="F1154" s="685"/>
    </row>
    <row r="1155" spans="2:6">
      <c r="B1155" s="685"/>
      <c r="C1155" s="685"/>
      <c r="D1155" s="685"/>
      <c r="E1155" s="686"/>
      <c r="F1155" s="685"/>
    </row>
    <row r="1156" spans="2:6">
      <c r="B1156" s="685"/>
      <c r="C1156" s="685"/>
      <c r="D1156" s="685"/>
      <c r="E1156" s="686"/>
      <c r="F1156" s="685"/>
    </row>
    <row r="1157" spans="2:6">
      <c r="B1157" s="685"/>
      <c r="C1157" s="685"/>
      <c r="D1157" s="685"/>
      <c r="E1157" s="686"/>
      <c r="F1157" s="685"/>
    </row>
    <row r="1158" spans="2:6">
      <c r="B1158" s="685"/>
      <c r="C1158" s="685"/>
      <c r="D1158" s="685"/>
      <c r="E1158" s="686"/>
      <c r="F1158" s="685"/>
    </row>
    <row r="1159" spans="2:6">
      <c r="B1159" s="685"/>
      <c r="C1159" s="685"/>
      <c r="D1159" s="685"/>
      <c r="E1159" s="686"/>
      <c r="F1159" s="685"/>
    </row>
    <row r="1160" spans="2:6">
      <c r="B1160" s="685"/>
      <c r="C1160" s="685"/>
      <c r="D1160" s="685"/>
      <c r="E1160" s="686"/>
      <c r="F1160" s="685"/>
    </row>
    <row r="1161" spans="2:6">
      <c r="B1161" s="685"/>
      <c r="C1161" s="685"/>
      <c r="D1161" s="685"/>
      <c r="E1161" s="686"/>
      <c r="F1161" s="685"/>
    </row>
    <row r="1162" spans="2:6">
      <c r="B1162" s="685"/>
      <c r="C1162" s="685"/>
      <c r="D1162" s="685"/>
      <c r="E1162" s="686"/>
      <c r="F1162" s="685"/>
    </row>
    <row r="1163" spans="2:6">
      <c r="B1163" s="685"/>
      <c r="C1163" s="685"/>
      <c r="D1163" s="685"/>
      <c r="E1163" s="686"/>
      <c r="F1163" s="685"/>
    </row>
    <row r="1164" spans="2:6">
      <c r="B1164" s="685"/>
      <c r="C1164" s="685"/>
      <c r="D1164" s="685"/>
      <c r="E1164" s="686"/>
      <c r="F1164" s="685"/>
    </row>
    <row r="1165" spans="2:6">
      <c r="B1165" s="685"/>
      <c r="C1165" s="685"/>
      <c r="D1165" s="685"/>
      <c r="E1165" s="686"/>
      <c r="F1165" s="685"/>
    </row>
    <row r="1166" spans="2:6">
      <c r="B1166" s="685"/>
      <c r="C1166" s="685"/>
      <c r="D1166" s="685"/>
      <c r="E1166" s="686"/>
      <c r="F1166" s="685"/>
    </row>
    <row r="1167" spans="2:6">
      <c r="B1167" s="685"/>
      <c r="C1167" s="685"/>
      <c r="D1167" s="685"/>
      <c r="E1167" s="686"/>
      <c r="F1167" s="685"/>
    </row>
    <row r="1168" spans="2:6">
      <c r="B1168" s="685"/>
      <c r="C1168" s="685"/>
      <c r="D1168" s="685"/>
      <c r="E1168" s="686"/>
      <c r="F1168" s="685"/>
    </row>
    <row r="1169" spans="2:6">
      <c r="B1169" s="685"/>
      <c r="C1169" s="685"/>
      <c r="D1169" s="685"/>
      <c r="E1169" s="686"/>
      <c r="F1169" s="685"/>
    </row>
    <row r="1170" spans="2:6">
      <c r="B1170" s="685"/>
      <c r="C1170" s="685"/>
      <c r="D1170" s="685"/>
      <c r="E1170" s="686"/>
      <c r="F1170" s="685"/>
    </row>
    <row r="1171" spans="2:6">
      <c r="B1171" s="685"/>
      <c r="C1171" s="685"/>
      <c r="D1171" s="685"/>
      <c r="E1171" s="686"/>
      <c r="F1171" s="685"/>
    </row>
    <row r="1172" spans="2:6">
      <c r="B1172" s="685"/>
      <c r="C1172" s="685"/>
      <c r="D1172" s="685"/>
      <c r="E1172" s="686"/>
      <c r="F1172" s="685"/>
    </row>
    <row r="1173" spans="2:6">
      <c r="B1173" s="685"/>
      <c r="C1173" s="685"/>
      <c r="D1173" s="685"/>
      <c r="E1173" s="686"/>
      <c r="F1173" s="685"/>
    </row>
    <row r="1174" spans="2:6">
      <c r="B1174" s="685"/>
      <c r="C1174" s="685"/>
      <c r="D1174" s="685"/>
      <c r="E1174" s="686"/>
      <c r="F1174" s="685"/>
    </row>
    <row r="1175" spans="2:6">
      <c r="B1175" s="685"/>
      <c r="C1175" s="685"/>
      <c r="D1175" s="685"/>
      <c r="E1175" s="686"/>
      <c r="F1175" s="685"/>
    </row>
    <row r="1176" spans="2:6">
      <c r="B1176" s="685"/>
      <c r="C1176" s="685"/>
      <c r="D1176" s="685"/>
      <c r="E1176" s="686"/>
      <c r="F1176" s="685"/>
    </row>
    <row r="1177" spans="2:6">
      <c r="B1177" s="685"/>
      <c r="C1177" s="685"/>
      <c r="D1177" s="685"/>
      <c r="E1177" s="686"/>
      <c r="F1177" s="685"/>
    </row>
    <row r="1178" spans="2:6">
      <c r="B1178" s="685"/>
      <c r="C1178" s="685"/>
      <c r="D1178" s="685"/>
      <c r="E1178" s="686"/>
      <c r="F1178" s="685"/>
    </row>
    <row r="1179" spans="2:6">
      <c r="B1179" s="685"/>
      <c r="C1179" s="685"/>
      <c r="D1179" s="685"/>
      <c r="E1179" s="686"/>
      <c r="F1179" s="685"/>
    </row>
    <row r="1180" spans="2:6">
      <c r="B1180" s="685"/>
      <c r="C1180" s="685"/>
      <c r="D1180" s="685"/>
      <c r="E1180" s="686"/>
      <c r="F1180" s="685"/>
    </row>
    <row r="1181" spans="2:6">
      <c r="B1181" s="685"/>
      <c r="C1181" s="685"/>
      <c r="D1181" s="685"/>
      <c r="E1181" s="686"/>
      <c r="F1181" s="685"/>
    </row>
    <row r="1182" spans="2:6">
      <c r="B1182" s="685"/>
      <c r="C1182" s="685"/>
      <c r="D1182" s="685"/>
      <c r="E1182" s="686"/>
      <c r="F1182" s="685"/>
    </row>
    <row r="1183" spans="2:6">
      <c r="B1183" s="685"/>
      <c r="C1183" s="685"/>
      <c r="D1183" s="685"/>
      <c r="E1183" s="686"/>
      <c r="F1183" s="685"/>
    </row>
    <row r="1184" spans="2:6">
      <c r="B1184" s="685"/>
      <c r="C1184" s="685"/>
      <c r="D1184" s="685"/>
      <c r="E1184" s="686"/>
      <c r="F1184" s="685"/>
    </row>
    <row r="1185" spans="2:6">
      <c r="B1185" s="685"/>
      <c r="C1185" s="685"/>
      <c r="D1185" s="685"/>
      <c r="E1185" s="686"/>
      <c r="F1185" s="685"/>
    </row>
    <row r="1186" spans="2:6">
      <c r="B1186" s="685"/>
      <c r="C1186" s="685"/>
      <c r="D1186" s="685"/>
      <c r="E1186" s="686"/>
      <c r="F1186" s="685"/>
    </row>
    <row r="1187" spans="2:6">
      <c r="B1187" s="685"/>
      <c r="C1187" s="685"/>
      <c r="D1187" s="685"/>
      <c r="E1187" s="686"/>
      <c r="F1187" s="685"/>
    </row>
    <row r="1188" spans="2:6">
      <c r="B1188" s="685"/>
      <c r="C1188" s="685"/>
      <c r="D1188" s="685"/>
      <c r="E1188" s="686"/>
      <c r="F1188" s="685"/>
    </row>
    <row r="1189" spans="2:6">
      <c r="B1189" s="685"/>
      <c r="C1189" s="685"/>
      <c r="D1189" s="685"/>
      <c r="E1189" s="686"/>
      <c r="F1189" s="685"/>
    </row>
    <row r="1190" spans="2:6">
      <c r="B1190" s="685"/>
      <c r="C1190" s="685"/>
      <c r="D1190" s="685"/>
      <c r="E1190" s="686"/>
      <c r="F1190" s="685"/>
    </row>
    <row r="1191" spans="2:6">
      <c r="B1191" s="685"/>
      <c r="C1191" s="685"/>
      <c r="D1191" s="685"/>
      <c r="E1191" s="686"/>
      <c r="F1191" s="685"/>
    </row>
    <row r="1192" spans="2:6">
      <c r="B1192" s="685"/>
      <c r="C1192" s="685"/>
      <c r="D1192" s="685"/>
      <c r="E1192" s="686"/>
      <c r="F1192" s="685"/>
    </row>
    <row r="1193" spans="2:6">
      <c r="B1193" s="685"/>
      <c r="C1193" s="685"/>
      <c r="D1193" s="685"/>
      <c r="E1193" s="686"/>
      <c r="F1193" s="685"/>
    </row>
    <row r="1194" spans="2:6">
      <c r="B1194" s="685"/>
      <c r="C1194" s="685"/>
      <c r="D1194" s="685"/>
      <c r="E1194" s="686"/>
      <c r="F1194" s="685"/>
    </row>
    <row r="1195" spans="2:6">
      <c r="B1195" s="685"/>
      <c r="C1195" s="685"/>
      <c r="D1195" s="685"/>
      <c r="E1195" s="686"/>
      <c r="F1195" s="685"/>
    </row>
    <row r="1196" spans="2:6">
      <c r="B1196" s="685"/>
      <c r="C1196" s="685"/>
      <c r="D1196" s="685"/>
      <c r="E1196" s="686"/>
      <c r="F1196" s="685"/>
    </row>
    <row r="1197" spans="2:6">
      <c r="B1197" s="685"/>
      <c r="C1197" s="685"/>
      <c r="D1197" s="685"/>
      <c r="E1197" s="686"/>
      <c r="F1197" s="685"/>
    </row>
    <row r="1198" spans="2:6">
      <c r="B1198" s="685"/>
      <c r="C1198" s="685"/>
      <c r="D1198" s="685"/>
      <c r="E1198" s="686"/>
      <c r="F1198" s="685"/>
    </row>
    <row r="1199" spans="2:6">
      <c r="B1199" s="685"/>
      <c r="C1199" s="685"/>
      <c r="D1199" s="685"/>
      <c r="E1199" s="686"/>
      <c r="F1199" s="685"/>
    </row>
    <row r="1200" spans="2:6">
      <c r="B1200" s="685"/>
      <c r="C1200" s="685"/>
      <c r="D1200" s="685"/>
      <c r="E1200" s="686"/>
      <c r="F1200" s="685"/>
    </row>
    <row r="1201" spans="2:6">
      <c r="B1201" s="685"/>
      <c r="C1201" s="685"/>
      <c r="D1201" s="685"/>
      <c r="E1201" s="686"/>
      <c r="F1201" s="685"/>
    </row>
    <row r="1202" spans="2:6">
      <c r="B1202" s="685"/>
      <c r="C1202" s="685"/>
      <c r="D1202" s="685"/>
      <c r="E1202" s="686"/>
      <c r="F1202" s="685"/>
    </row>
    <row r="1203" spans="2:6">
      <c r="B1203" s="685"/>
      <c r="C1203" s="685"/>
      <c r="D1203" s="685"/>
      <c r="E1203" s="686"/>
      <c r="F1203" s="685"/>
    </row>
    <row r="1204" spans="2:6">
      <c r="B1204" s="685"/>
      <c r="C1204" s="685"/>
      <c r="D1204" s="685"/>
      <c r="E1204" s="686"/>
      <c r="F1204" s="685"/>
    </row>
    <row r="1205" spans="2:6">
      <c r="B1205" s="685"/>
      <c r="C1205" s="685"/>
      <c r="D1205" s="685"/>
      <c r="E1205" s="686"/>
      <c r="F1205" s="685"/>
    </row>
    <row r="1206" spans="2:6">
      <c r="B1206" s="685"/>
      <c r="C1206" s="685"/>
      <c r="D1206" s="685"/>
      <c r="E1206" s="686"/>
      <c r="F1206" s="685"/>
    </row>
    <row r="1207" spans="2:6">
      <c r="B1207" s="685"/>
      <c r="C1207" s="685"/>
      <c r="D1207" s="685"/>
      <c r="E1207" s="686"/>
      <c r="F1207" s="685"/>
    </row>
    <row r="1208" spans="2:6">
      <c r="B1208" s="685"/>
      <c r="C1208" s="685"/>
      <c r="D1208" s="685"/>
      <c r="E1208" s="686"/>
      <c r="F1208" s="685"/>
    </row>
    <row r="1209" spans="2:6">
      <c r="B1209" s="685"/>
      <c r="C1209" s="685"/>
      <c r="D1209" s="685"/>
      <c r="E1209" s="686"/>
      <c r="F1209" s="685"/>
    </row>
    <row r="1210" spans="2:6">
      <c r="B1210" s="685"/>
      <c r="C1210" s="685"/>
      <c r="D1210" s="685"/>
      <c r="E1210" s="686"/>
      <c r="F1210" s="685"/>
    </row>
    <row r="1211" spans="2:6">
      <c r="B1211" s="685"/>
      <c r="C1211" s="685"/>
      <c r="D1211" s="685"/>
      <c r="E1211" s="686"/>
      <c r="F1211" s="685"/>
    </row>
    <row r="1212" spans="2:6">
      <c r="B1212" s="685"/>
      <c r="C1212" s="685"/>
      <c r="D1212" s="685"/>
      <c r="E1212" s="686"/>
      <c r="F1212" s="685"/>
    </row>
    <row r="1213" spans="2:6">
      <c r="B1213" s="685"/>
      <c r="C1213" s="685"/>
      <c r="D1213" s="685"/>
      <c r="E1213" s="686"/>
      <c r="F1213" s="685"/>
    </row>
    <row r="1214" spans="2:6">
      <c r="B1214" s="685"/>
      <c r="C1214" s="685"/>
      <c r="D1214" s="685"/>
      <c r="E1214" s="686"/>
      <c r="F1214" s="685"/>
    </row>
    <row r="1215" spans="2:6">
      <c r="B1215" s="685"/>
      <c r="C1215" s="685"/>
      <c r="D1215" s="685"/>
      <c r="E1215" s="686"/>
      <c r="F1215" s="685"/>
    </row>
    <row r="1216" spans="2:6">
      <c r="B1216" s="685"/>
      <c r="C1216" s="685"/>
      <c r="D1216" s="685"/>
      <c r="E1216" s="686"/>
      <c r="F1216" s="685"/>
    </row>
    <row r="1217" spans="2:6">
      <c r="B1217" s="685"/>
      <c r="C1217" s="685"/>
      <c r="D1217" s="685"/>
      <c r="E1217" s="686"/>
      <c r="F1217" s="685"/>
    </row>
    <row r="1218" spans="2:6">
      <c r="B1218" s="685"/>
      <c r="C1218" s="685"/>
      <c r="D1218" s="685"/>
      <c r="E1218" s="686"/>
      <c r="F1218" s="685"/>
    </row>
    <row r="1219" spans="2:6">
      <c r="B1219" s="685"/>
      <c r="C1219" s="685"/>
      <c r="D1219" s="685"/>
      <c r="E1219" s="686"/>
      <c r="F1219" s="685"/>
    </row>
    <row r="1220" spans="2:6">
      <c r="B1220" s="685"/>
      <c r="C1220" s="685"/>
      <c r="D1220" s="685"/>
      <c r="E1220" s="686"/>
      <c r="F1220" s="685"/>
    </row>
    <row r="1221" spans="2:6">
      <c r="B1221" s="685"/>
      <c r="C1221" s="685"/>
      <c r="D1221" s="685"/>
      <c r="E1221" s="686"/>
      <c r="F1221" s="685"/>
    </row>
    <row r="1222" spans="2:6">
      <c r="B1222" s="685"/>
      <c r="C1222" s="685"/>
      <c r="D1222" s="685"/>
      <c r="E1222" s="686"/>
      <c r="F1222" s="685"/>
    </row>
    <row r="1223" spans="2:6">
      <c r="B1223" s="685"/>
      <c r="C1223" s="685"/>
      <c r="D1223" s="685"/>
      <c r="E1223" s="686"/>
      <c r="F1223" s="685"/>
    </row>
    <row r="1224" spans="2:6">
      <c r="B1224" s="685"/>
      <c r="C1224" s="685"/>
      <c r="D1224" s="685"/>
      <c r="E1224" s="686"/>
      <c r="F1224" s="685"/>
    </row>
    <row r="1225" spans="2:6">
      <c r="B1225" s="685"/>
      <c r="C1225" s="685"/>
      <c r="D1225" s="685"/>
      <c r="E1225" s="686"/>
      <c r="F1225" s="685"/>
    </row>
    <row r="1226" spans="2:6">
      <c r="B1226" s="685"/>
      <c r="C1226" s="685"/>
      <c r="D1226" s="685"/>
      <c r="E1226" s="686"/>
      <c r="F1226" s="685"/>
    </row>
    <row r="1227" spans="2:6">
      <c r="B1227" s="685"/>
      <c r="C1227" s="685"/>
      <c r="D1227" s="685"/>
      <c r="E1227" s="686"/>
      <c r="F1227" s="685"/>
    </row>
    <row r="1228" spans="2:6">
      <c r="B1228" s="685"/>
      <c r="C1228" s="685"/>
      <c r="D1228" s="685"/>
      <c r="E1228" s="686"/>
      <c r="F1228" s="685"/>
    </row>
    <row r="1229" spans="2:6">
      <c r="B1229" s="685"/>
      <c r="C1229" s="685"/>
      <c r="D1229" s="685"/>
      <c r="E1229" s="686"/>
      <c r="F1229" s="685"/>
    </row>
    <row r="1230" spans="2:6">
      <c r="B1230" s="685"/>
      <c r="C1230" s="685"/>
      <c r="D1230" s="685"/>
      <c r="E1230" s="686"/>
      <c r="F1230" s="685"/>
    </row>
    <row r="1231" spans="2:6">
      <c r="B1231" s="685"/>
      <c r="C1231" s="685"/>
      <c r="D1231" s="685"/>
      <c r="E1231" s="686"/>
      <c r="F1231" s="685"/>
    </row>
    <row r="1232" spans="2:6">
      <c r="B1232" s="685"/>
      <c r="C1232" s="685"/>
      <c r="D1232" s="685"/>
      <c r="E1232" s="686"/>
      <c r="F1232" s="685"/>
    </row>
    <row r="1233" spans="2:6">
      <c r="B1233" s="685"/>
      <c r="C1233" s="685"/>
      <c r="D1233" s="685"/>
      <c r="E1233" s="686"/>
      <c r="F1233" s="685"/>
    </row>
    <row r="1234" spans="2:6">
      <c r="B1234" s="685"/>
      <c r="C1234" s="685"/>
      <c r="D1234" s="685"/>
      <c r="E1234" s="686"/>
      <c r="F1234" s="685"/>
    </row>
    <row r="1235" spans="2:6">
      <c r="B1235" s="685"/>
      <c r="C1235" s="685"/>
      <c r="D1235" s="685"/>
      <c r="E1235" s="686"/>
      <c r="F1235" s="685"/>
    </row>
    <row r="1236" spans="2:6">
      <c r="B1236" s="685"/>
      <c r="C1236" s="685"/>
      <c r="D1236" s="685"/>
      <c r="E1236" s="686"/>
      <c r="F1236" s="685"/>
    </row>
    <row r="1237" spans="2:6">
      <c r="B1237" s="685"/>
      <c r="C1237" s="685"/>
      <c r="D1237" s="685"/>
      <c r="E1237" s="686"/>
      <c r="F1237" s="685"/>
    </row>
    <row r="1238" spans="2:6">
      <c r="B1238" s="685"/>
      <c r="C1238" s="685"/>
      <c r="D1238" s="685"/>
      <c r="E1238" s="686"/>
      <c r="F1238" s="685"/>
    </row>
    <row r="1239" spans="2:6">
      <c r="B1239" s="685"/>
      <c r="C1239" s="685"/>
      <c r="D1239" s="685"/>
      <c r="E1239" s="686"/>
      <c r="F1239" s="685"/>
    </row>
    <row r="1240" spans="2:6">
      <c r="B1240" s="685"/>
      <c r="C1240" s="685"/>
      <c r="D1240" s="685"/>
      <c r="E1240" s="686"/>
      <c r="F1240" s="685"/>
    </row>
    <row r="1241" spans="2:6">
      <c r="B1241" s="685"/>
      <c r="C1241" s="685"/>
      <c r="D1241" s="685"/>
      <c r="E1241" s="686"/>
      <c r="F1241" s="685"/>
    </row>
    <row r="1242" spans="2:6">
      <c r="B1242" s="685"/>
      <c r="C1242" s="685"/>
      <c r="D1242" s="685"/>
      <c r="E1242" s="686"/>
      <c r="F1242" s="685"/>
    </row>
    <row r="1243" spans="2:6">
      <c r="B1243" s="685"/>
      <c r="C1243" s="685"/>
      <c r="D1243" s="685"/>
      <c r="E1243" s="686"/>
      <c r="F1243" s="685"/>
    </row>
    <row r="1244" spans="2:6">
      <c r="B1244" s="685"/>
      <c r="C1244" s="685"/>
      <c r="D1244" s="685"/>
      <c r="E1244" s="686"/>
      <c r="F1244" s="685"/>
    </row>
    <row r="1245" spans="2:6">
      <c r="B1245" s="685"/>
      <c r="C1245" s="685"/>
      <c r="D1245" s="685"/>
      <c r="E1245" s="686"/>
      <c r="F1245" s="685"/>
    </row>
    <row r="1246" spans="2:6">
      <c r="B1246" s="685"/>
      <c r="C1246" s="685"/>
      <c r="D1246" s="685"/>
      <c r="E1246" s="686"/>
      <c r="F1246" s="685"/>
    </row>
    <row r="1247" spans="2:6">
      <c r="B1247" s="685"/>
      <c r="C1247" s="685"/>
      <c r="D1247" s="685"/>
      <c r="E1247" s="686"/>
      <c r="F1247" s="685"/>
    </row>
    <row r="1248" spans="2:6">
      <c r="B1248" s="685"/>
      <c r="C1248" s="685"/>
      <c r="D1248" s="685"/>
      <c r="E1248" s="686"/>
      <c r="F1248" s="685"/>
    </row>
    <row r="1249" spans="2:6">
      <c r="B1249" s="685"/>
      <c r="C1249" s="685"/>
      <c r="D1249" s="685"/>
      <c r="E1249" s="686"/>
      <c r="F1249" s="685"/>
    </row>
    <row r="1250" spans="2:6">
      <c r="B1250" s="685"/>
      <c r="C1250" s="685"/>
      <c r="D1250" s="685"/>
      <c r="E1250" s="686"/>
      <c r="F1250" s="685"/>
    </row>
    <row r="1251" spans="2:6">
      <c r="B1251" s="685"/>
      <c r="C1251" s="685"/>
      <c r="D1251" s="685"/>
      <c r="E1251" s="686"/>
      <c r="F1251" s="685"/>
    </row>
    <row r="1252" spans="2:6">
      <c r="B1252" s="685"/>
      <c r="C1252" s="685"/>
      <c r="D1252" s="685"/>
      <c r="E1252" s="686"/>
      <c r="F1252" s="685"/>
    </row>
    <row r="1253" spans="2:6">
      <c r="B1253" s="685"/>
      <c r="C1253" s="685"/>
      <c r="D1253" s="685"/>
      <c r="E1253" s="686"/>
      <c r="F1253" s="685"/>
    </row>
    <row r="1254" spans="2:6">
      <c r="B1254" s="685"/>
      <c r="C1254" s="685"/>
      <c r="D1254" s="685"/>
      <c r="E1254" s="686"/>
      <c r="F1254" s="685"/>
    </row>
    <row r="1255" spans="2:6">
      <c r="B1255" s="685"/>
      <c r="C1255" s="685"/>
      <c r="D1255" s="685"/>
      <c r="E1255" s="686"/>
      <c r="F1255" s="685"/>
    </row>
    <row r="1256" spans="2:6">
      <c r="B1256" s="685"/>
      <c r="C1256" s="685"/>
      <c r="D1256" s="685"/>
      <c r="E1256" s="686"/>
      <c r="F1256" s="685"/>
    </row>
    <row r="1257" spans="2:6">
      <c r="B1257" s="685"/>
      <c r="C1257" s="685"/>
      <c r="D1257" s="685"/>
      <c r="E1257" s="686"/>
      <c r="F1257" s="685"/>
    </row>
    <row r="1258" spans="2:6">
      <c r="B1258" s="685"/>
      <c r="C1258" s="685"/>
      <c r="D1258" s="685"/>
      <c r="E1258" s="686"/>
      <c r="F1258" s="685"/>
    </row>
    <row r="1259" spans="2:6">
      <c r="B1259" s="685"/>
      <c r="C1259" s="685"/>
      <c r="D1259" s="685"/>
      <c r="E1259" s="686"/>
      <c r="F1259" s="685"/>
    </row>
    <row r="1260" spans="2:6">
      <c r="B1260" s="685"/>
      <c r="C1260" s="685"/>
      <c r="D1260" s="685"/>
      <c r="E1260" s="686"/>
      <c r="F1260" s="685"/>
    </row>
    <row r="1261" spans="2:6">
      <c r="B1261" s="685"/>
      <c r="C1261" s="685"/>
      <c r="D1261" s="685"/>
      <c r="E1261" s="686"/>
      <c r="F1261" s="685"/>
    </row>
    <row r="1262" spans="2:6">
      <c r="B1262" s="685"/>
      <c r="C1262" s="685"/>
      <c r="D1262" s="685"/>
      <c r="E1262" s="686"/>
      <c r="F1262" s="685"/>
    </row>
    <row r="1263" spans="2:6">
      <c r="B1263" s="685"/>
      <c r="C1263" s="685"/>
      <c r="D1263" s="685"/>
      <c r="E1263" s="686"/>
      <c r="F1263" s="685"/>
    </row>
    <row r="1264" spans="2:6">
      <c r="B1264" s="685"/>
      <c r="C1264" s="685"/>
      <c r="D1264" s="685"/>
      <c r="E1264" s="686"/>
      <c r="F1264" s="685"/>
    </row>
    <row r="1265" spans="2:6">
      <c r="B1265" s="685"/>
      <c r="C1265" s="685"/>
      <c r="D1265" s="685"/>
      <c r="E1265" s="686"/>
      <c r="F1265" s="685"/>
    </row>
    <row r="1266" spans="2:6">
      <c r="B1266" s="685"/>
      <c r="C1266" s="685"/>
      <c r="D1266" s="685"/>
      <c r="E1266" s="686"/>
      <c r="F1266" s="685"/>
    </row>
    <row r="1267" spans="2:6">
      <c r="B1267" s="685"/>
      <c r="C1267" s="685"/>
      <c r="D1267" s="685"/>
      <c r="E1267" s="686"/>
      <c r="F1267" s="685"/>
    </row>
    <row r="1268" spans="2:6">
      <c r="B1268" s="685"/>
      <c r="C1268" s="685"/>
      <c r="D1268" s="685"/>
      <c r="E1268" s="686"/>
      <c r="F1268" s="685"/>
    </row>
    <row r="1269" spans="2:6">
      <c r="B1269" s="685"/>
      <c r="C1269" s="685"/>
      <c r="D1269" s="685"/>
      <c r="E1269" s="686"/>
      <c r="F1269" s="685"/>
    </row>
    <row r="1270" spans="2:6">
      <c r="B1270" s="685"/>
      <c r="C1270" s="685"/>
      <c r="D1270" s="685"/>
      <c r="E1270" s="686"/>
      <c r="F1270" s="685"/>
    </row>
    <row r="1271" spans="2:6">
      <c r="B1271" s="685"/>
      <c r="C1271" s="685"/>
      <c r="D1271" s="685"/>
      <c r="E1271" s="686"/>
      <c r="F1271" s="685"/>
    </row>
    <row r="1272" spans="2:6">
      <c r="B1272" s="685"/>
      <c r="C1272" s="685"/>
      <c r="D1272" s="685"/>
      <c r="E1272" s="686"/>
      <c r="F1272" s="685"/>
    </row>
    <row r="1273" spans="2:6">
      <c r="B1273" s="685"/>
      <c r="C1273" s="685"/>
      <c r="D1273" s="685"/>
      <c r="E1273" s="686"/>
      <c r="F1273" s="685"/>
    </row>
    <row r="1274" spans="2:6">
      <c r="B1274" s="685"/>
      <c r="C1274" s="685"/>
      <c r="D1274" s="685"/>
      <c r="E1274" s="686"/>
      <c r="F1274" s="685"/>
    </row>
    <row r="1275" spans="2:6">
      <c r="B1275" s="685"/>
      <c r="C1275" s="685"/>
      <c r="D1275" s="685"/>
      <c r="E1275" s="686"/>
      <c r="F1275" s="685"/>
    </row>
    <row r="1276" spans="2:6">
      <c r="B1276" s="685"/>
      <c r="C1276" s="685"/>
      <c r="D1276" s="685"/>
      <c r="E1276" s="686"/>
      <c r="F1276" s="685"/>
    </row>
    <row r="1277" spans="2:6">
      <c r="B1277" s="685"/>
      <c r="C1277" s="685"/>
      <c r="D1277" s="685"/>
      <c r="E1277" s="686"/>
      <c r="F1277" s="685"/>
    </row>
    <row r="1278" spans="2:6">
      <c r="B1278" s="685"/>
      <c r="C1278" s="685"/>
      <c r="D1278" s="685"/>
      <c r="E1278" s="686"/>
      <c r="F1278" s="685"/>
    </row>
    <row r="1279" spans="2:6">
      <c r="B1279" s="685"/>
      <c r="C1279" s="685"/>
      <c r="D1279" s="685"/>
      <c r="E1279" s="686"/>
      <c r="F1279" s="685"/>
    </row>
    <row r="1280" spans="2:6">
      <c r="B1280" s="685"/>
      <c r="C1280" s="685"/>
      <c r="D1280" s="685"/>
      <c r="E1280" s="686"/>
      <c r="F1280" s="685"/>
    </row>
    <row r="1281" spans="2:6">
      <c r="B1281" s="685"/>
      <c r="C1281" s="685"/>
      <c r="D1281" s="685"/>
      <c r="E1281" s="686"/>
      <c r="F1281" s="685"/>
    </row>
    <row r="1282" spans="2:6">
      <c r="B1282" s="685"/>
      <c r="C1282" s="685"/>
      <c r="D1282" s="685"/>
      <c r="E1282" s="686"/>
      <c r="F1282" s="685"/>
    </row>
    <row r="1283" spans="2:6">
      <c r="B1283" s="685"/>
      <c r="C1283" s="685"/>
      <c r="D1283" s="685"/>
      <c r="E1283" s="686"/>
      <c r="F1283" s="685"/>
    </row>
    <row r="1284" spans="2:6">
      <c r="B1284" s="685"/>
      <c r="C1284" s="685"/>
      <c r="D1284" s="685"/>
      <c r="E1284" s="686"/>
      <c r="F1284" s="685"/>
    </row>
    <row r="1285" spans="2:6">
      <c r="B1285" s="685"/>
      <c r="C1285" s="685"/>
      <c r="D1285" s="685"/>
      <c r="E1285" s="686"/>
      <c r="F1285" s="685"/>
    </row>
    <row r="1286" spans="2:6">
      <c r="B1286" s="685"/>
      <c r="C1286" s="685"/>
      <c r="D1286" s="685"/>
      <c r="E1286" s="686"/>
      <c r="F1286" s="685"/>
    </row>
    <row r="1287" spans="2:6">
      <c r="B1287" s="685"/>
      <c r="C1287" s="685"/>
      <c r="D1287" s="685"/>
      <c r="E1287" s="686"/>
      <c r="F1287" s="685"/>
    </row>
    <row r="1288" spans="2:6">
      <c r="B1288" s="685"/>
      <c r="C1288" s="685"/>
      <c r="D1288" s="685"/>
      <c r="E1288" s="686"/>
      <c r="F1288" s="685"/>
    </row>
    <row r="1289" spans="2:6">
      <c r="B1289" s="685"/>
      <c r="C1289" s="685"/>
      <c r="D1289" s="685"/>
      <c r="E1289" s="686"/>
      <c r="F1289" s="685"/>
    </row>
    <row r="1290" spans="2:6">
      <c r="B1290" s="685"/>
      <c r="C1290" s="685"/>
      <c r="D1290" s="685"/>
      <c r="E1290" s="686"/>
      <c r="F1290" s="685"/>
    </row>
    <row r="1291" spans="2:6">
      <c r="B1291" s="685"/>
      <c r="C1291" s="685"/>
      <c r="D1291" s="685"/>
      <c r="E1291" s="686"/>
      <c r="F1291" s="685"/>
    </row>
    <row r="1292" spans="2:6">
      <c r="B1292" s="685"/>
      <c r="C1292" s="685"/>
      <c r="D1292" s="685"/>
      <c r="E1292" s="686"/>
      <c r="F1292" s="685"/>
    </row>
    <row r="1293" spans="2:6">
      <c r="B1293" s="685"/>
      <c r="C1293" s="685"/>
      <c r="D1293" s="685"/>
      <c r="E1293" s="686"/>
      <c r="F1293" s="685"/>
    </row>
    <row r="1294" spans="2:6">
      <c r="B1294" s="685"/>
      <c r="C1294" s="685"/>
      <c r="D1294" s="685"/>
      <c r="E1294" s="686"/>
      <c r="F1294" s="685"/>
    </row>
    <row r="1295" spans="2:6">
      <c r="B1295" s="685"/>
      <c r="C1295" s="685"/>
      <c r="D1295" s="685"/>
      <c r="E1295" s="686"/>
      <c r="F1295" s="685"/>
    </row>
    <row r="1296" spans="2:6">
      <c r="B1296" s="685"/>
      <c r="C1296" s="685"/>
      <c r="D1296" s="685"/>
      <c r="E1296" s="686"/>
      <c r="F1296" s="685"/>
    </row>
    <row r="1297" spans="2:6">
      <c r="B1297" s="685"/>
      <c r="C1297" s="685"/>
      <c r="D1297" s="685"/>
      <c r="E1297" s="686"/>
      <c r="F1297" s="685"/>
    </row>
    <row r="1298" spans="2:6">
      <c r="B1298" s="685"/>
      <c r="C1298" s="685"/>
      <c r="D1298" s="685"/>
      <c r="E1298" s="686"/>
      <c r="F1298" s="685"/>
    </row>
    <row r="1299" spans="2:6">
      <c r="B1299" s="685"/>
      <c r="C1299" s="685"/>
      <c r="D1299" s="685"/>
      <c r="E1299" s="686"/>
      <c r="F1299" s="685"/>
    </row>
    <row r="1300" spans="2:6">
      <c r="B1300" s="685"/>
      <c r="C1300" s="685"/>
      <c r="D1300" s="685"/>
      <c r="E1300" s="686"/>
      <c r="F1300" s="685"/>
    </row>
    <row r="1301" spans="2:6">
      <c r="B1301" s="685"/>
      <c r="C1301" s="685"/>
      <c r="D1301" s="685"/>
      <c r="E1301" s="686"/>
      <c r="F1301" s="685"/>
    </row>
    <row r="1302" spans="2:6">
      <c r="B1302" s="685"/>
      <c r="C1302" s="685"/>
      <c r="D1302" s="685"/>
      <c r="E1302" s="686"/>
      <c r="F1302" s="685"/>
    </row>
    <row r="1303" spans="2:6">
      <c r="B1303" s="685"/>
      <c r="C1303" s="685"/>
      <c r="D1303" s="685"/>
      <c r="E1303" s="686"/>
      <c r="F1303" s="685"/>
    </row>
    <row r="1304" spans="2:6">
      <c r="B1304" s="685"/>
      <c r="C1304" s="685"/>
      <c r="D1304" s="685"/>
      <c r="E1304" s="686"/>
      <c r="F1304" s="685"/>
    </row>
    <row r="1305" spans="2:6">
      <c r="B1305" s="685"/>
      <c r="C1305" s="685"/>
      <c r="D1305" s="685"/>
      <c r="E1305" s="686"/>
      <c r="F1305" s="685"/>
    </row>
    <row r="1306" spans="2:6">
      <c r="B1306" s="685"/>
      <c r="C1306" s="685"/>
      <c r="D1306" s="685"/>
      <c r="E1306" s="686"/>
      <c r="F1306" s="685"/>
    </row>
    <row r="1307" spans="2:6">
      <c r="B1307" s="685"/>
      <c r="C1307" s="685"/>
      <c r="D1307" s="685"/>
      <c r="E1307" s="686"/>
      <c r="F1307" s="685"/>
    </row>
    <row r="1308" spans="2:6">
      <c r="B1308" s="685"/>
      <c r="C1308" s="685"/>
      <c r="D1308" s="685"/>
      <c r="E1308" s="686"/>
      <c r="F1308" s="685"/>
    </row>
    <row r="1309" spans="2:6">
      <c r="B1309" s="685"/>
      <c r="C1309" s="685"/>
      <c r="D1309" s="685"/>
      <c r="E1309" s="686"/>
      <c r="F1309" s="685"/>
    </row>
    <row r="1310" spans="2:6">
      <c r="B1310" s="685"/>
      <c r="C1310" s="685"/>
      <c r="D1310" s="685"/>
      <c r="E1310" s="686"/>
      <c r="F1310" s="685"/>
    </row>
    <row r="1311" spans="2:6">
      <c r="B1311" s="685"/>
      <c r="C1311" s="685"/>
      <c r="D1311" s="685"/>
      <c r="E1311" s="686"/>
      <c r="F1311" s="685"/>
    </row>
    <row r="1312" spans="2:6">
      <c r="B1312" s="685"/>
      <c r="C1312" s="685"/>
      <c r="D1312" s="685"/>
      <c r="E1312" s="686"/>
      <c r="F1312" s="685"/>
    </row>
    <row r="1313" spans="2:6">
      <c r="B1313" s="685"/>
      <c r="C1313" s="685"/>
      <c r="D1313" s="685"/>
      <c r="E1313" s="686"/>
      <c r="F1313" s="685"/>
    </row>
    <row r="1314" spans="2:6">
      <c r="B1314" s="685"/>
      <c r="C1314" s="685"/>
      <c r="D1314" s="685"/>
      <c r="E1314" s="686"/>
      <c r="F1314" s="685"/>
    </row>
    <row r="1315" spans="2:6">
      <c r="B1315" s="685"/>
      <c r="C1315" s="685"/>
      <c r="D1315" s="685"/>
      <c r="E1315" s="686"/>
      <c r="F1315" s="685"/>
    </row>
    <row r="1316" spans="2:6">
      <c r="B1316" s="685"/>
      <c r="C1316" s="685"/>
      <c r="D1316" s="685"/>
      <c r="E1316" s="686"/>
      <c r="F1316" s="685"/>
    </row>
    <row r="1317" spans="2:6">
      <c r="B1317" s="685"/>
      <c r="C1317" s="685"/>
      <c r="D1317" s="685"/>
      <c r="E1317" s="686"/>
      <c r="F1317" s="685"/>
    </row>
    <row r="1318" spans="2:6">
      <c r="B1318" s="685"/>
      <c r="C1318" s="685"/>
      <c r="D1318" s="685"/>
      <c r="E1318" s="686"/>
      <c r="F1318" s="685"/>
    </row>
    <row r="1319" spans="2:6">
      <c r="B1319" s="685"/>
      <c r="C1319" s="685"/>
      <c r="D1319" s="685"/>
      <c r="E1319" s="686"/>
      <c r="F1319" s="685"/>
    </row>
    <row r="1320" spans="2:6">
      <c r="B1320" s="685"/>
      <c r="C1320" s="685"/>
      <c r="D1320" s="685"/>
      <c r="E1320" s="686"/>
      <c r="F1320" s="685"/>
    </row>
    <row r="1321" spans="2:6">
      <c r="B1321" s="685"/>
      <c r="C1321" s="685"/>
      <c r="D1321" s="685"/>
      <c r="E1321" s="686"/>
      <c r="F1321" s="685"/>
    </row>
    <row r="1322" spans="2:6">
      <c r="B1322" s="685"/>
      <c r="C1322" s="685"/>
      <c r="D1322" s="685"/>
      <c r="E1322" s="686"/>
      <c r="F1322" s="685"/>
    </row>
    <row r="1323" spans="2:6">
      <c r="B1323" s="685"/>
      <c r="C1323" s="685"/>
      <c r="D1323" s="685"/>
      <c r="E1323" s="686"/>
      <c r="F1323" s="685"/>
    </row>
    <row r="1324" spans="2:6">
      <c r="B1324" s="685"/>
      <c r="C1324" s="685"/>
      <c r="D1324" s="685"/>
      <c r="E1324" s="686"/>
      <c r="F1324" s="685"/>
    </row>
    <row r="1325" spans="2:6">
      <c r="B1325" s="685"/>
      <c r="C1325" s="685"/>
      <c r="D1325" s="685"/>
      <c r="E1325" s="686"/>
      <c r="F1325" s="685"/>
    </row>
    <row r="1326" spans="2:6">
      <c r="B1326" s="685"/>
      <c r="C1326" s="685"/>
      <c r="D1326" s="685"/>
      <c r="E1326" s="686"/>
      <c r="F1326" s="685"/>
    </row>
    <row r="1327" spans="2:6">
      <c r="B1327" s="685"/>
      <c r="C1327" s="685"/>
      <c r="D1327" s="685"/>
      <c r="E1327" s="686"/>
      <c r="F1327" s="685"/>
    </row>
    <row r="1328" spans="2:6">
      <c r="B1328" s="685"/>
      <c r="C1328" s="685"/>
      <c r="D1328" s="685"/>
      <c r="E1328" s="686"/>
      <c r="F1328" s="685"/>
    </row>
    <row r="1329" spans="2:6">
      <c r="B1329" s="685"/>
      <c r="C1329" s="685"/>
      <c r="D1329" s="685"/>
      <c r="E1329" s="686"/>
      <c r="F1329" s="685"/>
    </row>
    <row r="1330" spans="2:6">
      <c r="B1330" s="685"/>
      <c r="C1330" s="685"/>
      <c r="D1330" s="685"/>
      <c r="E1330" s="686"/>
      <c r="F1330" s="685"/>
    </row>
    <row r="1331" spans="2:6">
      <c r="B1331" s="685"/>
      <c r="C1331" s="685"/>
      <c r="D1331" s="685"/>
      <c r="E1331" s="686"/>
      <c r="F1331" s="685"/>
    </row>
    <row r="1332" spans="2:6">
      <c r="B1332" s="685"/>
      <c r="C1332" s="685"/>
      <c r="D1332" s="685"/>
      <c r="E1332" s="686"/>
      <c r="F1332" s="685"/>
    </row>
    <row r="1333" spans="2:6">
      <c r="B1333" s="685"/>
      <c r="C1333" s="685"/>
      <c r="D1333" s="685"/>
      <c r="E1333" s="686"/>
      <c r="F1333" s="685"/>
    </row>
    <row r="1334" spans="2:6">
      <c r="B1334" s="685"/>
      <c r="C1334" s="685"/>
      <c r="D1334" s="685"/>
      <c r="E1334" s="686"/>
      <c r="F1334" s="685"/>
    </row>
    <row r="1335" spans="2:6">
      <c r="B1335" s="685"/>
      <c r="C1335" s="685"/>
      <c r="D1335" s="685"/>
      <c r="E1335" s="686"/>
      <c r="F1335" s="685"/>
    </row>
    <row r="1336" spans="2:6">
      <c r="B1336" s="685"/>
      <c r="C1336" s="685"/>
      <c r="D1336" s="685"/>
      <c r="E1336" s="686"/>
      <c r="F1336" s="685"/>
    </row>
    <row r="1337" spans="2:6">
      <c r="B1337" s="685"/>
      <c r="C1337" s="685"/>
      <c r="D1337" s="685"/>
      <c r="E1337" s="686"/>
      <c r="F1337" s="685"/>
    </row>
    <row r="1338" spans="2:6">
      <c r="B1338" s="685"/>
      <c r="C1338" s="685"/>
      <c r="D1338" s="685"/>
      <c r="E1338" s="686"/>
      <c r="F1338" s="685"/>
    </row>
    <row r="1339" spans="2:6">
      <c r="B1339" s="685"/>
      <c r="C1339" s="685"/>
      <c r="D1339" s="685"/>
      <c r="E1339" s="686"/>
      <c r="F1339" s="685"/>
    </row>
    <row r="1340" spans="2:6">
      <c r="B1340" s="685"/>
      <c r="C1340" s="685"/>
      <c r="D1340" s="685"/>
      <c r="E1340" s="686"/>
      <c r="F1340" s="685"/>
    </row>
    <row r="1341" spans="2:6">
      <c r="B1341" s="685"/>
      <c r="C1341" s="685"/>
      <c r="D1341" s="685"/>
      <c r="E1341" s="686"/>
      <c r="F1341" s="685"/>
    </row>
    <row r="1342" spans="2:6">
      <c r="B1342" s="685"/>
      <c r="C1342" s="685"/>
      <c r="D1342" s="685"/>
      <c r="E1342" s="686"/>
      <c r="F1342" s="685"/>
    </row>
    <row r="1343" spans="2:6">
      <c r="B1343" s="685"/>
      <c r="C1343" s="685"/>
      <c r="D1343" s="685"/>
      <c r="E1343" s="686"/>
      <c r="F1343" s="685"/>
    </row>
    <row r="1344" spans="2:6">
      <c r="B1344" s="685"/>
      <c r="C1344" s="685"/>
      <c r="D1344" s="685"/>
      <c r="E1344" s="686"/>
      <c r="F1344" s="685"/>
    </row>
    <row r="1345" spans="2:6">
      <c r="B1345" s="685"/>
      <c r="C1345" s="685"/>
      <c r="D1345" s="685"/>
      <c r="E1345" s="686"/>
      <c r="F1345" s="685"/>
    </row>
    <row r="1346" spans="2:6">
      <c r="B1346" s="685"/>
      <c r="C1346" s="685"/>
      <c r="D1346" s="685"/>
      <c r="E1346" s="686"/>
      <c r="F1346" s="685"/>
    </row>
    <row r="1347" spans="2:6">
      <c r="B1347" s="685"/>
      <c r="C1347" s="685"/>
      <c r="D1347" s="685"/>
      <c r="E1347" s="686"/>
      <c r="F1347" s="685"/>
    </row>
    <row r="1348" spans="2:6">
      <c r="B1348" s="685"/>
      <c r="C1348" s="685"/>
      <c r="D1348" s="685"/>
      <c r="E1348" s="686"/>
      <c r="F1348" s="685"/>
    </row>
    <row r="1349" spans="2:6">
      <c r="B1349" s="685"/>
      <c r="C1349" s="685"/>
      <c r="D1349" s="685"/>
      <c r="E1349" s="686"/>
      <c r="F1349" s="685"/>
    </row>
    <row r="1350" spans="2:6">
      <c r="B1350" s="685"/>
      <c r="C1350" s="685"/>
      <c r="D1350" s="685"/>
      <c r="E1350" s="686"/>
      <c r="F1350" s="685"/>
    </row>
    <row r="1351" spans="2:6">
      <c r="B1351" s="685"/>
      <c r="C1351" s="685"/>
      <c r="D1351" s="685"/>
      <c r="E1351" s="686"/>
      <c r="F1351" s="685"/>
    </row>
    <row r="1352" spans="2:6">
      <c r="B1352" s="685"/>
      <c r="C1352" s="685"/>
      <c r="D1352" s="685"/>
      <c r="E1352" s="686"/>
      <c r="F1352" s="685"/>
    </row>
    <row r="1353" spans="2:6">
      <c r="B1353" s="685"/>
      <c r="C1353" s="685"/>
      <c r="D1353" s="685"/>
      <c r="E1353" s="686"/>
      <c r="F1353" s="685"/>
    </row>
    <row r="1354" spans="2:6">
      <c r="B1354" s="685"/>
      <c r="C1354" s="685"/>
      <c r="D1354" s="685"/>
      <c r="E1354" s="686"/>
      <c r="F1354" s="685"/>
    </row>
    <row r="1355" spans="2:6">
      <c r="B1355" s="685"/>
      <c r="C1355" s="685"/>
      <c r="D1355" s="685"/>
      <c r="E1355" s="686"/>
      <c r="F1355" s="685"/>
    </row>
    <row r="1356" spans="2:6">
      <c r="B1356" s="685"/>
      <c r="C1356" s="685"/>
      <c r="D1356" s="685"/>
      <c r="E1356" s="686"/>
      <c r="F1356" s="685"/>
    </row>
    <row r="1357" spans="2:6">
      <c r="B1357" s="685"/>
      <c r="C1357" s="685"/>
      <c r="D1357" s="685"/>
      <c r="E1357" s="686"/>
      <c r="F1357" s="685"/>
    </row>
    <row r="1358" spans="2:6">
      <c r="B1358" s="685"/>
      <c r="C1358" s="685"/>
      <c r="D1358" s="685"/>
      <c r="E1358" s="686"/>
      <c r="F1358" s="685"/>
    </row>
    <row r="1359" spans="2:6">
      <c r="B1359" s="685"/>
      <c r="C1359" s="685"/>
      <c r="D1359" s="685"/>
      <c r="E1359" s="686"/>
      <c r="F1359" s="685"/>
    </row>
    <row r="1360" spans="2:6">
      <c r="B1360" s="685"/>
      <c r="C1360" s="685"/>
      <c r="D1360" s="685"/>
      <c r="E1360" s="686"/>
      <c r="F1360" s="685"/>
    </row>
    <row r="1361" spans="2:6">
      <c r="B1361" s="685"/>
      <c r="C1361" s="685"/>
      <c r="D1361" s="685"/>
      <c r="E1361" s="686"/>
      <c r="F1361" s="685"/>
    </row>
    <row r="1362" spans="2:6">
      <c r="B1362" s="685"/>
      <c r="C1362" s="685"/>
      <c r="D1362" s="685"/>
      <c r="E1362" s="686"/>
      <c r="F1362" s="685"/>
    </row>
    <row r="1363" spans="2:6">
      <c r="B1363" s="685"/>
      <c r="C1363" s="685"/>
      <c r="D1363" s="685"/>
      <c r="E1363" s="686"/>
      <c r="F1363" s="685"/>
    </row>
    <row r="1364" spans="2:6">
      <c r="B1364" s="685"/>
      <c r="C1364" s="685"/>
      <c r="D1364" s="685"/>
      <c r="E1364" s="686"/>
      <c r="F1364" s="685"/>
    </row>
    <row r="1365" spans="2:6">
      <c r="B1365" s="685"/>
      <c r="C1365" s="685"/>
      <c r="D1365" s="685"/>
      <c r="E1365" s="686"/>
      <c r="F1365" s="685"/>
    </row>
    <row r="1366" spans="2:6">
      <c r="B1366" s="685"/>
      <c r="C1366" s="685"/>
      <c r="D1366" s="685"/>
      <c r="E1366" s="686"/>
      <c r="F1366" s="685"/>
    </row>
    <row r="1367" spans="2:6">
      <c r="B1367" s="685"/>
      <c r="C1367" s="685"/>
      <c r="D1367" s="685"/>
      <c r="E1367" s="686"/>
      <c r="F1367" s="685"/>
    </row>
    <row r="1368" spans="2:6">
      <c r="B1368" s="685"/>
      <c r="C1368" s="685"/>
      <c r="D1368" s="685"/>
      <c r="E1368" s="686"/>
      <c r="F1368" s="685"/>
    </row>
    <row r="1369" spans="2:6">
      <c r="B1369" s="685"/>
      <c r="C1369" s="685"/>
      <c r="D1369" s="685"/>
      <c r="E1369" s="686"/>
      <c r="F1369" s="685"/>
    </row>
    <row r="1370" spans="2:6">
      <c r="B1370" s="685"/>
      <c r="C1370" s="685"/>
      <c r="D1370" s="685"/>
      <c r="E1370" s="686"/>
      <c r="F1370" s="685"/>
    </row>
    <row r="1371" spans="2:6">
      <c r="B1371" s="685"/>
      <c r="C1371" s="685"/>
      <c r="D1371" s="685"/>
      <c r="E1371" s="686"/>
      <c r="F1371" s="685"/>
    </row>
    <row r="1372" spans="2:6">
      <c r="B1372" s="685"/>
      <c r="C1372" s="685"/>
      <c r="D1372" s="685"/>
      <c r="E1372" s="686"/>
      <c r="F1372" s="685"/>
    </row>
    <row r="1373" spans="2:6">
      <c r="B1373" s="685"/>
      <c r="C1373" s="685"/>
      <c r="D1373" s="685"/>
      <c r="E1373" s="686"/>
      <c r="F1373" s="685"/>
    </row>
    <row r="1374" spans="2:6">
      <c r="B1374" s="685"/>
      <c r="C1374" s="685"/>
      <c r="D1374" s="685"/>
      <c r="E1374" s="686"/>
      <c r="F1374" s="685"/>
    </row>
    <row r="1375" spans="2:6">
      <c r="B1375" s="685"/>
      <c r="C1375" s="685"/>
      <c r="D1375" s="685"/>
      <c r="E1375" s="686"/>
      <c r="F1375" s="685"/>
    </row>
    <row r="1376" spans="2:6">
      <c r="B1376" s="685"/>
      <c r="C1376" s="685"/>
      <c r="D1376" s="685"/>
      <c r="E1376" s="686"/>
      <c r="F1376" s="685"/>
    </row>
    <row r="1377" spans="2:6">
      <c r="B1377" s="685"/>
      <c r="C1377" s="685"/>
      <c r="D1377" s="685"/>
      <c r="E1377" s="686"/>
      <c r="F1377" s="685"/>
    </row>
    <row r="1378" spans="2:6">
      <c r="B1378" s="685"/>
      <c r="C1378" s="685"/>
      <c r="D1378" s="685"/>
      <c r="E1378" s="686"/>
      <c r="F1378" s="685"/>
    </row>
    <row r="1379" spans="2:6">
      <c r="B1379" s="685"/>
      <c r="C1379" s="685"/>
      <c r="D1379" s="685"/>
      <c r="E1379" s="686"/>
      <c r="F1379" s="685"/>
    </row>
    <row r="1380" spans="2:6">
      <c r="B1380" s="685"/>
      <c r="C1380" s="685"/>
      <c r="D1380" s="685"/>
      <c r="E1380" s="686"/>
      <c r="F1380" s="685"/>
    </row>
    <row r="1381" spans="2:6">
      <c r="B1381" s="685"/>
      <c r="C1381" s="685"/>
      <c r="D1381" s="685"/>
      <c r="E1381" s="686"/>
      <c r="F1381" s="685"/>
    </row>
    <row r="1382" spans="2:6">
      <c r="B1382" s="685"/>
      <c r="C1382" s="685"/>
      <c r="D1382" s="685"/>
      <c r="E1382" s="686"/>
      <c r="F1382" s="685"/>
    </row>
    <row r="1383" spans="2:6">
      <c r="B1383" s="685"/>
      <c r="C1383" s="685"/>
      <c r="D1383" s="685"/>
      <c r="E1383" s="686"/>
      <c r="F1383" s="685"/>
    </row>
    <row r="1384" spans="2:6">
      <c r="B1384" s="685"/>
      <c r="C1384" s="685"/>
      <c r="D1384" s="685"/>
      <c r="E1384" s="686"/>
      <c r="F1384" s="685"/>
    </row>
    <row r="1385" spans="2:6">
      <c r="B1385" s="685"/>
      <c r="C1385" s="685"/>
      <c r="D1385" s="685"/>
      <c r="E1385" s="686"/>
      <c r="F1385" s="685"/>
    </row>
    <row r="1386" spans="2:6">
      <c r="B1386" s="685"/>
      <c r="C1386" s="685"/>
      <c r="D1386" s="685"/>
      <c r="E1386" s="686"/>
      <c r="F1386" s="685"/>
    </row>
    <row r="1387" spans="2:6">
      <c r="B1387" s="685"/>
      <c r="C1387" s="685"/>
      <c r="D1387" s="685"/>
      <c r="E1387" s="686"/>
      <c r="F1387" s="685"/>
    </row>
    <row r="1388" spans="2:6">
      <c r="B1388" s="685"/>
      <c r="C1388" s="685"/>
      <c r="D1388" s="685"/>
      <c r="E1388" s="686"/>
      <c r="F1388" s="685"/>
    </row>
    <row r="1389" spans="2:6">
      <c r="B1389" s="685"/>
      <c r="C1389" s="685"/>
      <c r="D1389" s="685"/>
      <c r="E1389" s="686"/>
      <c r="F1389" s="685"/>
    </row>
    <row r="1390" spans="2:6">
      <c r="B1390" s="685"/>
      <c r="C1390" s="685"/>
      <c r="D1390" s="685"/>
      <c r="E1390" s="686"/>
      <c r="F1390" s="685"/>
    </row>
    <row r="1391" spans="2:6">
      <c r="B1391" s="685"/>
      <c r="C1391" s="685"/>
      <c r="D1391" s="685"/>
      <c r="E1391" s="686"/>
      <c r="F1391" s="685"/>
    </row>
    <row r="1392" spans="2:6">
      <c r="B1392" s="685"/>
      <c r="C1392" s="685"/>
      <c r="D1392" s="685"/>
      <c r="E1392" s="686"/>
      <c r="F1392" s="685"/>
    </row>
    <row r="1393" spans="2:6">
      <c r="B1393" s="685"/>
      <c r="C1393" s="685"/>
      <c r="D1393" s="685"/>
      <c r="E1393" s="686"/>
      <c r="F1393" s="685"/>
    </row>
    <row r="1394" spans="2:6">
      <c r="B1394" s="685"/>
      <c r="C1394" s="685"/>
      <c r="D1394" s="685"/>
      <c r="E1394" s="686"/>
      <c r="F1394" s="685"/>
    </row>
    <row r="1395" spans="2:6">
      <c r="B1395" s="685"/>
      <c r="C1395" s="685"/>
      <c r="D1395" s="685"/>
      <c r="E1395" s="686"/>
      <c r="F1395" s="685"/>
    </row>
    <row r="1396" spans="2:6">
      <c r="B1396" s="685"/>
      <c r="C1396" s="685"/>
      <c r="D1396" s="685"/>
      <c r="E1396" s="686"/>
      <c r="F1396" s="685"/>
    </row>
    <row r="1397" spans="2:6">
      <c r="B1397" s="685"/>
      <c r="C1397" s="685"/>
      <c r="D1397" s="685"/>
      <c r="E1397" s="686"/>
      <c r="F1397" s="685"/>
    </row>
    <row r="1398" spans="2:6">
      <c r="B1398" s="685"/>
      <c r="C1398" s="685"/>
      <c r="D1398" s="685"/>
      <c r="E1398" s="686"/>
      <c r="F1398" s="685"/>
    </row>
    <row r="1399" spans="2:6">
      <c r="B1399" s="685"/>
      <c r="C1399" s="685"/>
      <c r="D1399" s="685"/>
      <c r="E1399" s="686"/>
      <c r="F1399" s="685"/>
    </row>
    <row r="1400" spans="2:6">
      <c r="B1400" s="685"/>
      <c r="C1400" s="685"/>
      <c r="D1400" s="685"/>
      <c r="E1400" s="686"/>
      <c r="F1400" s="685"/>
    </row>
    <row r="1401" spans="2:6">
      <c r="B1401" s="685"/>
      <c r="C1401" s="685"/>
      <c r="D1401" s="685"/>
      <c r="E1401" s="686"/>
      <c r="F1401" s="685"/>
    </row>
    <row r="1402" spans="2:6">
      <c r="B1402" s="685"/>
      <c r="C1402" s="685"/>
      <c r="D1402" s="685"/>
      <c r="E1402" s="686"/>
      <c r="F1402" s="685"/>
    </row>
    <row r="1403" spans="2:6">
      <c r="B1403" s="685"/>
      <c r="C1403" s="685"/>
      <c r="D1403" s="685"/>
      <c r="E1403" s="686"/>
      <c r="F1403" s="685"/>
    </row>
    <row r="1404" spans="2:6">
      <c r="B1404" s="685"/>
      <c r="C1404" s="685"/>
      <c r="D1404" s="685"/>
      <c r="E1404" s="686"/>
      <c r="F1404" s="685"/>
    </row>
    <row r="1405" spans="2:6">
      <c r="B1405" s="685"/>
      <c r="C1405" s="685"/>
      <c r="D1405" s="685"/>
      <c r="E1405" s="686"/>
      <c r="F1405" s="685"/>
    </row>
    <row r="1406" spans="2:6">
      <c r="B1406" s="685"/>
      <c r="C1406" s="685"/>
      <c r="D1406" s="685"/>
      <c r="E1406" s="686"/>
      <c r="F1406" s="685"/>
    </row>
    <row r="1407" spans="2:6">
      <c r="B1407" s="685"/>
      <c r="C1407" s="685"/>
      <c r="D1407" s="685"/>
      <c r="E1407" s="686"/>
      <c r="F1407" s="685"/>
    </row>
    <row r="1408" spans="2:6">
      <c r="B1408" s="685"/>
      <c r="C1408" s="685"/>
      <c r="D1408" s="685"/>
      <c r="E1408" s="686"/>
      <c r="F1408" s="685"/>
    </row>
    <row r="1409" spans="2:6">
      <c r="B1409" s="685"/>
      <c r="C1409" s="685"/>
      <c r="D1409" s="685"/>
      <c r="E1409" s="686"/>
      <c r="F1409" s="685"/>
    </row>
    <row r="1410" spans="2:6">
      <c r="B1410" s="685"/>
      <c r="C1410" s="685"/>
      <c r="D1410" s="685"/>
      <c r="E1410" s="686"/>
      <c r="F1410" s="685"/>
    </row>
    <row r="1411" spans="2:6">
      <c r="B1411" s="685"/>
      <c r="C1411" s="685"/>
      <c r="D1411" s="685"/>
      <c r="E1411" s="686"/>
      <c r="F1411" s="685"/>
    </row>
    <row r="1412" spans="2:6">
      <c r="B1412" s="685"/>
      <c r="C1412" s="685"/>
      <c r="D1412" s="685"/>
      <c r="E1412" s="686"/>
      <c r="F1412" s="685"/>
    </row>
    <row r="1413" spans="2:6">
      <c r="B1413" s="685"/>
      <c r="C1413" s="685"/>
      <c r="D1413" s="685"/>
      <c r="E1413" s="686"/>
      <c r="F1413" s="685"/>
    </row>
    <row r="1414" spans="2:6">
      <c r="B1414" s="685"/>
      <c r="C1414" s="685"/>
      <c r="D1414" s="685"/>
      <c r="E1414" s="686"/>
      <c r="F1414" s="685"/>
    </row>
    <row r="1415" spans="2:6">
      <c r="B1415" s="685"/>
      <c r="C1415" s="685"/>
      <c r="D1415" s="685"/>
      <c r="E1415" s="686"/>
      <c r="F1415" s="685"/>
    </row>
    <row r="1416" spans="2:6">
      <c r="B1416" s="685"/>
      <c r="C1416" s="685"/>
      <c r="D1416" s="685"/>
      <c r="E1416" s="686"/>
      <c r="F1416" s="685"/>
    </row>
    <row r="1417" spans="2:6">
      <c r="B1417" s="685"/>
      <c r="C1417" s="685"/>
      <c r="D1417" s="685"/>
      <c r="E1417" s="686"/>
      <c r="F1417" s="685"/>
    </row>
    <row r="1418" spans="2:6">
      <c r="B1418" s="685"/>
      <c r="C1418" s="685"/>
      <c r="D1418" s="685"/>
      <c r="E1418" s="686"/>
      <c r="F1418" s="685"/>
    </row>
    <row r="1419" spans="2:6">
      <c r="B1419" s="685"/>
      <c r="C1419" s="685"/>
      <c r="D1419" s="685"/>
      <c r="E1419" s="686"/>
      <c r="F1419" s="685"/>
    </row>
    <row r="1420" spans="2:6">
      <c r="B1420" s="685"/>
      <c r="C1420" s="685"/>
      <c r="D1420" s="685"/>
      <c r="E1420" s="686"/>
      <c r="F1420" s="685"/>
    </row>
    <row r="1421" spans="2:6">
      <c r="B1421" s="685"/>
      <c r="C1421" s="685"/>
      <c r="D1421" s="685"/>
      <c r="E1421" s="686"/>
      <c r="F1421" s="685"/>
    </row>
    <row r="1422" spans="2:6">
      <c r="B1422" s="685"/>
      <c r="C1422" s="685"/>
      <c r="D1422" s="685"/>
      <c r="E1422" s="686"/>
      <c r="F1422" s="685"/>
    </row>
    <row r="1423" spans="2:6">
      <c r="B1423" s="685"/>
      <c r="C1423" s="685"/>
      <c r="D1423" s="685"/>
      <c r="E1423" s="686"/>
      <c r="F1423" s="685"/>
    </row>
    <row r="1424" spans="2:6">
      <c r="B1424" s="685"/>
      <c r="C1424" s="685"/>
      <c r="D1424" s="685"/>
      <c r="E1424" s="686"/>
      <c r="F1424" s="685"/>
    </row>
    <row r="1425" spans="2:6">
      <c r="B1425" s="685"/>
      <c r="C1425" s="685"/>
      <c r="D1425" s="685"/>
      <c r="E1425" s="686"/>
      <c r="F1425" s="685"/>
    </row>
    <row r="1426" spans="2:6">
      <c r="B1426" s="685"/>
      <c r="C1426" s="685"/>
      <c r="D1426" s="685"/>
      <c r="E1426" s="686"/>
      <c r="F1426" s="685"/>
    </row>
    <row r="1427" spans="2:6">
      <c r="B1427" s="685"/>
      <c r="C1427" s="685"/>
      <c r="D1427" s="685"/>
      <c r="E1427" s="686"/>
      <c r="F1427" s="685"/>
    </row>
    <row r="1428" spans="2:6">
      <c r="B1428" s="685"/>
      <c r="C1428" s="685"/>
      <c r="D1428" s="685"/>
      <c r="E1428" s="686"/>
      <c r="F1428" s="685"/>
    </row>
    <row r="1429" spans="2:6">
      <c r="B1429" s="685"/>
      <c r="C1429" s="685"/>
      <c r="D1429" s="685"/>
      <c r="E1429" s="686"/>
      <c r="F1429" s="685"/>
    </row>
    <row r="1430" spans="2:6">
      <c r="B1430" s="685"/>
      <c r="C1430" s="685"/>
      <c r="D1430" s="685"/>
      <c r="E1430" s="686"/>
      <c r="F1430" s="685"/>
    </row>
    <row r="1431" spans="2:6">
      <c r="B1431" s="685"/>
      <c r="C1431" s="685"/>
      <c r="D1431" s="685"/>
      <c r="E1431" s="686"/>
      <c r="F1431" s="685"/>
    </row>
    <row r="1432" spans="2:6">
      <c r="B1432" s="685"/>
      <c r="C1432" s="685"/>
      <c r="D1432" s="685"/>
      <c r="E1432" s="686"/>
      <c r="F1432" s="685"/>
    </row>
    <row r="1433" spans="2:6">
      <c r="B1433" s="685"/>
      <c r="C1433" s="685"/>
      <c r="D1433" s="685"/>
      <c r="E1433" s="686"/>
      <c r="F1433" s="685"/>
    </row>
    <row r="1434" spans="2:6">
      <c r="B1434" s="685"/>
      <c r="C1434" s="685"/>
      <c r="D1434" s="685"/>
      <c r="E1434" s="686"/>
      <c r="F1434" s="685"/>
    </row>
    <row r="1435" spans="2:6">
      <c r="B1435" s="685"/>
      <c r="C1435" s="685"/>
      <c r="D1435" s="685"/>
      <c r="E1435" s="686"/>
      <c r="F1435" s="685"/>
    </row>
    <row r="1436" spans="2:6">
      <c r="B1436" s="685"/>
      <c r="C1436" s="685"/>
      <c r="D1436" s="685"/>
      <c r="E1436" s="686"/>
      <c r="F1436" s="685"/>
    </row>
    <row r="1437" spans="2:6">
      <c r="B1437" s="685"/>
      <c r="C1437" s="685"/>
      <c r="D1437" s="685"/>
      <c r="E1437" s="686"/>
      <c r="F1437" s="685"/>
    </row>
    <row r="1438" spans="2:6">
      <c r="B1438" s="685"/>
      <c r="C1438" s="685"/>
      <c r="D1438" s="685"/>
      <c r="E1438" s="686"/>
      <c r="F1438" s="685"/>
    </row>
    <row r="1439" spans="2:6">
      <c r="B1439" s="685"/>
      <c r="C1439" s="685"/>
      <c r="D1439" s="685"/>
      <c r="E1439" s="686"/>
      <c r="F1439" s="685"/>
    </row>
    <row r="1440" spans="2:6">
      <c r="B1440" s="685"/>
      <c r="C1440" s="685"/>
      <c r="D1440" s="685"/>
      <c r="E1440" s="686"/>
      <c r="F1440" s="685"/>
    </row>
    <row r="1441" spans="2:6">
      <c r="B1441" s="685"/>
      <c r="C1441" s="685"/>
      <c r="D1441" s="685"/>
      <c r="E1441" s="686"/>
      <c r="F1441" s="685"/>
    </row>
    <row r="1442" spans="2:6">
      <c r="B1442" s="685"/>
      <c r="C1442" s="685"/>
      <c r="D1442" s="685"/>
      <c r="E1442" s="686"/>
      <c r="F1442" s="685"/>
    </row>
    <row r="1443" spans="2:6">
      <c r="B1443" s="685"/>
      <c r="C1443" s="685"/>
      <c r="D1443" s="685"/>
      <c r="E1443" s="686"/>
      <c r="F1443" s="685"/>
    </row>
    <row r="1444" spans="2:6">
      <c r="B1444" s="685"/>
      <c r="C1444" s="685"/>
      <c r="D1444" s="685"/>
      <c r="E1444" s="686"/>
      <c r="F1444" s="685"/>
    </row>
    <row r="1445" spans="2:6">
      <c r="B1445" s="685"/>
      <c r="C1445" s="685"/>
      <c r="D1445" s="685"/>
      <c r="E1445" s="686"/>
      <c r="F1445" s="685"/>
    </row>
    <row r="1446" spans="2:6">
      <c r="B1446" s="685"/>
      <c r="C1446" s="685"/>
      <c r="D1446" s="685"/>
      <c r="E1446" s="686"/>
      <c r="F1446" s="685"/>
    </row>
    <row r="1447" spans="2:6">
      <c r="B1447" s="685"/>
      <c r="C1447" s="685"/>
      <c r="D1447" s="685"/>
      <c r="E1447" s="686"/>
      <c r="F1447" s="685"/>
    </row>
    <row r="1448" spans="2:6">
      <c r="B1448" s="685"/>
      <c r="C1448" s="685"/>
      <c r="D1448" s="685"/>
      <c r="E1448" s="686"/>
      <c r="F1448" s="685"/>
    </row>
    <row r="1449" spans="2:6">
      <c r="B1449" s="685"/>
      <c r="C1449" s="685"/>
      <c r="D1449" s="685"/>
      <c r="E1449" s="686"/>
      <c r="F1449" s="685"/>
    </row>
    <row r="1450" spans="2:6">
      <c r="B1450" s="685"/>
      <c r="C1450" s="685"/>
      <c r="D1450" s="685"/>
      <c r="E1450" s="686"/>
      <c r="F1450" s="685"/>
    </row>
    <row r="1451" spans="2:6">
      <c r="B1451" s="685"/>
      <c r="C1451" s="685"/>
      <c r="D1451" s="685"/>
      <c r="E1451" s="686"/>
      <c r="F1451" s="685"/>
    </row>
    <row r="1452" spans="2:6">
      <c r="B1452" s="685"/>
      <c r="C1452" s="685"/>
      <c r="D1452" s="685"/>
      <c r="E1452" s="686"/>
      <c r="F1452" s="685"/>
    </row>
    <row r="1453" spans="2:6">
      <c r="B1453" s="685"/>
      <c r="C1453" s="685"/>
      <c r="D1453" s="685"/>
      <c r="E1453" s="686"/>
      <c r="F1453" s="685"/>
    </row>
    <row r="1454" spans="2:6">
      <c r="B1454" s="685"/>
      <c r="C1454" s="685"/>
      <c r="D1454" s="685"/>
      <c r="E1454" s="686"/>
      <c r="F1454" s="685"/>
    </row>
    <row r="1455" spans="2:6">
      <c r="B1455" s="685"/>
      <c r="C1455" s="685"/>
      <c r="D1455" s="685"/>
      <c r="E1455" s="686"/>
      <c r="F1455" s="685"/>
    </row>
    <row r="1456" spans="2:6">
      <c r="B1456" s="685"/>
      <c r="C1456" s="685"/>
      <c r="D1456" s="685"/>
      <c r="E1456" s="686"/>
      <c r="F1456" s="685"/>
    </row>
    <row r="1457" spans="2:6">
      <c r="B1457" s="685"/>
      <c r="C1457" s="685"/>
      <c r="D1457" s="685"/>
      <c r="E1457" s="686"/>
      <c r="F1457" s="685"/>
    </row>
    <row r="1458" spans="2:6">
      <c r="B1458" s="685"/>
      <c r="C1458" s="685"/>
      <c r="D1458" s="685"/>
      <c r="E1458" s="686"/>
      <c r="F1458" s="685"/>
    </row>
    <row r="1459" spans="2:6">
      <c r="B1459" s="685"/>
      <c r="C1459" s="685"/>
      <c r="D1459" s="685"/>
      <c r="E1459" s="686"/>
      <c r="F1459" s="685"/>
    </row>
    <row r="1460" spans="2:6">
      <c r="B1460" s="685"/>
      <c r="C1460" s="685"/>
      <c r="D1460" s="685"/>
      <c r="E1460" s="686"/>
      <c r="F1460" s="685"/>
    </row>
    <row r="1461" spans="2:6">
      <c r="B1461" s="685"/>
      <c r="C1461" s="685"/>
      <c r="D1461" s="685"/>
      <c r="E1461" s="686"/>
      <c r="F1461" s="685"/>
    </row>
    <row r="1462" spans="2:6">
      <c r="B1462" s="685"/>
      <c r="C1462" s="685"/>
      <c r="D1462" s="685"/>
      <c r="E1462" s="686"/>
      <c r="F1462" s="685"/>
    </row>
    <row r="1463" spans="2:6">
      <c r="B1463" s="685"/>
      <c r="C1463" s="685"/>
      <c r="D1463" s="685"/>
      <c r="E1463" s="686"/>
      <c r="F1463" s="685"/>
    </row>
    <row r="1464" spans="2:6">
      <c r="B1464" s="685"/>
      <c r="C1464" s="685"/>
      <c r="D1464" s="685"/>
      <c r="E1464" s="686"/>
      <c r="F1464" s="685"/>
    </row>
    <row r="1465" spans="2:6">
      <c r="B1465" s="685"/>
      <c r="C1465" s="685"/>
      <c r="D1465" s="685"/>
      <c r="E1465" s="686"/>
      <c r="F1465" s="685"/>
    </row>
    <row r="1466" spans="2:6">
      <c r="B1466" s="685"/>
      <c r="C1466" s="685"/>
      <c r="D1466" s="685"/>
      <c r="E1466" s="686"/>
      <c r="F1466" s="685"/>
    </row>
    <row r="1467" spans="2:6">
      <c r="B1467" s="685"/>
      <c r="C1467" s="685"/>
      <c r="D1467" s="685"/>
      <c r="E1467" s="686"/>
      <c r="F1467" s="685"/>
    </row>
    <row r="1468" spans="2:6">
      <c r="B1468" s="685"/>
      <c r="C1468" s="685"/>
      <c r="D1468" s="685"/>
      <c r="E1468" s="686"/>
      <c r="F1468" s="685"/>
    </row>
    <row r="1469" spans="2:6">
      <c r="B1469" s="685"/>
      <c r="C1469" s="685"/>
      <c r="D1469" s="685"/>
      <c r="E1469" s="686"/>
      <c r="F1469" s="685"/>
    </row>
    <row r="1470" spans="2:6">
      <c r="B1470" s="685"/>
      <c r="C1470" s="685"/>
      <c r="D1470" s="685"/>
      <c r="E1470" s="686"/>
      <c r="F1470" s="685"/>
    </row>
    <row r="1471" spans="2:6">
      <c r="B1471" s="685"/>
      <c r="C1471" s="685"/>
      <c r="D1471" s="685"/>
      <c r="E1471" s="686"/>
      <c r="F1471" s="685"/>
    </row>
    <row r="1472" spans="2:6">
      <c r="B1472" s="685"/>
      <c r="C1472" s="685"/>
      <c r="D1472" s="685"/>
      <c r="E1472" s="686"/>
      <c r="F1472" s="685"/>
    </row>
    <row r="1473" spans="2:6">
      <c r="B1473" s="685"/>
      <c r="C1473" s="685"/>
      <c r="D1473" s="685"/>
      <c r="E1473" s="686"/>
      <c r="F1473" s="685"/>
    </row>
    <row r="1474" spans="2:6">
      <c r="B1474" s="685"/>
      <c r="C1474" s="685"/>
      <c r="D1474" s="685"/>
      <c r="E1474" s="686"/>
      <c r="F1474" s="685"/>
    </row>
    <row r="1475" spans="2:6">
      <c r="B1475" s="685"/>
      <c r="C1475" s="685"/>
      <c r="D1475" s="685"/>
      <c r="E1475" s="686"/>
      <c r="F1475" s="685"/>
    </row>
    <row r="1476" spans="2:6">
      <c r="B1476" s="685"/>
      <c r="C1476" s="685"/>
      <c r="D1476" s="685"/>
      <c r="E1476" s="686"/>
      <c r="F1476" s="685"/>
    </row>
    <row r="1477" spans="2:6">
      <c r="B1477" s="685"/>
      <c r="C1477" s="685"/>
      <c r="D1477" s="685"/>
      <c r="E1477" s="686"/>
      <c r="F1477" s="685"/>
    </row>
    <row r="1478" spans="2:6">
      <c r="B1478" s="685"/>
      <c r="C1478" s="685"/>
      <c r="D1478" s="685"/>
      <c r="E1478" s="686"/>
      <c r="F1478" s="685"/>
    </row>
    <row r="1479" spans="2:6">
      <c r="B1479" s="685"/>
      <c r="C1479" s="685"/>
      <c r="D1479" s="685"/>
      <c r="E1479" s="686"/>
      <c r="F1479" s="685"/>
    </row>
    <row r="1480" spans="2:6">
      <c r="B1480" s="685"/>
      <c r="C1480" s="685"/>
      <c r="D1480" s="685"/>
      <c r="E1480" s="686"/>
      <c r="F1480" s="685"/>
    </row>
    <row r="1481" spans="2:6">
      <c r="B1481" s="685"/>
      <c r="C1481" s="685"/>
      <c r="D1481" s="685"/>
      <c r="E1481" s="686"/>
      <c r="F1481" s="685"/>
    </row>
    <row r="1482" spans="2:6">
      <c r="B1482" s="685"/>
      <c r="C1482" s="685"/>
      <c r="D1482" s="685"/>
      <c r="E1482" s="686"/>
      <c r="F1482" s="685"/>
    </row>
    <row r="1483" spans="2:6">
      <c r="B1483" s="685"/>
      <c r="C1483" s="685"/>
      <c r="D1483" s="685"/>
      <c r="E1483" s="686"/>
      <c r="F1483" s="685"/>
    </row>
    <row r="1484" spans="2:6">
      <c r="B1484" s="685"/>
      <c r="C1484" s="685"/>
      <c r="D1484" s="685"/>
      <c r="E1484" s="686"/>
      <c r="F1484" s="685"/>
    </row>
    <row r="1485" spans="2:6">
      <c r="B1485" s="685"/>
      <c r="C1485" s="685"/>
      <c r="D1485" s="685"/>
      <c r="E1485" s="686"/>
      <c r="F1485" s="685"/>
    </row>
    <row r="1486" spans="2:6">
      <c r="B1486" s="685"/>
      <c r="C1486" s="685"/>
      <c r="D1486" s="685"/>
      <c r="E1486" s="686"/>
      <c r="F1486" s="685"/>
    </row>
    <row r="1487" spans="2:6">
      <c r="B1487" s="685"/>
      <c r="C1487" s="685"/>
      <c r="D1487" s="685"/>
      <c r="E1487" s="686"/>
      <c r="F1487" s="685"/>
    </row>
    <row r="1488" spans="2:6">
      <c r="B1488" s="685"/>
      <c r="C1488" s="685"/>
      <c r="D1488" s="685"/>
      <c r="E1488" s="686"/>
      <c r="F1488" s="685"/>
    </row>
    <row r="1489" spans="2:6">
      <c r="B1489" s="685"/>
      <c r="C1489" s="685"/>
      <c r="D1489" s="685"/>
      <c r="E1489" s="686"/>
      <c r="F1489" s="685"/>
    </row>
    <row r="1490" spans="2:6">
      <c r="B1490" s="685"/>
      <c r="C1490" s="685"/>
      <c r="D1490" s="685"/>
      <c r="E1490" s="686"/>
      <c r="F1490" s="685"/>
    </row>
    <row r="1491" spans="2:6">
      <c r="B1491" s="685"/>
      <c r="C1491" s="685"/>
      <c r="D1491" s="685"/>
      <c r="E1491" s="686"/>
      <c r="F1491" s="685"/>
    </row>
    <row r="1492" spans="2:6">
      <c r="B1492" s="685"/>
      <c r="C1492" s="685"/>
      <c r="D1492" s="685"/>
      <c r="E1492" s="686"/>
      <c r="F1492" s="685"/>
    </row>
    <row r="1493" spans="2:6">
      <c r="B1493" s="685"/>
      <c r="C1493" s="685"/>
      <c r="D1493" s="685"/>
      <c r="E1493" s="686"/>
      <c r="F1493" s="685"/>
    </row>
    <row r="1494" spans="2:6">
      <c r="B1494" s="685"/>
      <c r="C1494" s="685"/>
      <c r="D1494" s="685"/>
      <c r="E1494" s="686"/>
      <c r="F1494" s="685"/>
    </row>
    <row r="1495" spans="2:6">
      <c r="B1495" s="685"/>
      <c r="C1495" s="685"/>
      <c r="D1495" s="685"/>
      <c r="E1495" s="686"/>
      <c r="F1495" s="685"/>
    </row>
    <row r="1496" spans="2:6">
      <c r="B1496" s="685"/>
      <c r="C1496" s="685"/>
      <c r="D1496" s="685"/>
      <c r="E1496" s="686"/>
      <c r="F1496" s="685"/>
    </row>
    <row r="1497" spans="2:6">
      <c r="B1497" s="685"/>
      <c r="C1497" s="685"/>
      <c r="D1497" s="685"/>
      <c r="E1497" s="686"/>
      <c r="F1497" s="685"/>
    </row>
    <row r="1498" spans="2:6">
      <c r="B1498" s="685"/>
      <c r="C1498" s="685"/>
      <c r="D1498" s="685"/>
      <c r="E1498" s="686"/>
      <c r="F1498" s="685"/>
    </row>
    <row r="1499" spans="2:6">
      <c r="B1499" s="685"/>
      <c r="C1499" s="685"/>
      <c r="D1499" s="685"/>
      <c r="E1499" s="686"/>
      <c r="F1499" s="685"/>
    </row>
    <row r="1500" spans="2:6">
      <c r="B1500" s="685"/>
      <c r="C1500" s="685"/>
      <c r="D1500" s="685"/>
      <c r="E1500" s="686"/>
      <c r="F1500" s="685"/>
    </row>
    <row r="1501" spans="2:6">
      <c r="B1501" s="685"/>
      <c r="C1501" s="685"/>
      <c r="D1501" s="685"/>
      <c r="E1501" s="686"/>
      <c r="F1501" s="685"/>
    </row>
    <row r="1502" spans="2:6">
      <c r="B1502" s="685"/>
      <c r="C1502" s="685"/>
      <c r="D1502" s="685"/>
      <c r="E1502" s="686"/>
      <c r="F1502" s="685"/>
    </row>
    <row r="1503" spans="2:6">
      <c r="B1503" s="685"/>
      <c r="C1503" s="685"/>
      <c r="D1503" s="685"/>
      <c r="E1503" s="686"/>
      <c r="F1503" s="685"/>
    </row>
    <row r="1504" spans="2:6">
      <c r="B1504" s="685"/>
      <c r="C1504" s="685"/>
      <c r="D1504" s="685"/>
      <c r="E1504" s="686"/>
      <c r="F1504" s="685"/>
    </row>
    <row r="1505" spans="2:6">
      <c r="B1505" s="685"/>
      <c r="C1505" s="685"/>
      <c r="D1505" s="685"/>
      <c r="E1505" s="686"/>
      <c r="F1505" s="685"/>
    </row>
    <row r="1506" spans="2:6">
      <c r="B1506" s="685"/>
      <c r="C1506" s="685"/>
      <c r="D1506" s="685"/>
      <c r="E1506" s="686"/>
      <c r="F1506" s="685"/>
    </row>
    <row r="1507" spans="2:6">
      <c r="B1507" s="685"/>
      <c r="C1507" s="685"/>
      <c r="D1507" s="685"/>
      <c r="E1507" s="686"/>
      <c r="F1507" s="685"/>
    </row>
    <row r="1508" spans="2:6">
      <c r="B1508" s="685"/>
      <c r="C1508" s="685"/>
      <c r="D1508" s="685"/>
      <c r="E1508" s="686"/>
      <c r="F1508" s="685"/>
    </row>
    <row r="1509" spans="2:6">
      <c r="B1509" s="685"/>
      <c r="C1509" s="685"/>
      <c r="D1509" s="685"/>
      <c r="E1509" s="686"/>
      <c r="F1509" s="685"/>
    </row>
    <row r="1510" spans="2:6">
      <c r="B1510" s="685"/>
      <c r="C1510" s="685"/>
      <c r="D1510" s="685"/>
      <c r="E1510" s="686"/>
      <c r="F1510" s="685"/>
    </row>
    <row r="1511" spans="2:6">
      <c r="B1511" s="685"/>
      <c r="C1511" s="685"/>
      <c r="D1511" s="685"/>
      <c r="E1511" s="686"/>
      <c r="F1511" s="685"/>
    </row>
    <row r="1512" spans="2:6">
      <c r="B1512" s="685"/>
      <c r="C1512" s="685"/>
      <c r="D1512" s="685"/>
      <c r="E1512" s="686"/>
      <c r="F1512" s="685"/>
    </row>
    <row r="1513" spans="2:6">
      <c r="B1513" s="685"/>
      <c r="C1513" s="685"/>
      <c r="D1513" s="685"/>
      <c r="E1513" s="686"/>
      <c r="F1513" s="685"/>
    </row>
    <row r="1514" spans="2:6">
      <c r="B1514" s="685"/>
      <c r="C1514" s="685"/>
      <c r="D1514" s="685"/>
      <c r="E1514" s="686"/>
      <c r="F1514" s="685"/>
    </row>
    <row r="1515" spans="2:6">
      <c r="B1515" s="685"/>
      <c r="C1515" s="685"/>
      <c r="D1515" s="685"/>
      <c r="E1515" s="686"/>
      <c r="F1515" s="685"/>
    </row>
    <row r="1516" spans="2:6">
      <c r="B1516" s="685"/>
      <c r="C1516" s="685"/>
      <c r="D1516" s="685"/>
      <c r="E1516" s="686"/>
      <c r="F1516" s="685"/>
    </row>
    <row r="1517" spans="2:6">
      <c r="B1517" s="685"/>
      <c r="C1517" s="685"/>
      <c r="D1517" s="685"/>
      <c r="E1517" s="686"/>
      <c r="F1517" s="685"/>
    </row>
    <row r="1518" spans="2:6">
      <c r="B1518" s="685"/>
      <c r="C1518" s="685"/>
      <c r="D1518" s="685"/>
      <c r="E1518" s="686"/>
      <c r="F1518" s="685"/>
    </row>
    <row r="1519" spans="2:6">
      <c r="B1519" s="685"/>
      <c r="C1519" s="685"/>
      <c r="D1519" s="685"/>
      <c r="E1519" s="686"/>
      <c r="F1519" s="685"/>
    </row>
    <row r="1520" spans="2:6">
      <c r="B1520" s="685"/>
      <c r="C1520" s="685"/>
      <c r="D1520" s="685"/>
      <c r="E1520" s="686"/>
      <c r="F1520" s="685"/>
    </row>
    <row r="1521" spans="2:6">
      <c r="B1521" s="685"/>
      <c r="C1521" s="685"/>
      <c r="D1521" s="685"/>
      <c r="E1521" s="686"/>
      <c r="F1521" s="685"/>
    </row>
    <row r="1522" spans="2:6">
      <c r="B1522" s="685"/>
      <c r="C1522" s="685"/>
      <c r="D1522" s="685"/>
      <c r="E1522" s="686"/>
      <c r="F1522" s="685"/>
    </row>
    <row r="1523" spans="2:6">
      <c r="B1523" s="685"/>
      <c r="C1523" s="685"/>
      <c r="D1523" s="685"/>
      <c r="E1523" s="686"/>
      <c r="F1523" s="685"/>
    </row>
    <row r="1524" spans="2:6">
      <c r="B1524" s="685"/>
      <c r="C1524" s="685"/>
      <c r="D1524" s="685"/>
      <c r="E1524" s="686"/>
      <c r="F1524" s="685"/>
    </row>
    <row r="1525" spans="2:6">
      <c r="B1525" s="685"/>
      <c r="C1525" s="685"/>
      <c r="D1525" s="685"/>
      <c r="E1525" s="686"/>
      <c r="F1525" s="685"/>
    </row>
    <row r="1526" spans="2:6">
      <c r="B1526" s="685"/>
      <c r="C1526" s="685"/>
      <c r="D1526" s="685"/>
      <c r="E1526" s="686"/>
      <c r="F1526" s="685"/>
    </row>
    <row r="1527" spans="2:6">
      <c r="B1527" s="685"/>
      <c r="C1527" s="685"/>
      <c r="D1527" s="685"/>
      <c r="E1527" s="686"/>
      <c r="F1527" s="685"/>
    </row>
    <row r="1528" spans="2:6">
      <c r="B1528" s="685"/>
      <c r="C1528" s="685"/>
      <c r="D1528" s="685"/>
      <c r="E1528" s="686"/>
      <c r="F1528" s="685"/>
    </row>
    <row r="1529" spans="2:6">
      <c r="B1529" s="685"/>
      <c r="C1529" s="685"/>
      <c r="D1529" s="685"/>
      <c r="E1529" s="686"/>
      <c r="F1529" s="685"/>
    </row>
    <row r="1530" spans="2:6">
      <c r="B1530" s="685"/>
      <c r="C1530" s="685"/>
      <c r="D1530" s="685"/>
      <c r="E1530" s="686"/>
      <c r="F1530" s="685"/>
    </row>
    <row r="1531" spans="2:6">
      <c r="B1531" s="685"/>
      <c r="C1531" s="685"/>
      <c r="D1531" s="685"/>
      <c r="E1531" s="686"/>
      <c r="F1531" s="685"/>
    </row>
    <row r="1532" spans="2:6">
      <c r="B1532" s="685"/>
      <c r="C1532" s="685"/>
      <c r="D1532" s="685"/>
      <c r="E1532" s="686"/>
      <c r="F1532" s="685"/>
    </row>
    <row r="1533" spans="2:6">
      <c r="B1533" s="685"/>
      <c r="C1533" s="685"/>
      <c r="D1533" s="685"/>
      <c r="E1533" s="686"/>
      <c r="F1533" s="685"/>
    </row>
    <row r="1534" spans="2:6">
      <c r="B1534" s="685"/>
      <c r="C1534" s="685"/>
      <c r="D1534" s="685"/>
      <c r="E1534" s="686"/>
      <c r="F1534" s="685"/>
    </row>
    <row r="1535" spans="2:6">
      <c r="B1535" s="685"/>
      <c r="C1535" s="685"/>
      <c r="D1535" s="685"/>
      <c r="E1535" s="686"/>
      <c r="F1535" s="685"/>
    </row>
    <row r="1536" spans="2:6">
      <c r="B1536" s="685"/>
      <c r="C1536" s="685"/>
      <c r="D1536" s="685"/>
      <c r="E1536" s="686"/>
      <c r="F1536" s="685"/>
    </row>
    <row r="1537" spans="2:6">
      <c r="B1537" s="685"/>
      <c r="C1537" s="685"/>
      <c r="D1537" s="685"/>
      <c r="E1537" s="686"/>
      <c r="F1537" s="685"/>
    </row>
    <row r="1538" spans="2:6">
      <c r="B1538" s="685"/>
      <c r="C1538" s="685"/>
      <c r="D1538" s="685"/>
      <c r="E1538" s="686"/>
      <c r="F1538" s="685"/>
    </row>
    <row r="1539" spans="2:6">
      <c r="B1539" s="685"/>
      <c r="C1539" s="685"/>
      <c r="D1539" s="685"/>
      <c r="E1539" s="686"/>
      <c r="F1539" s="685"/>
    </row>
    <row r="1540" spans="2:6">
      <c r="B1540" s="685"/>
      <c r="C1540" s="685"/>
      <c r="D1540" s="685"/>
      <c r="E1540" s="686"/>
      <c r="F1540" s="685"/>
    </row>
    <row r="1541" spans="2:6">
      <c r="B1541" s="685"/>
      <c r="C1541" s="685"/>
      <c r="D1541" s="685"/>
      <c r="E1541" s="686"/>
      <c r="F1541" s="685"/>
    </row>
    <row r="1542" spans="2:6">
      <c r="B1542" s="685"/>
      <c r="C1542" s="685"/>
      <c r="D1542" s="685"/>
      <c r="E1542" s="686"/>
      <c r="F1542" s="685"/>
    </row>
    <row r="1543" spans="2:6">
      <c r="B1543" s="685"/>
      <c r="C1543" s="685"/>
      <c r="D1543" s="685"/>
      <c r="E1543" s="686"/>
      <c r="F1543" s="685"/>
    </row>
    <row r="1544" spans="2:6">
      <c r="B1544" s="685"/>
      <c r="C1544" s="685"/>
      <c r="D1544" s="685"/>
      <c r="E1544" s="686"/>
      <c r="F1544" s="685"/>
    </row>
    <row r="1545" spans="2:6">
      <c r="B1545" s="685"/>
      <c r="C1545" s="685"/>
      <c r="D1545" s="685"/>
      <c r="E1545" s="686"/>
      <c r="F1545" s="685"/>
    </row>
    <row r="1546" spans="2:6">
      <c r="B1546" s="685"/>
      <c r="C1546" s="685"/>
      <c r="D1546" s="685"/>
      <c r="E1546" s="686"/>
      <c r="F1546" s="685"/>
    </row>
    <row r="1547" spans="2:6">
      <c r="B1547" s="685"/>
      <c r="C1547" s="685"/>
      <c r="D1547" s="685"/>
      <c r="E1547" s="686"/>
      <c r="F1547" s="685"/>
    </row>
    <row r="1548" spans="2:6">
      <c r="B1548" s="685"/>
      <c r="C1548" s="685"/>
      <c r="D1548" s="685"/>
      <c r="E1548" s="686"/>
      <c r="F1548" s="685"/>
    </row>
    <row r="1549" spans="2:6">
      <c r="B1549" s="685"/>
      <c r="C1549" s="685"/>
      <c r="D1549" s="685"/>
      <c r="E1549" s="686"/>
      <c r="F1549" s="685"/>
    </row>
    <row r="1550" spans="2:6">
      <c r="B1550" s="685"/>
      <c r="C1550" s="685"/>
      <c r="D1550" s="685"/>
      <c r="E1550" s="686"/>
      <c r="F1550" s="685"/>
    </row>
    <row r="1551" spans="2:6">
      <c r="B1551" s="685"/>
      <c r="C1551" s="685"/>
      <c r="D1551" s="685"/>
      <c r="E1551" s="686"/>
      <c r="F1551" s="685"/>
    </row>
    <row r="1552" spans="2:6">
      <c r="B1552" s="685"/>
      <c r="C1552" s="685"/>
      <c r="D1552" s="685"/>
      <c r="E1552" s="686"/>
      <c r="F1552" s="685"/>
    </row>
    <row r="1553" spans="2:6">
      <c r="B1553" s="685"/>
      <c r="C1553" s="685"/>
      <c r="D1553" s="685"/>
      <c r="E1553" s="686"/>
      <c r="F1553" s="685"/>
    </row>
    <row r="1554" spans="2:6">
      <c r="B1554" s="685"/>
      <c r="C1554" s="685"/>
      <c r="D1554" s="685"/>
      <c r="E1554" s="686"/>
      <c r="F1554" s="685"/>
    </row>
    <row r="1555" spans="2:6">
      <c r="B1555" s="685"/>
      <c r="C1555" s="685"/>
      <c r="D1555" s="685"/>
      <c r="E1555" s="686"/>
      <c r="F1555" s="685"/>
    </row>
    <row r="1556" spans="2:6">
      <c r="B1556" s="685"/>
      <c r="C1556" s="685"/>
      <c r="D1556" s="685"/>
      <c r="E1556" s="686"/>
      <c r="F1556" s="685"/>
    </row>
    <row r="1557" spans="2:6">
      <c r="B1557" s="685"/>
      <c r="C1557" s="685"/>
      <c r="D1557" s="685"/>
      <c r="E1557" s="686"/>
      <c r="F1557" s="685"/>
    </row>
    <row r="1558" spans="2:6">
      <c r="B1558" s="685"/>
      <c r="C1558" s="685"/>
      <c r="D1558" s="685"/>
      <c r="E1558" s="686"/>
      <c r="F1558" s="685"/>
    </row>
    <row r="1559" spans="2:6">
      <c r="B1559" s="685"/>
      <c r="C1559" s="685"/>
      <c r="D1559" s="685"/>
      <c r="E1559" s="686"/>
      <c r="F1559" s="685"/>
    </row>
    <row r="1560" spans="2:6">
      <c r="B1560" s="685"/>
      <c r="C1560" s="685"/>
      <c r="D1560" s="685"/>
      <c r="E1560" s="686"/>
      <c r="F1560" s="685"/>
    </row>
    <row r="1561" spans="2:6">
      <c r="B1561" s="685"/>
      <c r="C1561" s="685"/>
      <c r="D1561" s="685"/>
      <c r="E1561" s="686"/>
      <c r="F1561" s="685"/>
    </row>
    <row r="1562" spans="2:6">
      <c r="B1562" s="685"/>
      <c r="C1562" s="685"/>
      <c r="D1562" s="685"/>
      <c r="E1562" s="686"/>
      <c r="F1562" s="685"/>
    </row>
    <row r="1563" spans="2:6">
      <c r="B1563" s="685"/>
      <c r="C1563" s="685"/>
      <c r="D1563" s="685"/>
      <c r="E1563" s="686"/>
      <c r="F1563" s="685"/>
    </row>
    <row r="1564" spans="2:6">
      <c r="B1564" s="685"/>
      <c r="C1564" s="685"/>
      <c r="D1564" s="685"/>
      <c r="E1564" s="686"/>
      <c r="F1564" s="685"/>
    </row>
    <row r="1565" spans="2:6">
      <c r="B1565" s="685"/>
      <c r="C1565" s="685"/>
      <c r="D1565" s="685"/>
      <c r="E1565" s="686"/>
      <c r="F1565" s="685"/>
    </row>
    <row r="1566" spans="2:6">
      <c r="B1566" s="685"/>
      <c r="C1566" s="685"/>
      <c r="D1566" s="685"/>
      <c r="E1566" s="686"/>
      <c r="F1566" s="685"/>
    </row>
    <row r="1567" spans="2:6">
      <c r="B1567" s="685"/>
      <c r="C1567" s="685"/>
      <c r="D1567" s="685"/>
      <c r="E1567" s="686"/>
      <c r="F1567" s="685"/>
    </row>
    <row r="1568" spans="2:6">
      <c r="B1568" s="685"/>
      <c r="C1568" s="685"/>
      <c r="D1568" s="685"/>
      <c r="E1568" s="686"/>
      <c r="F1568" s="685"/>
    </row>
    <row r="1569" spans="2:6">
      <c r="B1569" s="685"/>
      <c r="C1569" s="685"/>
      <c r="D1569" s="685"/>
      <c r="E1569" s="686"/>
      <c r="F1569" s="685"/>
    </row>
    <row r="1570" spans="2:6">
      <c r="B1570" s="685"/>
      <c r="C1570" s="685"/>
      <c r="D1570" s="685"/>
      <c r="E1570" s="686"/>
      <c r="F1570" s="685"/>
    </row>
    <row r="1571" spans="2:6">
      <c r="B1571" s="685"/>
      <c r="C1571" s="685"/>
      <c r="D1571" s="685"/>
      <c r="E1571" s="686"/>
      <c r="F1571" s="685"/>
    </row>
    <row r="1572" spans="2:6">
      <c r="B1572" s="685"/>
      <c r="C1572" s="685"/>
      <c r="D1572" s="685"/>
      <c r="E1572" s="686"/>
      <c r="F1572" s="685"/>
    </row>
    <row r="1573" spans="2:6">
      <c r="B1573" s="685"/>
      <c r="C1573" s="685"/>
      <c r="D1573" s="685"/>
      <c r="E1573" s="686"/>
      <c r="F1573" s="685"/>
    </row>
    <row r="1574" spans="2:6">
      <c r="B1574" s="685"/>
      <c r="C1574" s="685"/>
      <c r="D1574" s="685"/>
      <c r="E1574" s="686"/>
      <c r="F1574" s="685"/>
    </row>
    <row r="1575" spans="2:6">
      <c r="B1575" s="685"/>
      <c r="C1575" s="685"/>
      <c r="D1575" s="685"/>
      <c r="E1575" s="686"/>
      <c r="F1575" s="685"/>
    </row>
    <row r="1576" spans="2:6">
      <c r="B1576" s="685"/>
      <c r="C1576" s="685"/>
      <c r="D1576" s="685"/>
      <c r="E1576" s="686"/>
      <c r="F1576" s="685"/>
    </row>
    <row r="1577" spans="2:6">
      <c r="B1577" s="685"/>
      <c r="C1577" s="685"/>
      <c r="D1577" s="685"/>
      <c r="E1577" s="686"/>
      <c r="F1577" s="685"/>
    </row>
    <row r="1578" spans="2:6">
      <c r="B1578" s="685"/>
      <c r="C1578" s="685"/>
      <c r="D1578" s="685"/>
      <c r="E1578" s="686"/>
      <c r="F1578" s="685"/>
    </row>
    <row r="1579" spans="2:6">
      <c r="B1579" s="685"/>
      <c r="C1579" s="685"/>
      <c r="D1579" s="685"/>
      <c r="E1579" s="686"/>
      <c r="F1579" s="685"/>
    </row>
    <row r="1580" spans="2:6">
      <c r="B1580" s="685"/>
      <c r="C1580" s="685"/>
      <c r="D1580" s="685"/>
      <c r="E1580" s="686"/>
      <c r="F1580" s="685"/>
    </row>
    <row r="1581" spans="2:6">
      <c r="B1581" s="685"/>
      <c r="C1581" s="685"/>
      <c r="D1581" s="685"/>
      <c r="E1581" s="686"/>
      <c r="F1581" s="685"/>
    </row>
    <row r="1582" spans="2:6">
      <c r="B1582" s="685"/>
      <c r="C1582" s="685"/>
      <c r="D1582" s="685"/>
      <c r="E1582" s="686"/>
      <c r="F1582" s="685"/>
    </row>
    <row r="1583" spans="2:6">
      <c r="B1583" s="685"/>
      <c r="C1583" s="685"/>
      <c r="D1583" s="685"/>
      <c r="E1583" s="686"/>
      <c r="F1583" s="685"/>
    </row>
    <row r="1584" spans="2:6">
      <c r="B1584" s="685"/>
      <c r="C1584" s="685"/>
      <c r="D1584" s="685"/>
      <c r="E1584" s="686"/>
      <c r="F1584" s="685"/>
    </row>
    <row r="1585" spans="2:6">
      <c r="B1585" s="685"/>
      <c r="C1585" s="685"/>
      <c r="D1585" s="685"/>
      <c r="E1585" s="686"/>
      <c r="F1585" s="685"/>
    </row>
    <row r="1586" spans="2:6">
      <c r="B1586" s="685"/>
      <c r="C1586" s="685"/>
      <c r="D1586" s="685"/>
      <c r="E1586" s="686"/>
      <c r="F1586" s="685"/>
    </row>
    <row r="1587" spans="2:6">
      <c r="B1587" s="685"/>
      <c r="C1587" s="685"/>
      <c r="D1587" s="685"/>
      <c r="E1587" s="686"/>
      <c r="F1587" s="685"/>
    </row>
    <row r="1588" spans="2:6">
      <c r="B1588" s="685"/>
      <c r="C1588" s="685"/>
      <c r="D1588" s="685"/>
      <c r="E1588" s="686"/>
      <c r="F1588" s="685"/>
    </row>
    <row r="1589" spans="2:6">
      <c r="B1589" s="685"/>
      <c r="C1589" s="685"/>
      <c r="D1589" s="685"/>
      <c r="E1589" s="686"/>
      <c r="F1589" s="685"/>
    </row>
    <row r="1590" spans="2:6">
      <c r="B1590" s="685"/>
      <c r="C1590" s="685"/>
      <c r="D1590" s="685"/>
      <c r="E1590" s="686"/>
      <c r="F1590" s="685"/>
    </row>
    <row r="1591" spans="2:6">
      <c r="B1591" s="685"/>
      <c r="C1591" s="685"/>
      <c r="D1591" s="685"/>
      <c r="E1591" s="686"/>
      <c r="F1591" s="685"/>
    </row>
    <row r="1592" spans="2:6">
      <c r="B1592" s="685"/>
      <c r="C1592" s="685"/>
      <c r="D1592" s="685"/>
      <c r="E1592" s="686"/>
      <c r="F1592" s="685"/>
    </row>
    <row r="1593" spans="2:6">
      <c r="B1593" s="685"/>
      <c r="C1593" s="685"/>
      <c r="D1593" s="685"/>
      <c r="E1593" s="686"/>
      <c r="F1593" s="685"/>
    </row>
    <row r="1594" spans="2:6">
      <c r="B1594" s="685"/>
      <c r="C1594" s="685"/>
      <c r="D1594" s="685"/>
      <c r="E1594" s="686"/>
      <c r="F1594" s="685"/>
    </row>
    <row r="1595" spans="2:6">
      <c r="B1595" s="685"/>
      <c r="C1595" s="685"/>
      <c r="D1595" s="685"/>
      <c r="E1595" s="686"/>
      <c r="F1595" s="685"/>
    </row>
    <row r="1596" spans="2:6">
      <c r="B1596" s="685"/>
      <c r="C1596" s="685"/>
      <c r="D1596" s="685"/>
      <c r="E1596" s="686"/>
      <c r="F1596" s="685"/>
    </row>
    <row r="1597" spans="2:6">
      <c r="B1597" s="685"/>
      <c r="C1597" s="685"/>
      <c r="D1597" s="685"/>
      <c r="E1597" s="686"/>
      <c r="F1597" s="685"/>
    </row>
    <row r="1598" spans="2:6">
      <c r="B1598" s="685"/>
      <c r="C1598" s="685"/>
      <c r="D1598" s="685"/>
      <c r="E1598" s="686"/>
      <c r="F1598" s="685"/>
    </row>
    <row r="1599" spans="2:6">
      <c r="B1599" s="685"/>
      <c r="C1599" s="685"/>
      <c r="D1599" s="685"/>
      <c r="E1599" s="686"/>
      <c r="F1599" s="685"/>
    </row>
    <row r="1600" spans="2:6">
      <c r="B1600" s="685"/>
      <c r="C1600" s="685"/>
      <c r="D1600" s="685"/>
      <c r="E1600" s="686"/>
      <c r="F1600" s="685"/>
    </row>
    <row r="1601" spans="2:6">
      <c r="B1601" s="685"/>
      <c r="C1601" s="685"/>
      <c r="D1601" s="685"/>
      <c r="E1601" s="686"/>
      <c r="F1601" s="685"/>
    </row>
    <row r="1602" spans="2:6">
      <c r="B1602" s="685"/>
      <c r="C1602" s="685"/>
      <c r="D1602" s="685"/>
      <c r="E1602" s="686"/>
      <c r="F1602" s="685"/>
    </row>
    <row r="1603" spans="2:6">
      <c r="B1603" s="685"/>
      <c r="C1603" s="685"/>
      <c r="D1603" s="685"/>
      <c r="E1603" s="686"/>
      <c r="F1603" s="685"/>
    </row>
    <row r="1604" spans="2:6">
      <c r="B1604" s="685"/>
      <c r="C1604" s="685"/>
      <c r="D1604" s="685"/>
      <c r="E1604" s="686"/>
      <c r="F1604" s="685"/>
    </row>
    <row r="1605" spans="2:6">
      <c r="B1605" s="685"/>
      <c r="C1605" s="685"/>
      <c r="D1605" s="685"/>
      <c r="E1605" s="686"/>
      <c r="F1605" s="685"/>
    </row>
    <row r="1606" spans="2:6">
      <c r="B1606" s="685"/>
      <c r="C1606" s="685"/>
      <c r="D1606" s="685"/>
      <c r="E1606" s="686"/>
      <c r="F1606" s="685"/>
    </row>
    <row r="1607" spans="2:6">
      <c r="B1607" s="685"/>
      <c r="C1607" s="685"/>
      <c r="D1607" s="685"/>
      <c r="E1607" s="686"/>
      <c r="F1607" s="685"/>
    </row>
    <row r="1608" spans="2:6">
      <c r="B1608" s="685"/>
      <c r="C1608" s="685"/>
      <c r="D1608" s="685"/>
      <c r="E1608" s="686"/>
      <c r="F1608" s="685"/>
    </row>
    <row r="1609" spans="2:6">
      <c r="B1609" s="685"/>
      <c r="C1609" s="685"/>
      <c r="D1609" s="685"/>
      <c r="E1609" s="686"/>
      <c r="F1609" s="685"/>
    </row>
    <row r="1610" spans="2:6">
      <c r="B1610" s="685"/>
      <c r="C1610" s="685"/>
      <c r="D1610" s="685"/>
      <c r="E1610" s="686"/>
      <c r="F1610" s="685"/>
    </row>
    <row r="1611" spans="2:6">
      <c r="B1611" s="685"/>
      <c r="C1611" s="685"/>
      <c r="D1611" s="685"/>
      <c r="E1611" s="686"/>
      <c r="F1611" s="685"/>
    </row>
    <row r="1612" spans="2:6">
      <c r="B1612" s="685"/>
      <c r="C1612" s="685"/>
      <c r="D1612" s="685"/>
      <c r="E1612" s="686"/>
      <c r="F1612" s="685"/>
    </row>
    <row r="1613" spans="2:6">
      <c r="B1613" s="685"/>
      <c r="C1613" s="685"/>
      <c r="D1613" s="685"/>
      <c r="E1613" s="686"/>
      <c r="F1613" s="685"/>
    </row>
    <row r="1614" spans="2:6">
      <c r="B1614" s="685"/>
      <c r="C1614" s="685"/>
      <c r="D1614" s="685"/>
      <c r="E1614" s="686"/>
      <c r="F1614" s="685"/>
    </row>
    <row r="1615" spans="2:6">
      <c r="B1615" s="685"/>
      <c r="C1615" s="685"/>
      <c r="D1615" s="685"/>
      <c r="E1615" s="686"/>
      <c r="F1615" s="685"/>
    </row>
    <row r="1616" spans="2:6">
      <c r="B1616" s="685"/>
      <c r="C1616" s="685"/>
      <c r="D1616" s="685"/>
      <c r="E1616" s="686"/>
      <c r="F1616" s="685"/>
    </row>
    <row r="1617" spans="2:6">
      <c r="B1617" s="685"/>
      <c r="C1617" s="685"/>
      <c r="D1617" s="685"/>
      <c r="E1617" s="686"/>
      <c r="F1617" s="685"/>
    </row>
    <row r="1618" spans="2:6">
      <c r="B1618" s="685"/>
      <c r="C1618" s="685"/>
      <c r="D1618" s="685"/>
      <c r="E1618" s="686"/>
      <c r="F1618" s="685"/>
    </row>
    <row r="1619" spans="2:6">
      <c r="B1619" s="685"/>
      <c r="C1619" s="685"/>
      <c r="D1619" s="685"/>
      <c r="E1619" s="686"/>
      <c r="F1619" s="685"/>
    </row>
    <row r="1620" spans="2:6">
      <c r="B1620" s="685"/>
      <c r="C1620" s="685"/>
      <c r="D1620" s="685"/>
      <c r="E1620" s="686"/>
      <c r="F1620" s="685"/>
    </row>
    <row r="1621" spans="2:6">
      <c r="B1621" s="685"/>
      <c r="C1621" s="685"/>
      <c r="D1621" s="685"/>
      <c r="E1621" s="686"/>
      <c r="F1621" s="685"/>
    </row>
    <row r="1622" spans="2:6">
      <c r="B1622" s="685"/>
      <c r="C1622" s="685"/>
      <c r="D1622" s="685"/>
      <c r="E1622" s="686"/>
      <c r="F1622" s="685"/>
    </row>
    <row r="1623" spans="2:6">
      <c r="B1623" s="685"/>
      <c r="C1623" s="685"/>
      <c r="D1623" s="685"/>
      <c r="E1623" s="686"/>
      <c r="F1623" s="685"/>
    </row>
    <row r="1624" spans="2:6">
      <c r="B1624" s="685"/>
      <c r="C1624" s="685"/>
      <c r="D1624" s="685"/>
      <c r="E1624" s="686"/>
      <c r="F1624" s="685"/>
    </row>
    <row r="1625" spans="2:6">
      <c r="B1625" s="685"/>
      <c r="C1625" s="685"/>
      <c r="D1625" s="685"/>
      <c r="E1625" s="686"/>
      <c r="F1625" s="685"/>
    </row>
    <row r="1626" spans="2:6">
      <c r="B1626" s="685"/>
      <c r="C1626" s="685"/>
      <c r="D1626" s="685"/>
      <c r="E1626" s="686"/>
      <c r="F1626" s="685"/>
    </row>
    <row r="1627" spans="2:6">
      <c r="B1627" s="685"/>
      <c r="C1627" s="685"/>
      <c r="D1627" s="685"/>
      <c r="E1627" s="686"/>
      <c r="F1627" s="685"/>
    </row>
    <row r="1628" spans="2:6">
      <c r="B1628" s="685"/>
      <c r="C1628" s="685"/>
      <c r="D1628" s="685"/>
      <c r="E1628" s="686"/>
      <c r="F1628" s="685"/>
    </row>
    <row r="1629" spans="2:6">
      <c r="B1629" s="685"/>
      <c r="C1629" s="685"/>
      <c r="D1629" s="685"/>
      <c r="E1629" s="686"/>
      <c r="F1629" s="685"/>
    </row>
    <row r="1630" spans="2:6">
      <c r="B1630" s="685"/>
      <c r="C1630" s="685"/>
      <c r="D1630" s="685"/>
      <c r="E1630" s="686"/>
      <c r="F1630" s="685"/>
    </row>
    <row r="1631" spans="2:6">
      <c r="B1631" s="685"/>
      <c r="C1631" s="685"/>
      <c r="D1631" s="685"/>
      <c r="E1631" s="686"/>
      <c r="F1631" s="685"/>
    </row>
    <row r="1632" spans="2:6">
      <c r="B1632" s="685"/>
      <c r="C1632" s="685"/>
      <c r="D1632" s="685"/>
      <c r="E1632" s="686"/>
      <c r="F1632" s="685"/>
    </row>
    <row r="1633" spans="2:6">
      <c r="B1633" s="685"/>
      <c r="C1633" s="685"/>
      <c r="D1633" s="685"/>
      <c r="E1633" s="686"/>
      <c r="F1633" s="685"/>
    </row>
    <row r="1634" spans="2:6">
      <c r="B1634" s="685"/>
      <c r="C1634" s="685"/>
      <c r="D1634" s="685"/>
      <c r="E1634" s="686"/>
      <c r="F1634" s="685"/>
    </row>
    <row r="1635" spans="2:6">
      <c r="B1635" s="685"/>
      <c r="C1635" s="685"/>
      <c r="D1635" s="685"/>
      <c r="E1635" s="686"/>
      <c r="F1635" s="685"/>
    </row>
    <row r="1636" spans="2:6">
      <c r="B1636" s="685"/>
      <c r="C1636" s="685"/>
      <c r="D1636" s="685"/>
      <c r="E1636" s="686"/>
      <c r="F1636" s="685"/>
    </row>
    <row r="1637" spans="2:6">
      <c r="B1637" s="685"/>
      <c r="C1637" s="685"/>
      <c r="D1637" s="685"/>
      <c r="E1637" s="686"/>
      <c r="F1637" s="685"/>
    </row>
    <row r="1638" spans="2:6">
      <c r="B1638" s="685"/>
      <c r="C1638" s="685"/>
      <c r="D1638" s="685"/>
      <c r="E1638" s="686"/>
      <c r="F1638" s="685"/>
    </row>
    <row r="1639" spans="2:6">
      <c r="B1639" s="685"/>
      <c r="C1639" s="685"/>
      <c r="D1639" s="685"/>
      <c r="E1639" s="686"/>
      <c r="F1639" s="685"/>
    </row>
    <row r="1640" spans="2:6">
      <c r="B1640" s="685"/>
      <c r="C1640" s="685"/>
      <c r="D1640" s="685"/>
      <c r="E1640" s="686"/>
      <c r="F1640" s="685"/>
    </row>
    <row r="1641" spans="2:6">
      <c r="B1641" s="685"/>
      <c r="C1641" s="685"/>
      <c r="D1641" s="685"/>
      <c r="E1641" s="686"/>
      <c r="F1641" s="685"/>
    </row>
    <row r="1642" spans="2:6">
      <c r="B1642" s="685"/>
      <c r="C1642" s="685"/>
      <c r="D1642" s="685"/>
      <c r="E1642" s="686"/>
      <c r="F1642" s="685"/>
    </row>
    <row r="1643" spans="2:6">
      <c r="B1643" s="685"/>
      <c r="C1643" s="685"/>
      <c r="D1643" s="685"/>
      <c r="E1643" s="686"/>
      <c r="F1643" s="685"/>
    </row>
    <row r="1644" spans="2:6">
      <c r="B1644" s="685"/>
      <c r="C1644" s="685"/>
      <c r="D1644" s="685"/>
      <c r="E1644" s="686"/>
      <c r="F1644" s="685"/>
    </row>
    <row r="1645" spans="2:6">
      <c r="B1645" s="685"/>
      <c r="C1645" s="685"/>
      <c r="D1645" s="685"/>
      <c r="E1645" s="686"/>
      <c r="F1645" s="685"/>
    </row>
    <row r="1646" spans="2:6">
      <c r="B1646" s="685"/>
      <c r="C1646" s="685"/>
      <c r="D1646" s="685"/>
      <c r="E1646" s="686"/>
      <c r="F1646" s="685"/>
    </row>
    <row r="1647" spans="2:6">
      <c r="B1647" s="685"/>
      <c r="C1647" s="685"/>
      <c r="D1647" s="685"/>
      <c r="E1647" s="686"/>
      <c r="F1647" s="685"/>
    </row>
    <row r="1648" spans="2:6">
      <c r="B1648" s="685"/>
      <c r="C1648" s="685"/>
      <c r="D1648" s="685"/>
      <c r="E1648" s="686"/>
      <c r="F1648" s="685"/>
    </row>
    <row r="1649" spans="2:6">
      <c r="B1649" s="685"/>
      <c r="C1649" s="685"/>
      <c r="D1649" s="685"/>
      <c r="E1649" s="686"/>
      <c r="F1649" s="685"/>
    </row>
    <row r="1650" spans="2:6">
      <c r="B1650" s="685"/>
      <c r="C1650" s="685"/>
      <c r="D1650" s="685"/>
      <c r="E1650" s="686"/>
      <c r="F1650" s="685"/>
    </row>
    <row r="1651" spans="2:6">
      <c r="B1651" s="685"/>
      <c r="C1651" s="685"/>
      <c r="D1651" s="685"/>
      <c r="E1651" s="686"/>
      <c r="F1651" s="685"/>
    </row>
    <row r="1652" spans="2:6">
      <c r="B1652" s="685"/>
      <c r="C1652" s="685"/>
      <c r="D1652" s="685"/>
      <c r="E1652" s="686"/>
      <c r="F1652" s="685"/>
    </row>
    <row r="1653" spans="2:6">
      <c r="B1653" s="685"/>
      <c r="C1653" s="685"/>
      <c r="D1653" s="685"/>
      <c r="E1653" s="686"/>
      <c r="F1653" s="685"/>
    </row>
    <row r="1654" spans="2:6">
      <c r="B1654" s="685"/>
      <c r="C1654" s="685"/>
      <c r="D1654" s="685"/>
      <c r="E1654" s="686"/>
      <c r="F1654" s="685"/>
    </row>
    <row r="1655" spans="2:6">
      <c r="B1655" s="685"/>
      <c r="C1655" s="685"/>
      <c r="D1655" s="685"/>
      <c r="E1655" s="686"/>
      <c r="F1655" s="685"/>
    </row>
    <row r="1656" spans="2:6">
      <c r="B1656" s="685"/>
      <c r="C1656" s="685"/>
      <c r="D1656" s="685"/>
      <c r="E1656" s="686"/>
      <c r="F1656" s="685"/>
    </row>
    <row r="1657" spans="2:6">
      <c r="B1657" s="685"/>
      <c r="C1657" s="685"/>
      <c r="D1657" s="685"/>
      <c r="E1657" s="686"/>
      <c r="F1657" s="685"/>
    </row>
    <row r="1658" spans="2:6">
      <c r="B1658" s="685"/>
      <c r="C1658" s="685"/>
      <c r="D1658" s="685"/>
      <c r="E1658" s="686"/>
      <c r="F1658" s="685"/>
    </row>
    <row r="1659" spans="2:6">
      <c r="B1659" s="685"/>
      <c r="C1659" s="685"/>
      <c r="D1659" s="685"/>
      <c r="E1659" s="686"/>
      <c r="F1659" s="685"/>
    </row>
    <row r="1660" spans="2:6">
      <c r="B1660" s="685"/>
      <c r="C1660" s="685"/>
      <c r="D1660" s="685"/>
      <c r="E1660" s="686"/>
      <c r="F1660" s="685"/>
    </row>
    <row r="1661" spans="2:6">
      <c r="B1661" s="685"/>
      <c r="C1661" s="685"/>
      <c r="D1661" s="685"/>
      <c r="E1661" s="686"/>
      <c r="F1661" s="685"/>
    </row>
    <row r="1662" spans="2:6">
      <c r="B1662" s="685"/>
      <c r="C1662" s="685"/>
      <c r="D1662" s="685"/>
      <c r="E1662" s="686"/>
      <c r="F1662" s="685"/>
    </row>
    <row r="1663" spans="2:6">
      <c r="B1663" s="685"/>
      <c r="C1663" s="685"/>
      <c r="D1663" s="685"/>
      <c r="E1663" s="686"/>
      <c r="F1663" s="685"/>
    </row>
    <row r="1664" spans="2:6">
      <c r="B1664" s="685"/>
      <c r="C1664" s="685"/>
      <c r="D1664" s="685"/>
      <c r="E1664" s="686"/>
      <c r="F1664" s="685"/>
    </row>
    <row r="1665" spans="2:6">
      <c r="B1665" s="685"/>
      <c r="C1665" s="685"/>
      <c r="D1665" s="685"/>
      <c r="E1665" s="686"/>
      <c r="F1665" s="685"/>
    </row>
    <row r="1666" spans="2:6">
      <c r="B1666" s="685"/>
      <c r="C1666" s="685"/>
      <c r="D1666" s="685"/>
      <c r="E1666" s="686"/>
      <c r="F1666" s="685"/>
    </row>
    <row r="1667" spans="2:6">
      <c r="B1667" s="685"/>
      <c r="C1667" s="685"/>
      <c r="D1667" s="685"/>
      <c r="E1667" s="686"/>
      <c r="F1667" s="685"/>
    </row>
    <row r="1668" spans="2:6">
      <c r="B1668" s="685"/>
      <c r="C1668" s="685"/>
      <c r="D1668" s="685"/>
      <c r="E1668" s="686"/>
      <c r="F1668" s="685"/>
    </row>
    <row r="1669" spans="2:6">
      <c r="B1669" s="685"/>
      <c r="C1669" s="685"/>
      <c r="D1669" s="685"/>
      <c r="E1669" s="686"/>
      <c r="F1669" s="685"/>
    </row>
    <row r="1670" spans="2:6">
      <c r="B1670" s="685"/>
      <c r="C1670" s="685"/>
      <c r="D1670" s="685"/>
      <c r="E1670" s="686"/>
      <c r="F1670" s="685"/>
    </row>
    <row r="1671" spans="2:6">
      <c r="B1671" s="685"/>
      <c r="C1671" s="685"/>
      <c r="D1671" s="685"/>
      <c r="E1671" s="686"/>
      <c r="F1671" s="685"/>
    </row>
    <row r="1672" spans="2:6">
      <c r="B1672" s="685"/>
      <c r="C1672" s="685"/>
      <c r="D1672" s="685"/>
      <c r="E1672" s="686"/>
      <c r="F1672" s="685"/>
    </row>
    <row r="1673" spans="2:6">
      <c r="B1673" s="685"/>
      <c r="C1673" s="685"/>
      <c r="D1673" s="685"/>
      <c r="E1673" s="686"/>
      <c r="F1673" s="685"/>
    </row>
    <row r="1674" spans="2:6">
      <c r="B1674" s="685"/>
      <c r="C1674" s="685"/>
      <c r="D1674" s="685"/>
      <c r="E1674" s="686"/>
      <c r="F1674" s="685"/>
    </row>
    <row r="1675" spans="2:6">
      <c r="B1675" s="685"/>
      <c r="C1675" s="685"/>
      <c r="D1675" s="685"/>
      <c r="E1675" s="686"/>
      <c r="F1675" s="685"/>
    </row>
    <row r="1676" spans="2:6">
      <c r="B1676" s="685"/>
      <c r="C1676" s="685"/>
      <c r="D1676" s="685"/>
      <c r="E1676" s="686"/>
      <c r="F1676" s="685"/>
    </row>
    <row r="1677" spans="2:6">
      <c r="B1677" s="685"/>
      <c r="C1677" s="685"/>
      <c r="D1677" s="685"/>
      <c r="E1677" s="686"/>
      <c r="F1677" s="685"/>
    </row>
    <row r="1678" spans="2:6">
      <c r="B1678" s="685"/>
      <c r="C1678" s="685"/>
      <c r="D1678" s="685"/>
      <c r="E1678" s="686"/>
      <c r="F1678" s="685"/>
    </row>
    <row r="1679" spans="2:6">
      <c r="B1679" s="685"/>
      <c r="C1679" s="685"/>
      <c r="D1679" s="685"/>
      <c r="E1679" s="686"/>
      <c r="F1679" s="685"/>
    </row>
    <row r="1680" spans="2:6">
      <c r="B1680" s="685"/>
      <c r="C1680" s="685"/>
      <c r="D1680" s="685"/>
      <c r="E1680" s="686"/>
      <c r="F1680" s="685"/>
    </row>
    <row r="1681" spans="2:6">
      <c r="B1681" s="685"/>
      <c r="C1681" s="685"/>
      <c r="D1681" s="685"/>
      <c r="E1681" s="686"/>
      <c r="F1681" s="685"/>
    </row>
    <row r="1682" spans="2:6">
      <c r="B1682" s="685"/>
      <c r="C1682" s="685"/>
      <c r="D1682" s="685"/>
      <c r="E1682" s="686"/>
      <c r="F1682" s="685"/>
    </row>
    <row r="1683" spans="2:6">
      <c r="B1683" s="685"/>
      <c r="C1683" s="685"/>
      <c r="D1683" s="685"/>
      <c r="E1683" s="686"/>
      <c r="F1683" s="685"/>
    </row>
    <row r="1684" spans="2:6">
      <c r="B1684" s="685"/>
      <c r="C1684" s="685"/>
      <c r="D1684" s="685"/>
      <c r="E1684" s="686"/>
      <c r="F1684" s="685"/>
    </row>
    <row r="1685" spans="2:6">
      <c r="B1685" s="685"/>
      <c r="C1685" s="685"/>
      <c r="D1685" s="685"/>
      <c r="E1685" s="686"/>
      <c r="F1685" s="685"/>
    </row>
    <row r="1686" spans="2:6">
      <c r="B1686" s="685"/>
      <c r="C1686" s="685"/>
      <c r="D1686" s="685"/>
      <c r="E1686" s="686"/>
      <c r="F1686" s="685"/>
    </row>
    <row r="1687" spans="2:6">
      <c r="B1687" s="685"/>
      <c r="C1687" s="685"/>
      <c r="D1687" s="685"/>
      <c r="E1687" s="686"/>
      <c r="F1687" s="685"/>
    </row>
    <row r="1688" spans="2:6">
      <c r="B1688" s="685"/>
      <c r="C1688" s="685"/>
      <c r="D1688" s="685"/>
      <c r="E1688" s="686"/>
      <c r="F1688" s="685"/>
    </row>
    <row r="1689" spans="2:6">
      <c r="B1689" s="685"/>
      <c r="C1689" s="685"/>
      <c r="D1689" s="685"/>
      <c r="E1689" s="686"/>
      <c r="F1689" s="685"/>
    </row>
    <row r="1690" spans="2:6">
      <c r="B1690" s="685"/>
      <c r="C1690" s="685"/>
      <c r="D1690" s="685"/>
      <c r="E1690" s="686"/>
      <c r="F1690" s="685"/>
    </row>
    <row r="1691" spans="2:6">
      <c r="B1691" s="685"/>
      <c r="C1691" s="685"/>
      <c r="D1691" s="685"/>
      <c r="E1691" s="686"/>
      <c r="F1691" s="685"/>
    </row>
    <row r="1692" spans="2:6">
      <c r="B1692" s="685"/>
      <c r="C1692" s="685"/>
      <c r="D1692" s="685"/>
      <c r="E1692" s="686"/>
      <c r="F1692" s="685"/>
    </row>
    <row r="1693" spans="2:6">
      <c r="B1693" s="685"/>
      <c r="C1693" s="685"/>
      <c r="D1693" s="685"/>
      <c r="E1693" s="686"/>
      <c r="F1693" s="685"/>
    </row>
    <row r="1694" spans="2:6">
      <c r="B1694" s="685"/>
      <c r="C1694" s="685"/>
      <c r="D1694" s="685"/>
      <c r="E1694" s="686"/>
      <c r="F1694" s="685"/>
    </row>
    <row r="1695" spans="2:6">
      <c r="B1695" s="685"/>
      <c r="C1695" s="685"/>
      <c r="D1695" s="685"/>
      <c r="E1695" s="686"/>
      <c r="F1695" s="685"/>
    </row>
    <row r="1696" spans="2:6">
      <c r="B1696" s="685"/>
      <c r="C1696" s="685"/>
      <c r="D1696" s="685"/>
      <c r="E1696" s="686"/>
      <c r="F1696" s="685"/>
    </row>
    <row r="1697" spans="2:6">
      <c r="B1697" s="685"/>
      <c r="C1697" s="685"/>
      <c r="D1697" s="685"/>
      <c r="E1697" s="686"/>
      <c r="F1697" s="685"/>
    </row>
    <row r="1698" spans="2:6">
      <c r="B1698" s="685"/>
      <c r="C1698" s="685"/>
      <c r="D1698" s="685"/>
      <c r="E1698" s="686"/>
      <c r="F1698" s="685"/>
    </row>
    <row r="1699" spans="2:6">
      <c r="B1699" s="685"/>
      <c r="C1699" s="685"/>
      <c r="D1699" s="685"/>
      <c r="E1699" s="686"/>
      <c r="F1699" s="685"/>
    </row>
    <row r="1700" spans="2:6">
      <c r="B1700" s="685"/>
      <c r="C1700" s="685"/>
      <c r="D1700" s="685"/>
      <c r="E1700" s="686"/>
      <c r="F1700" s="685"/>
    </row>
    <row r="1701" spans="2:6">
      <c r="B1701" s="685"/>
      <c r="C1701" s="685"/>
      <c r="D1701" s="685"/>
      <c r="E1701" s="686"/>
      <c r="F1701" s="685"/>
    </row>
    <row r="1702" spans="2:6">
      <c r="B1702" s="685"/>
      <c r="C1702" s="685"/>
      <c r="D1702" s="685"/>
      <c r="E1702" s="686"/>
      <c r="F1702" s="685"/>
    </row>
    <row r="1703" spans="2:6">
      <c r="B1703" s="685"/>
      <c r="C1703" s="685"/>
      <c r="D1703" s="685"/>
      <c r="E1703" s="686"/>
      <c r="F1703" s="685"/>
    </row>
    <row r="1704" spans="2:6">
      <c r="B1704" s="685"/>
      <c r="C1704" s="685"/>
      <c r="D1704" s="685"/>
      <c r="E1704" s="686"/>
      <c r="F1704" s="685"/>
    </row>
    <row r="1705" spans="2:6">
      <c r="B1705" s="685"/>
      <c r="C1705" s="685"/>
      <c r="D1705" s="685"/>
      <c r="E1705" s="686"/>
      <c r="F1705" s="685"/>
    </row>
    <row r="1706" spans="2:6">
      <c r="B1706" s="685"/>
      <c r="C1706" s="685"/>
      <c r="D1706" s="685"/>
      <c r="E1706" s="686"/>
      <c r="F1706" s="685"/>
    </row>
    <row r="1707" spans="2:6">
      <c r="B1707" s="685"/>
      <c r="C1707" s="685"/>
      <c r="D1707" s="685"/>
      <c r="E1707" s="686"/>
      <c r="F1707" s="685"/>
    </row>
    <row r="1708" spans="2:6">
      <c r="B1708" s="685"/>
      <c r="C1708" s="685"/>
      <c r="D1708" s="685"/>
      <c r="E1708" s="686"/>
      <c r="F1708" s="685"/>
    </row>
    <row r="1709" spans="2:6">
      <c r="B1709" s="685"/>
      <c r="C1709" s="685"/>
      <c r="D1709" s="685"/>
      <c r="E1709" s="686"/>
      <c r="F1709" s="685"/>
    </row>
    <row r="1710" spans="2:6">
      <c r="B1710" s="685"/>
      <c r="C1710" s="685"/>
      <c r="D1710" s="685"/>
      <c r="E1710" s="686"/>
      <c r="F1710" s="685"/>
    </row>
    <row r="1711" spans="2:6">
      <c r="B1711" s="685"/>
      <c r="C1711" s="685"/>
      <c r="D1711" s="685"/>
      <c r="E1711" s="686"/>
      <c r="F1711" s="685"/>
    </row>
    <row r="1712" spans="2:6">
      <c r="B1712" s="685"/>
      <c r="C1712" s="685"/>
      <c r="D1712" s="685"/>
      <c r="E1712" s="686"/>
      <c r="F1712" s="685"/>
    </row>
    <row r="1713" spans="2:6">
      <c r="B1713" s="685"/>
      <c r="C1713" s="685"/>
      <c r="D1713" s="685"/>
      <c r="E1713" s="686"/>
      <c r="F1713" s="685"/>
    </row>
    <row r="1714" spans="2:6">
      <c r="B1714" s="685"/>
      <c r="C1714" s="685"/>
      <c r="D1714" s="685"/>
      <c r="E1714" s="686"/>
      <c r="F1714" s="685"/>
    </row>
    <row r="1715" spans="2:6">
      <c r="B1715" s="685"/>
      <c r="C1715" s="685"/>
      <c r="D1715" s="685"/>
      <c r="E1715" s="686"/>
      <c r="F1715" s="685"/>
    </row>
    <row r="1716" spans="2:6">
      <c r="B1716" s="685"/>
      <c r="C1716" s="685"/>
      <c r="D1716" s="685"/>
      <c r="E1716" s="686"/>
      <c r="F1716" s="685"/>
    </row>
    <row r="1717" spans="2:6">
      <c r="B1717" s="685"/>
      <c r="C1717" s="685"/>
      <c r="D1717" s="685"/>
      <c r="E1717" s="686"/>
      <c r="F1717" s="685"/>
    </row>
  </sheetData>
  <mergeCells count="4">
    <mergeCell ref="H52:N52"/>
    <mergeCell ref="B1:E1"/>
    <mergeCell ref="F1:F4"/>
    <mergeCell ref="B3:E3"/>
  </mergeCells>
  <printOptions horizontalCentered="1" verticalCentered="1"/>
  <pageMargins left="0.98425196850393704" right="0.6692913385826772" top="0.98425196850393704" bottom="0.98425196850393704" header="0.9055118110236221" footer="0.15748031496062992"/>
  <pageSetup scale="38" orientation="portrait" r:id="rId1"/>
  <headerFooter alignWithMargins="0">
    <oddFooter>&amp;CPágina &amp;P de &amp;N</oddFooter>
  </headerFooter>
  <rowBreaks count="3" manualBreakCount="3">
    <brk id="31" max="5" man="1"/>
    <brk id="50" max="5" man="1"/>
    <brk id="63" max="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H123"/>
  <sheetViews>
    <sheetView topLeftCell="A30" workbookViewId="0">
      <selection activeCell="D51" sqref="D51"/>
    </sheetView>
  </sheetViews>
  <sheetFormatPr baseColWidth="10" defaultColWidth="9.140625" defaultRowHeight="12.75"/>
  <cols>
    <col min="1" max="1" width="26.28515625" style="496" customWidth="1"/>
    <col min="2" max="2" width="24.140625" style="496" customWidth="1"/>
    <col min="3" max="4" width="16.140625" style="496" customWidth="1"/>
    <col min="5" max="5" width="18.140625" style="496" customWidth="1"/>
    <col min="6" max="6" width="1.42578125" style="496" customWidth="1"/>
    <col min="7" max="256" width="11.42578125" style="496" customWidth="1"/>
    <col min="257" max="16384" width="9.140625" style="496"/>
  </cols>
  <sheetData>
    <row r="1" spans="1:5" s="558" customFormat="1">
      <c r="A1" s="1210" t="s">
        <v>757</v>
      </c>
      <c r="B1" s="1210"/>
      <c r="C1" s="1210"/>
      <c r="D1" s="1210"/>
      <c r="E1" s="1210"/>
    </row>
    <row r="2" spans="1:5" s="558" customFormat="1">
      <c r="A2" s="1211" t="s">
        <v>1139</v>
      </c>
      <c r="B2" s="1211"/>
      <c r="C2" s="1211"/>
      <c r="D2" s="1211"/>
      <c r="E2" s="1211"/>
    </row>
    <row r="3" spans="1:5" s="558" customFormat="1" ht="15">
      <c r="A3" s="1212" t="s">
        <v>627</v>
      </c>
      <c r="B3" s="1212"/>
      <c r="C3" s="1212"/>
      <c r="D3" s="1212"/>
      <c r="E3" s="1212"/>
    </row>
    <row r="4" spans="1:5" s="558" customFormat="1">
      <c r="A4" s="559"/>
      <c r="B4" s="559"/>
      <c r="C4" s="559"/>
      <c r="D4" s="559"/>
      <c r="E4" s="559"/>
    </row>
    <row r="5" spans="1:5" s="558" customFormat="1" ht="20.25" customHeight="1">
      <c r="A5" s="1213" t="s">
        <v>628</v>
      </c>
      <c r="B5" s="994" t="s">
        <v>629</v>
      </c>
      <c r="C5" s="995">
        <v>365</v>
      </c>
      <c r="D5" s="559"/>
      <c r="E5" s="559"/>
    </row>
    <row r="6" spans="1:5" s="558" customFormat="1" ht="20.25" customHeight="1">
      <c r="A6" s="1213"/>
      <c r="B6" s="994" t="s">
        <v>630</v>
      </c>
      <c r="C6" s="996">
        <v>200000</v>
      </c>
      <c r="D6" s="559"/>
      <c r="E6" s="559"/>
    </row>
    <row r="7" spans="1:5" s="558" customFormat="1" ht="20.25" customHeight="1">
      <c r="A7" s="1213"/>
      <c r="B7" s="994" t="s">
        <v>631</v>
      </c>
      <c r="C7" s="996">
        <v>1423500</v>
      </c>
      <c r="D7" s="560"/>
      <c r="E7" s="560"/>
    </row>
    <row r="8" spans="1:5" s="558" customFormat="1">
      <c r="A8" s="559"/>
      <c r="B8" s="559"/>
      <c r="C8" s="559"/>
      <c r="D8" s="559"/>
      <c r="E8" s="559"/>
    </row>
    <row r="9" spans="1:5" s="558" customFormat="1" ht="13.5" thickBot="1">
      <c r="A9" s="559"/>
      <c r="B9" s="559"/>
      <c r="C9" s="559"/>
      <c r="D9" s="559"/>
      <c r="E9" s="559"/>
    </row>
    <row r="10" spans="1:5" s="558" customFormat="1" ht="24.75" customHeight="1">
      <c r="A10" s="1214" t="s">
        <v>3</v>
      </c>
      <c r="B10" s="1215"/>
      <c r="C10" s="561" t="s">
        <v>632</v>
      </c>
      <c r="D10" s="561" t="s">
        <v>633</v>
      </c>
      <c r="E10" s="562" t="s">
        <v>634</v>
      </c>
    </row>
    <row r="11" spans="1:5" s="558" customFormat="1" ht="19.7" customHeight="1">
      <c r="A11" s="1216" t="s">
        <v>635</v>
      </c>
      <c r="B11" s="994" t="s">
        <v>636</v>
      </c>
      <c r="C11" s="998">
        <v>30</v>
      </c>
      <c r="D11" s="998">
        <v>30</v>
      </c>
      <c r="E11" s="999">
        <v>30</v>
      </c>
    </row>
    <row r="12" spans="1:5" s="558" customFormat="1" ht="19.7" customHeight="1">
      <c r="A12" s="1216"/>
      <c r="B12" s="994" t="s">
        <v>637</v>
      </c>
      <c r="C12" s="1000">
        <v>2.8</v>
      </c>
      <c r="D12" s="1000">
        <v>2.1</v>
      </c>
      <c r="E12" s="1001">
        <v>1</v>
      </c>
    </row>
    <row r="13" spans="1:5" s="558" customFormat="1" ht="19.7" customHeight="1">
      <c r="A13" s="1216"/>
      <c r="B13" s="994" t="s">
        <v>638</v>
      </c>
      <c r="C13" s="1002">
        <f>+$C$7*C12</f>
        <v>3985799.9999999995</v>
      </c>
      <c r="D13" s="1002">
        <f>+$C$7*D12</f>
        <v>2989350</v>
      </c>
      <c r="E13" s="1003">
        <f>+$C$7*E12</f>
        <v>1423500</v>
      </c>
    </row>
    <row r="14" spans="1:5" s="558" customFormat="1" ht="19.7" customHeight="1">
      <c r="A14" s="1217" t="s">
        <v>639</v>
      </c>
      <c r="B14" s="994" t="s">
        <v>640</v>
      </c>
      <c r="C14" s="1004">
        <f>IF(C13&gt;$B$52,0,$C$6)</f>
        <v>0</v>
      </c>
      <c r="D14" s="1004">
        <f>IF(D13&gt;$B$52,0,$C$6)</f>
        <v>0</v>
      </c>
      <c r="E14" s="1005">
        <f>IF(E13&gt;$B$52,0,$C$6)</f>
        <v>200000</v>
      </c>
    </row>
    <row r="15" spans="1:5" s="558" customFormat="1" ht="19.7" customHeight="1">
      <c r="A15" s="1217"/>
      <c r="B15" s="994" t="s">
        <v>641</v>
      </c>
      <c r="C15" s="1004">
        <f>(((C13/C11)*$C$5+(C14/C11)*346)*(36/$C$5))/12</f>
        <v>398579.99999999994</v>
      </c>
      <c r="D15" s="1004">
        <f>(((D13/D11)*$C$5+(D14/D11)*346)*(36/$C$5))/12</f>
        <v>298935</v>
      </c>
      <c r="E15" s="1005">
        <f>(((E13/E11)*$C$5+(E14/E11)*346)*(36/$C$5))/12</f>
        <v>161308.90410958903</v>
      </c>
    </row>
    <row r="16" spans="1:5" s="558" customFormat="1" ht="19.7" customHeight="1">
      <c r="A16" s="1217"/>
      <c r="B16" s="994" t="s">
        <v>642</v>
      </c>
      <c r="C16" s="1004">
        <f>C15*1%</f>
        <v>3985.7999999999997</v>
      </c>
      <c r="D16" s="1004">
        <f>D15*1%</f>
        <v>2989.35</v>
      </c>
      <c r="E16" s="1005">
        <f>E15*1%</f>
        <v>1613.0890410958903</v>
      </c>
    </row>
    <row r="17" spans="1:8" s="558" customFormat="1" ht="19.7" customHeight="1">
      <c r="A17" s="1217"/>
      <c r="B17" s="994" t="s">
        <v>643</v>
      </c>
      <c r="C17" s="1004">
        <f>(C13+C14)/12</f>
        <v>332149.99999999994</v>
      </c>
      <c r="D17" s="1004">
        <f>(D13+D14)/12</f>
        <v>249112.5</v>
      </c>
      <c r="E17" s="1005">
        <f>(E13+E14)/12</f>
        <v>135291.66666666666</v>
      </c>
    </row>
    <row r="18" spans="1:8" s="558" customFormat="1" ht="19.7" customHeight="1">
      <c r="A18" s="1217"/>
      <c r="B18" s="994" t="s">
        <v>644</v>
      </c>
      <c r="C18" s="1004">
        <f>C13/2/12</f>
        <v>166074.99999999997</v>
      </c>
      <c r="D18" s="1004">
        <f>D13/2/12</f>
        <v>124556.25</v>
      </c>
      <c r="E18" s="1005">
        <f>E13/2/12</f>
        <v>59312.5</v>
      </c>
    </row>
    <row r="19" spans="1:8" s="558" customFormat="1" ht="19.7" customHeight="1">
      <c r="A19" s="1217"/>
      <c r="B19" s="994" t="s">
        <v>645</v>
      </c>
      <c r="C19" s="1004">
        <f>250000*3/12</f>
        <v>62500</v>
      </c>
      <c r="D19" s="1004">
        <f>250000*3/12</f>
        <v>62500</v>
      </c>
      <c r="E19" s="1005">
        <f>250000*3/12</f>
        <v>62500</v>
      </c>
    </row>
    <row r="20" spans="1:8" s="558" customFormat="1" ht="19.7" customHeight="1">
      <c r="A20" s="1217" t="s">
        <v>646</v>
      </c>
      <c r="B20" s="994" t="s">
        <v>647</v>
      </c>
      <c r="C20" s="1004">
        <f>+C13*0.125</f>
        <v>498224.99999999994</v>
      </c>
      <c r="D20" s="1004">
        <f>+D13*0.125</f>
        <v>373668.75</v>
      </c>
      <c r="E20" s="1005">
        <f>+E13*0.125</f>
        <v>177937.5</v>
      </c>
    </row>
    <row r="21" spans="1:8" s="558" customFormat="1" ht="19.7" customHeight="1">
      <c r="A21" s="1217"/>
      <c r="B21" s="994" t="s">
        <v>648</v>
      </c>
      <c r="C21" s="1004">
        <f>+C13*0.16</f>
        <v>637727.99999999988</v>
      </c>
      <c r="D21" s="1004">
        <f>+D13*0.16</f>
        <v>478296</v>
      </c>
      <c r="E21" s="1005">
        <f>+E13*0.16</f>
        <v>227760</v>
      </c>
    </row>
    <row r="22" spans="1:8" s="558" customFormat="1" ht="19.7" customHeight="1">
      <c r="A22" s="1217"/>
      <c r="B22" s="994" t="s">
        <v>649</v>
      </c>
      <c r="C22" s="1004">
        <f>+C13*0.056</f>
        <v>223204.8</v>
      </c>
      <c r="D22" s="1004">
        <f>+D13*0.056</f>
        <v>167403.6</v>
      </c>
      <c r="E22" s="1005">
        <f>+E13*0.056</f>
        <v>79716</v>
      </c>
    </row>
    <row r="23" spans="1:8" s="558" customFormat="1" ht="19.7" customHeight="1">
      <c r="A23" s="1217" t="s">
        <v>650</v>
      </c>
      <c r="B23" s="994" t="s">
        <v>651</v>
      </c>
      <c r="C23" s="1004">
        <f>+C13*0.02</f>
        <v>79715.999999999985</v>
      </c>
      <c r="D23" s="1004">
        <f>+D13*0.02</f>
        <v>59787</v>
      </c>
      <c r="E23" s="1005">
        <f>+E13*0.02</f>
        <v>28470</v>
      </c>
    </row>
    <row r="24" spans="1:8" s="558" customFormat="1" ht="19.7" customHeight="1">
      <c r="A24" s="1217"/>
      <c r="B24" s="994" t="s">
        <v>652</v>
      </c>
      <c r="C24" s="1004">
        <f>+C13*0.03</f>
        <v>119573.99999999999</v>
      </c>
      <c r="D24" s="1004">
        <f>+D13*0.03</f>
        <v>89680.5</v>
      </c>
      <c r="E24" s="1005">
        <f>+E13*0.03</f>
        <v>42705</v>
      </c>
    </row>
    <row r="25" spans="1:8" s="558" customFormat="1" ht="19.7" customHeight="1">
      <c r="A25" s="1217"/>
      <c r="B25" s="994" t="s">
        <v>653</v>
      </c>
      <c r="C25" s="1004">
        <f>+C13*0.04</f>
        <v>159431.99999999997</v>
      </c>
      <c r="D25" s="1004">
        <f>+D13*0.04</f>
        <v>119574</v>
      </c>
      <c r="E25" s="1005">
        <f>+E13*0.04</f>
        <v>56940</v>
      </c>
    </row>
    <row r="26" spans="1:8" s="558" customFormat="1">
      <c r="A26" s="997" t="s">
        <v>654</v>
      </c>
      <c r="B26" s="1006"/>
      <c r="C26" s="1002">
        <f>SUM(C13:C25)</f>
        <v>6666970.5999999987</v>
      </c>
      <c r="D26" s="1002">
        <f>SUM(D13:D25)</f>
        <v>5015852.9499999993</v>
      </c>
      <c r="E26" s="1003">
        <f>SUM(E13:E25)</f>
        <v>2657054.659817352</v>
      </c>
    </row>
    <row r="27" spans="1:8" s="558" customFormat="1">
      <c r="A27" s="997" t="s">
        <v>655</v>
      </c>
      <c r="B27" s="1006"/>
      <c r="C27" s="1002">
        <f>ROUND((+C26/C11),0)</f>
        <v>222232</v>
      </c>
      <c r="D27" s="1002">
        <f>ROUND((+D26/D11),0)</f>
        <v>167195</v>
      </c>
      <c r="E27" s="1003">
        <f>ROUND((+E26/E11),0)</f>
        <v>88568</v>
      </c>
    </row>
    <row r="28" spans="1:8" s="558" customFormat="1" ht="16.5" thickBot="1">
      <c r="A28" s="1007" t="s">
        <v>656</v>
      </c>
      <c r="B28" s="1008"/>
      <c r="C28" s="1009">
        <f>ROUND((+C27/7.33),0)</f>
        <v>30318</v>
      </c>
      <c r="D28" s="1009">
        <f>ROUND((+D27/7.33),0)</f>
        <v>22810</v>
      </c>
      <c r="E28" s="1010">
        <f>ROUND((+E27/7.33),0)</f>
        <v>12083</v>
      </c>
      <c r="H28" s="563">
        <f>+C13/C26</f>
        <v>0.59784274434928519</v>
      </c>
    </row>
    <row r="29" spans="1:8" s="558" customFormat="1">
      <c r="A29" s="559"/>
      <c r="B29" s="559"/>
      <c r="C29" s="559"/>
      <c r="D29" s="559"/>
      <c r="E29" s="559"/>
    </row>
    <row r="30" spans="1:8" s="558" customFormat="1" ht="23.45" customHeight="1">
      <c r="A30" s="1218" t="s">
        <v>657</v>
      </c>
      <c r="B30" s="1218"/>
      <c r="C30" s="1218"/>
      <c r="D30" s="559"/>
      <c r="E30" s="559"/>
    </row>
    <row r="31" spans="1:8" s="558" customFormat="1" ht="15">
      <c r="A31" s="1011" t="s">
        <v>658</v>
      </c>
      <c r="B31" s="1011" t="s">
        <v>659</v>
      </c>
      <c r="C31" s="1011" t="s">
        <v>660</v>
      </c>
      <c r="D31" s="564"/>
      <c r="E31" s="559"/>
    </row>
    <row r="32" spans="1:8" s="558" customFormat="1">
      <c r="A32" s="994" t="s">
        <v>661</v>
      </c>
      <c r="B32" s="995"/>
      <c r="C32" s="1012">
        <f>+B32*C28</f>
        <v>0</v>
      </c>
      <c r="E32" s="559"/>
    </row>
    <row r="33" spans="1:5" s="558" customFormat="1">
      <c r="A33" s="994" t="s">
        <v>662</v>
      </c>
      <c r="B33" s="995">
        <v>1</v>
      </c>
      <c r="C33" s="1013">
        <f>+B33*D28</f>
        <v>22810</v>
      </c>
      <c r="D33" s="1014"/>
      <c r="E33" s="559"/>
    </row>
    <row r="34" spans="1:5" s="558" customFormat="1">
      <c r="A34" s="994" t="s">
        <v>663</v>
      </c>
      <c r="B34" s="995">
        <v>1</v>
      </c>
      <c r="C34" s="1013">
        <f>+B34*E28</f>
        <v>12083</v>
      </c>
      <c r="E34" s="559"/>
    </row>
    <row r="35" spans="1:5" s="558" customFormat="1">
      <c r="A35" s="1219" t="s">
        <v>664</v>
      </c>
      <c r="B35" s="1219"/>
      <c r="C35" s="1015">
        <f>SUM(C32:C34)</f>
        <v>34893</v>
      </c>
      <c r="D35" s="565"/>
      <c r="E35" s="559"/>
    </row>
    <row r="36" spans="1:5" s="558" customFormat="1" ht="21.2" customHeight="1">
      <c r="A36" s="1209" t="s">
        <v>665</v>
      </c>
      <c r="B36" s="1209"/>
      <c r="C36" s="1016">
        <f>+ROUND(C35,-2)</f>
        <v>34900</v>
      </c>
      <c r="D36" s="566"/>
      <c r="E36" s="559"/>
    </row>
    <row r="37" spans="1:5" s="558" customFormat="1" ht="32.25" customHeight="1">
      <c r="A37" s="559"/>
      <c r="B37" s="559"/>
      <c r="C37" s="559"/>
      <c r="D37" s="559"/>
      <c r="E37" s="567" t="s">
        <v>666</v>
      </c>
    </row>
    <row r="38" spans="1:5" s="558" customFormat="1" ht="20.45" customHeight="1">
      <c r="A38" s="1017" t="s">
        <v>667</v>
      </c>
      <c r="B38" s="568"/>
      <c r="C38" s="1018" t="s">
        <v>668</v>
      </c>
      <c r="D38" s="1019">
        <f>+C28</f>
        <v>30318</v>
      </c>
      <c r="E38" s="1006"/>
    </row>
    <row r="39" spans="1:5" s="558" customFormat="1" ht="20.45" customHeight="1">
      <c r="A39" s="1017" t="s">
        <v>633</v>
      </c>
      <c r="B39" s="568"/>
      <c r="C39" s="1018" t="s">
        <v>668</v>
      </c>
      <c r="D39" s="1019">
        <f>+D28</f>
        <v>22810</v>
      </c>
      <c r="E39" s="1020"/>
    </row>
    <row r="40" spans="1:5" s="558" customFormat="1" ht="20.45" customHeight="1">
      <c r="A40" s="1021" t="s">
        <v>669</v>
      </c>
      <c r="B40" s="569"/>
      <c r="C40" s="1018" t="s">
        <v>668</v>
      </c>
      <c r="D40" s="1019">
        <f>+ROUND(D39*(1+E40),0)</f>
        <v>27372</v>
      </c>
      <c r="E40" s="1020">
        <v>0.2</v>
      </c>
    </row>
    <row r="41" spans="1:5" s="558" customFormat="1" ht="20.45" customHeight="1">
      <c r="A41" s="1017" t="s">
        <v>634</v>
      </c>
      <c r="B41" s="568"/>
      <c r="C41" s="1018" t="s">
        <v>668</v>
      </c>
      <c r="D41" s="1019">
        <f>+E28</f>
        <v>12083</v>
      </c>
      <c r="E41" s="1006"/>
    </row>
    <row r="42" spans="1:5" s="558" customFormat="1" ht="20.45" customHeight="1">
      <c r="A42" s="1017" t="s">
        <v>670</v>
      </c>
      <c r="B42" s="568"/>
      <c r="C42" s="1018" t="s">
        <v>671</v>
      </c>
      <c r="D42" s="1019">
        <f>+C36</f>
        <v>34900</v>
      </c>
      <c r="E42" s="1006"/>
    </row>
    <row r="43" spans="1:5" s="558" customFormat="1" ht="20.45" customHeight="1">
      <c r="A43" s="1017" t="s">
        <v>672</v>
      </c>
      <c r="B43" s="568"/>
      <c r="C43" s="1018" t="s">
        <v>671</v>
      </c>
      <c r="D43" s="1019">
        <f>ROUND((+$D$42*1.1),0)</f>
        <v>38390</v>
      </c>
      <c r="E43" s="1020">
        <v>0.1</v>
      </c>
    </row>
    <row r="44" spans="1:5" s="558" customFormat="1" ht="20.45" customHeight="1">
      <c r="A44" s="1017" t="s">
        <v>673</v>
      </c>
      <c r="B44" s="568"/>
      <c r="C44" s="1018" t="s">
        <v>671</v>
      </c>
      <c r="D44" s="1019">
        <f>ROUND((+$D$42*1.15),0)</f>
        <v>40135</v>
      </c>
      <c r="E44" s="1020">
        <v>0.15</v>
      </c>
    </row>
    <row r="45" spans="1:5" s="558" customFormat="1" ht="20.45" customHeight="1">
      <c r="A45" s="1017" t="s">
        <v>674</v>
      </c>
      <c r="B45" s="568"/>
      <c r="C45" s="1018" t="s">
        <v>671</v>
      </c>
      <c r="D45" s="1019">
        <f>ROUND((+$D$42*1.2),0)</f>
        <v>41880</v>
      </c>
      <c r="E45" s="1020">
        <v>0.2</v>
      </c>
    </row>
    <row r="46" spans="1:5" s="558" customFormat="1" ht="20.45" customHeight="1">
      <c r="A46" s="1017" t="s">
        <v>675</v>
      </c>
      <c r="B46" s="568"/>
      <c r="C46" s="1018" t="s">
        <v>671</v>
      </c>
      <c r="D46" s="1019">
        <f>ROUND((+$D$42*1.12),0)</f>
        <v>39088</v>
      </c>
      <c r="E46" s="1020">
        <v>0.12</v>
      </c>
    </row>
    <row r="47" spans="1:5" s="558" customFormat="1" ht="20.45" customHeight="1">
      <c r="A47" s="1017" t="s">
        <v>676</v>
      </c>
      <c r="B47" s="568"/>
      <c r="C47" s="1018" t="s">
        <v>671</v>
      </c>
      <c r="D47" s="1019">
        <f>ROUND((+$D$42*1.25),0)</f>
        <v>43625</v>
      </c>
      <c r="E47" s="1020">
        <v>0.25</v>
      </c>
    </row>
    <row r="48" spans="1:5" s="558" customFormat="1" ht="20.45" customHeight="1">
      <c r="A48" s="1017" t="s">
        <v>677</v>
      </c>
      <c r="B48" s="568"/>
      <c r="C48" s="1018" t="s">
        <v>671</v>
      </c>
      <c r="D48" s="1019">
        <f>ROUND((+$D$42*1.35),0)</f>
        <v>47115</v>
      </c>
      <c r="E48" s="1020">
        <v>0.35</v>
      </c>
    </row>
    <row r="49" spans="1:5" s="558" customFormat="1" ht="20.45" customHeight="1">
      <c r="A49" s="1017" t="s">
        <v>678</v>
      </c>
      <c r="B49" s="568"/>
      <c r="C49" s="1018" t="s">
        <v>671</v>
      </c>
      <c r="D49" s="1019">
        <f>+C33*2</f>
        <v>45620</v>
      </c>
      <c r="E49" s="1006"/>
    </row>
    <row r="50" spans="1:5" s="558" customFormat="1" ht="20.45" customHeight="1">
      <c r="A50" s="1017" t="s">
        <v>679</v>
      </c>
      <c r="B50" s="568"/>
      <c r="C50" s="1018" t="s">
        <v>671</v>
      </c>
      <c r="D50" s="1019">
        <f>+C34*2</f>
        <v>24166</v>
      </c>
      <c r="E50" s="1006"/>
    </row>
    <row r="51" spans="1:5" s="558" customFormat="1" ht="30.75" customHeight="1">
      <c r="A51" s="559"/>
      <c r="B51" s="570"/>
      <c r="C51" s="559"/>
      <c r="D51" s="559"/>
      <c r="E51" s="559"/>
    </row>
    <row r="52" spans="1:5" s="558" customFormat="1">
      <c r="A52" s="559" t="s">
        <v>1140</v>
      </c>
      <c r="B52" s="571">
        <f>+C7*2</f>
        <v>2847000</v>
      </c>
      <c r="C52" s="559"/>
      <c r="D52" s="559"/>
      <c r="E52" s="559"/>
    </row>
    <row r="53" spans="1:5" s="558" customFormat="1">
      <c r="A53" s="559"/>
      <c r="B53" s="559"/>
      <c r="C53" s="559"/>
      <c r="D53" s="559"/>
      <c r="E53" s="559"/>
    </row>
    <row r="54" spans="1:5" s="558" customFormat="1">
      <c r="A54" s="559"/>
      <c r="B54" s="559"/>
      <c r="C54" s="559"/>
      <c r="D54" s="559"/>
      <c r="E54" s="559"/>
    </row>
    <row r="55" spans="1:5" s="558" customFormat="1">
      <c r="A55" s="496"/>
      <c r="B55" s="496"/>
      <c r="C55" s="496"/>
      <c r="D55" s="496"/>
      <c r="E55" s="496"/>
    </row>
    <row r="56" spans="1:5" s="558" customFormat="1">
      <c r="A56" s="496"/>
      <c r="B56" s="496"/>
      <c r="C56" s="496"/>
      <c r="D56" s="496"/>
      <c r="E56" s="496"/>
    </row>
    <row r="57" spans="1:5" s="558" customFormat="1">
      <c r="A57" s="1221" t="s">
        <v>1141</v>
      </c>
      <c r="B57" s="1221"/>
      <c r="C57" s="1221"/>
      <c r="D57" s="1221"/>
      <c r="E57" s="1221"/>
    </row>
    <row r="58" spans="1:5" s="558" customFormat="1">
      <c r="A58" s="572"/>
      <c r="B58" s="572"/>
      <c r="C58" s="572"/>
      <c r="D58" s="572"/>
      <c r="E58" s="572"/>
    </row>
    <row r="59" spans="1:5" s="558" customFormat="1">
      <c r="A59" s="1221" t="s">
        <v>1142</v>
      </c>
      <c r="B59" s="1221"/>
      <c r="C59" s="1221"/>
      <c r="D59" s="1221"/>
      <c r="E59" s="1221"/>
    </row>
    <row r="60" spans="1:5" s="558" customFormat="1">
      <c r="A60" s="573"/>
      <c r="B60" s="573"/>
      <c r="C60" s="574"/>
      <c r="D60" s="575"/>
      <c r="E60" s="574"/>
    </row>
    <row r="61" spans="1:5" s="558" customFormat="1">
      <c r="A61" s="573" t="s">
        <v>1143</v>
      </c>
      <c r="B61" s="575">
        <f>+C6</f>
        <v>200000</v>
      </c>
      <c r="C61" s="576"/>
      <c r="D61" s="575"/>
      <c r="E61" s="576"/>
    </row>
    <row r="62" spans="1:5" s="558" customFormat="1">
      <c r="A62" s="573" t="s">
        <v>1144</v>
      </c>
      <c r="B62" s="575">
        <f>B61*12</f>
        <v>2400000</v>
      </c>
      <c r="C62" s="576"/>
      <c r="D62" s="575"/>
      <c r="E62" s="576"/>
    </row>
    <row r="63" spans="1:5" s="558" customFormat="1">
      <c r="A63" s="573" t="s">
        <v>1145</v>
      </c>
      <c r="B63" s="577">
        <f>+C7</f>
        <v>1423500</v>
      </c>
      <c r="C63" s="576"/>
      <c r="D63" s="575"/>
      <c r="E63" s="576"/>
    </row>
    <row r="64" spans="1:5" s="558" customFormat="1">
      <c r="A64" s="573" t="s">
        <v>1146</v>
      </c>
      <c r="B64" s="578">
        <f>ROUND((B63/30)*365,0)</f>
        <v>17319250</v>
      </c>
      <c r="C64" s="576"/>
      <c r="D64" s="575"/>
      <c r="E64" s="576"/>
    </row>
    <row r="65" spans="1:5" s="558" customFormat="1">
      <c r="A65" s="573" t="s">
        <v>1147</v>
      </c>
      <c r="B65" s="577">
        <f>+B62+B64</f>
        <v>19719250</v>
      </c>
      <c r="C65" s="576"/>
      <c r="D65" s="575"/>
      <c r="E65" s="576"/>
    </row>
    <row r="66" spans="1:5" s="558" customFormat="1">
      <c r="A66" s="573"/>
      <c r="B66" s="573"/>
      <c r="C66" s="576"/>
      <c r="D66" s="575"/>
      <c r="E66" s="576"/>
    </row>
    <row r="67" spans="1:5" s="558" customFormat="1">
      <c r="A67" s="573"/>
      <c r="B67" s="573"/>
      <c r="C67" s="574"/>
      <c r="D67" s="575"/>
      <c r="E67" s="574"/>
    </row>
    <row r="68" spans="1:5" s="558" customFormat="1">
      <c r="A68" s="1022" t="s">
        <v>1148</v>
      </c>
      <c r="B68" s="1022"/>
      <c r="C68" s="1023" t="s">
        <v>763</v>
      </c>
      <c r="D68" s="1024" t="s">
        <v>1117</v>
      </c>
      <c r="E68" s="1023" t="s">
        <v>1138</v>
      </c>
    </row>
    <row r="69" spans="1:5" s="558" customFormat="1">
      <c r="A69" s="579"/>
      <c r="B69" s="579"/>
      <c r="C69" s="574"/>
      <c r="D69" s="580"/>
      <c r="E69" s="574"/>
    </row>
    <row r="70" spans="1:5" s="558" customFormat="1">
      <c r="A70" s="1220" t="s">
        <v>1149</v>
      </c>
      <c r="B70" s="1220"/>
      <c r="C70" s="1220"/>
      <c r="D70" s="1220"/>
      <c r="E70" s="1220"/>
    </row>
    <row r="71" spans="1:5" s="558" customFormat="1">
      <c r="A71" s="1026" t="s">
        <v>1150</v>
      </c>
      <c r="B71" s="1025"/>
      <c r="C71" s="1027"/>
      <c r="D71" s="1028">
        <f>B64</f>
        <v>17319250</v>
      </c>
      <c r="E71" s="1027">
        <v>1</v>
      </c>
    </row>
    <row r="72" spans="1:5" s="558" customFormat="1">
      <c r="A72" s="1026" t="s">
        <v>1151</v>
      </c>
      <c r="B72" s="1025"/>
      <c r="C72" s="1027"/>
      <c r="D72" s="1028">
        <f>B62</f>
        <v>2400000</v>
      </c>
      <c r="E72" s="1027">
        <v>0.1133</v>
      </c>
    </row>
    <row r="73" spans="1:5" s="558" customFormat="1">
      <c r="A73" s="573"/>
      <c r="B73" s="573"/>
      <c r="C73" s="574"/>
      <c r="D73" s="575"/>
      <c r="E73" s="574"/>
    </row>
    <row r="74" spans="1:5" s="558" customFormat="1">
      <c r="A74" s="1220" t="s">
        <v>1152</v>
      </c>
      <c r="B74" s="1220"/>
      <c r="C74" s="1220"/>
      <c r="D74" s="1220"/>
      <c r="E74" s="1220"/>
    </row>
    <row r="75" spans="1:5" s="558" customFormat="1">
      <c r="A75" s="1029" t="s">
        <v>1153</v>
      </c>
      <c r="B75" s="1025" t="s">
        <v>1154</v>
      </c>
      <c r="C75" s="1030">
        <v>36</v>
      </c>
      <c r="D75" s="1031">
        <f>ROUND((B65/365)*C75,0)</f>
        <v>1944912</v>
      </c>
      <c r="E75" s="1027">
        <f>D75/D71</f>
        <v>0.11229770342249232</v>
      </c>
    </row>
    <row r="76" spans="1:5" s="558" customFormat="1">
      <c r="A76" s="1029" t="s">
        <v>1155</v>
      </c>
      <c r="B76" s="1025" t="s">
        <v>1156</v>
      </c>
      <c r="C76" s="1032">
        <v>0.12</v>
      </c>
      <c r="D76" s="1031">
        <f>ROUND(C76*D75,0)</f>
        <v>233389</v>
      </c>
      <c r="E76" s="1027">
        <f>((D76)/B63)/12</f>
        <v>1.3662861491628616E-2</v>
      </c>
    </row>
    <row r="77" spans="1:5" s="558" customFormat="1">
      <c r="A77" s="1029" t="s">
        <v>1157</v>
      </c>
      <c r="B77" s="1025" t="s">
        <v>504</v>
      </c>
      <c r="C77" s="1032">
        <v>0.5</v>
      </c>
      <c r="D77" s="1031">
        <f>C77*B63</f>
        <v>711750</v>
      </c>
      <c r="E77" s="1027">
        <f>(D77/B63)/12</f>
        <v>4.1666666666666664E-2</v>
      </c>
    </row>
    <row r="78" spans="1:5" s="558" customFormat="1">
      <c r="A78" s="1029" t="s">
        <v>1158</v>
      </c>
      <c r="B78" s="1025" t="s">
        <v>504</v>
      </c>
      <c r="C78" s="1032">
        <v>1</v>
      </c>
      <c r="D78" s="1031">
        <f>C78*(B63+B61)</f>
        <v>1623500</v>
      </c>
      <c r="E78" s="1027">
        <v>9.1700000000000004E-2</v>
      </c>
    </row>
    <row r="79" spans="1:5" s="558" customFormat="1">
      <c r="A79" s="573"/>
      <c r="B79" s="579"/>
      <c r="C79" s="574"/>
      <c r="D79" s="575"/>
      <c r="E79" s="574"/>
    </row>
    <row r="80" spans="1:5" s="558" customFormat="1">
      <c r="A80" s="1222" t="s">
        <v>1159</v>
      </c>
      <c r="B80" s="1223"/>
      <c r="C80" s="1223"/>
      <c r="D80" s="1223"/>
      <c r="E80" s="1224"/>
    </row>
    <row r="81" spans="1:5" s="558" customFormat="1">
      <c r="A81" s="1029" t="s">
        <v>1160</v>
      </c>
      <c r="B81" s="1028">
        <v>45000</v>
      </c>
      <c r="C81" s="1033">
        <v>3</v>
      </c>
      <c r="D81" s="1031">
        <f>C81*B81</f>
        <v>135000</v>
      </c>
      <c r="E81" s="1027">
        <v>3.5299999999999998E-2</v>
      </c>
    </row>
    <row r="82" spans="1:5" s="558" customFormat="1">
      <c r="A82" s="1029" t="s">
        <v>1161</v>
      </c>
      <c r="B82" s="1025" t="s">
        <v>1137</v>
      </c>
      <c r="C82" s="1034">
        <v>5.0000000000000001E-3</v>
      </c>
      <c r="D82" s="1031">
        <f>ROUND(C82*B64,0)</f>
        <v>86596</v>
      </c>
      <c r="E82" s="1027">
        <f>D82/D71</f>
        <v>4.9999855651947974E-3</v>
      </c>
    </row>
    <row r="83" spans="1:5" s="558" customFormat="1">
      <c r="A83" s="573"/>
      <c r="B83" s="579"/>
      <c r="C83" s="574"/>
      <c r="D83" s="575"/>
      <c r="E83" s="574"/>
    </row>
    <row r="84" spans="1:5" s="558" customFormat="1">
      <c r="A84" s="1220" t="s">
        <v>1162</v>
      </c>
      <c r="B84" s="1220"/>
      <c r="C84" s="1220"/>
      <c r="D84" s="1220"/>
      <c r="E84" s="1220"/>
    </row>
    <row r="85" spans="1:5" s="558" customFormat="1">
      <c r="A85" s="1025"/>
      <c r="B85" s="1025"/>
      <c r="C85" s="1025"/>
      <c r="D85" s="1025"/>
      <c r="E85" s="1025"/>
    </row>
    <row r="86" spans="1:5" s="558" customFormat="1">
      <c r="A86" s="1029" t="s">
        <v>1163</v>
      </c>
      <c r="B86" s="1025" t="s">
        <v>1137</v>
      </c>
      <c r="C86" s="1027">
        <v>0.12</v>
      </c>
      <c r="D86" s="1031">
        <f>ROUND(C86*$B$64,0)</f>
        <v>2078310</v>
      </c>
      <c r="E86" s="1027">
        <f>D86/B64</f>
        <v>0.12</v>
      </c>
    </row>
    <row r="87" spans="1:5" s="558" customFormat="1">
      <c r="A87" s="1029" t="s">
        <v>1164</v>
      </c>
      <c r="B87" s="1025" t="s">
        <v>1137</v>
      </c>
      <c r="C87" s="1027">
        <v>8.5000000000000006E-2</v>
      </c>
      <c r="D87" s="1031">
        <f>ROUND(C87*$B$64,0)</f>
        <v>1472136</v>
      </c>
      <c r="E87" s="1027">
        <f>+D87/B64</f>
        <v>8.4999985565194794E-2</v>
      </c>
    </row>
    <row r="88" spans="1:5" s="558" customFormat="1">
      <c r="A88" s="1029" t="s">
        <v>1165</v>
      </c>
      <c r="B88" s="1025" t="s">
        <v>1137</v>
      </c>
      <c r="C88" s="1027">
        <v>5.6000000000000001E-2</v>
      </c>
      <c r="D88" s="1031">
        <f>ROUND(C88*$B$64,0)</f>
        <v>969878</v>
      </c>
      <c r="E88" s="1027">
        <f>D88/B64</f>
        <v>5.6000000000000001E-2</v>
      </c>
    </row>
    <row r="89" spans="1:5" s="558" customFormat="1">
      <c r="A89" s="573"/>
      <c r="B89" s="579"/>
      <c r="C89" s="574"/>
      <c r="D89" s="575"/>
      <c r="E89" s="574"/>
    </row>
    <row r="90" spans="1:5" s="558" customFormat="1">
      <c r="A90" s="1220" t="s">
        <v>1166</v>
      </c>
      <c r="B90" s="1220"/>
      <c r="C90" s="1220"/>
      <c r="D90" s="1220"/>
      <c r="E90" s="1220"/>
    </row>
    <row r="91" spans="1:5" s="558" customFormat="1">
      <c r="A91" s="1025"/>
      <c r="B91" s="1025"/>
      <c r="C91" s="1025"/>
      <c r="D91" s="1025"/>
      <c r="E91" s="1025"/>
    </row>
    <row r="92" spans="1:5" s="558" customFormat="1">
      <c r="A92" s="1029" t="s">
        <v>1167</v>
      </c>
      <c r="B92" s="1025" t="s">
        <v>1137</v>
      </c>
      <c r="C92" s="1027">
        <v>0.02</v>
      </c>
      <c r="D92" s="1031">
        <f>ROUND(C92*$B$64,0)</f>
        <v>346385</v>
      </c>
      <c r="E92" s="1027">
        <f>+D92/B64</f>
        <v>0.02</v>
      </c>
    </row>
    <row r="93" spans="1:5" s="558" customFormat="1">
      <c r="A93" s="1029" t="s">
        <v>1168</v>
      </c>
      <c r="B93" s="1025"/>
      <c r="C93" s="1027"/>
      <c r="D93" s="1031">
        <f>(B63*12)/40</f>
        <v>427050</v>
      </c>
      <c r="E93" s="1027">
        <f>D93/B64</f>
        <v>2.4657534246575342E-2</v>
      </c>
    </row>
    <row r="94" spans="1:5" s="558" customFormat="1">
      <c r="A94" s="573"/>
      <c r="B94" s="579"/>
      <c r="C94" s="574"/>
      <c r="D94" s="575"/>
      <c r="E94" s="574"/>
    </row>
    <row r="95" spans="1:5" s="558" customFormat="1">
      <c r="A95" s="1220" t="s">
        <v>1169</v>
      </c>
      <c r="B95" s="1220"/>
      <c r="C95" s="1220"/>
      <c r="D95" s="1220"/>
      <c r="E95" s="1220"/>
    </row>
    <row r="96" spans="1:5" s="558" customFormat="1">
      <c r="A96" s="1029"/>
      <c r="B96" s="1025"/>
      <c r="C96" s="1027"/>
      <c r="D96" s="1031"/>
      <c r="E96" s="1027"/>
    </row>
    <row r="97" spans="1:5" s="558" customFormat="1">
      <c r="A97" s="1029" t="s">
        <v>652</v>
      </c>
      <c r="B97" s="1025" t="s">
        <v>1137</v>
      </c>
      <c r="C97" s="1027">
        <v>0.03</v>
      </c>
      <c r="D97" s="1031">
        <f>ROUND(C97*$B$64,0)</f>
        <v>519578</v>
      </c>
      <c r="E97" s="1027">
        <f>+D97/B64</f>
        <v>3.0000028869610406E-2</v>
      </c>
    </row>
    <row r="98" spans="1:5" s="558" customFormat="1">
      <c r="A98" s="1029" t="s">
        <v>1170</v>
      </c>
      <c r="B98" s="1025" t="s">
        <v>1137</v>
      </c>
      <c r="C98" s="1027">
        <v>0.04</v>
      </c>
      <c r="D98" s="1031">
        <f>ROUND(C98*B64,0)</f>
        <v>692770</v>
      </c>
      <c r="E98" s="1027">
        <f>D98/B64</f>
        <v>0.04</v>
      </c>
    </row>
    <row r="99" spans="1:5" s="558" customFormat="1">
      <c r="A99" s="573"/>
      <c r="B99" s="579"/>
      <c r="C99" s="574"/>
      <c r="D99" s="575"/>
      <c r="E99" s="574"/>
    </row>
    <row r="100" spans="1:5" s="558" customFormat="1">
      <c r="A100" s="1035" t="s">
        <v>1171</v>
      </c>
      <c r="B100" s="581"/>
      <c r="C100" s="582"/>
      <c r="D100" s="583"/>
      <c r="E100" s="1023">
        <f>SUM(E71:E98)</f>
        <v>1.7885847658273628</v>
      </c>
    </row>
    <row r="101" spans="1:5" s="558" customFormat="1">
      <c r="A101" s="573"/>
      <c r="B101" s="573"/>
      <c r="C101" s="574"/>
      <c r="D101" s="575"/>
      <c r="E101" s="574"/>
    </row>
    <row r="102" spans="1:5" s="558" customFormat="1">
      <c r="A102" s="584"/>
      <c r="B102" s="584"/>
      <c r="C102" s="584"/>
      <c r="D102" s="584"/>
      <c r="E102" s="584"/>
    </row>
    <row r="103" spans="1:5" s="558" customFormat="1">
      <c r="A103" s="1036"/>
      <c r="B103" s="1037" t="s">
        <v>1172</v>
      </c>
      <c r="C103" s="1036"/>
      <c r="D103" s="1038" t="s">
        <v>1173</v>
      </c>
      <c r="E103" s="585"/>
    </row>
    <row r="104" spans="1:5" s="558" customFormat="1">
      <c r="A104" s="1039" t="s">
        <v>1174</v>
      </c>
      <c r="B104" s="1040" t="s">
        <v>1175</v>
      </c>
      <c r="C104" s="1039" t="s">
        <v>1176</v>
      </c>
      <c r="D104" s="1041">
        <f>ROUND((B63*1)/22,0)</f>
        <v>64705</v>
      </c>
      <c r="E104" s="586"/>
    </row>
    <row r="105" spans="1:5" s="558" customFormat="1">
      <c r="A105" s="1039" t="s">
        <v>1177</v>
      </c>
      <c r="B105" s="1040" t="s">
        <v>1178</v>
      </c>
      <c r="C105" s="1039" t="s">
        <v>1176</v>
      </c>
      <c r="D105" s="1041">
        <f>2*ROUND((B63*1)/22,0)</f>
        <v>129410</v>
      </c>
      <c r="E105" s="586"/>
    </row>
    <row r="106" spans="1:5" s="558" customFormat="1">
      <c r="A106" s="1039" t="s">
        <v>1179</v>
      </c>
      <c r="B106" s="1040" t="s">
        <v>1180</v>
      </c>
      <c r="C106" s="1039" t="s">
        <v>1176</v>
      </c>
      <c r="D106" s="1041">
        <f>3*ROUND((B63*1)/22,0)</f>
        <v>194115</v>
      </c>
      <c r="E106" s="586"/>
    </row>
    <row r="107" spans="1:5" s="558" customFormat="1">
      <c r="A107" s="1039" t="s">
        <v>1181</v>
      </c>
      <c r="B107" s="1040" t="s">
        <v>1182</v>
      </c>
      <c r="C107" s="1039" t="s">
        <v>1176</v>
      </c>
      <c r="D107" s="1041">
        <f>4*ROUND((B63*1)/22,0)</f>
        <v>258820</v>
      </c>
      <c r="E107" s="586"/>
    </row>
    <row r="108" spans="1:5" s="558" customFormat="1">
      <c r="A108" s="1039" t="s">
        <v>1183</v>
      </c>
      <c r="B108" s="1040" t="s">
        <v>1184</v>
      </c>
      <c r="C108" s="1039" t="s">
        <v>1176</v>
      </c>
      <c r="D108" s="1041">
        <f>5*ROUND((B63*1)/22,0)</f>
        <v>323525</v>
      </c>
      <c r="E108" s="586"/>
    </row>
    <row r="109" spans="1:5" s="558" customFormat="1">
      <c r="A109" s="584"/>
      <c r="B109" s="584"/>
      <c r="C109" s="584"/>
      <c r="D109" s="584"/>
      <c r="E109" s="584"/>
    </row>
    <row r="110" spans="1:5" s="558" customFormat="1">
      <c r="A110" s="584"/>
      <c r="B110" s="584"/>
      <c r="C110" s="584"/>
      <c r="D110" s="584"/>
      <c r="E110" s="584"/>
    </row>
    <row r="111" spans="1:5" s="558" customFormat="1">
      <c r="A111" s="1036"/>
      <c r="B111" s="1037" t="s">
        <v>1185</v>
      </c>
      <c r="C111" s="1036"/>
      <c r="D111" s="1038" t="s">
        <v>1173</v>
      </c>
      <c r="E111" s="585"/>
    </row>
    <row r="112" spans="1:5" s="558" customFormat="1">
      <c r="A112" s="1036" t="s">
        <v>1186</v>
      </c>
      <c r="B112" s="1042" t="s">
        <v>694</v>
      </c>
      <c r="C112" s="1036" t="s">
        <v>1187</v>
      </c>
      <c r="D112" s="1043">
        <v>6800</v>
      </c>
      <c r="E112" s="585"/>
    </row>
    <row r="113" spans="1:5" s="558" customFormat="1">
      <c r="A113" s="1036" t="s">
        <v>1188</v>
      </c>
      <c r="B113" s="1042" t="s">
        <v>1189</v>
      </c>
      <c r="C113" s="1036" t="s">
        <v>1187</v>
      </c>
      <c r="D113" s="1043">
        <v>1000</v>
      </c>
      <c r="E113" s="585"/>
    </row>
    <row r="114" spans="1:5" s="558" customFormat="1">
      <c r="A114" s="1036" t="s">
        <v>1190</v>
      </c>
      <c r="B114" s="1042" t="s">
        <v>1191</v>
      </c>
      <c r="C114" s="1036" t="s">
        <v>1187</v>
      </c>
      <c r="D114" s="1043">
        <v>1000</v>
      </c>
      <c r="E114" s="585"/>
    </row>
    <row r="115" spans="1:5" s="558" customFormat="1">
      <c r="A115" s="1036" t="s">
        <v>1192</v>
      </c>
      <c r="B115" s="1042" t="s">
        <v>1193</v>
      </c>
      <c r="C115" s="1036" t="s">
        <v>1187</v>
      </c>
      <c r="D115" s="1043">
        <v>1500</v>
      </c>
      <c r="E115" s="585"/>
    </row>
    <row r="116" spans="1:5" s="558" customFormat="1">
      <c r="A116" s="584"/>
      <c r="B116" s="584"/>
      <c r="C116" s="584"/>
      <c r="D116" s="584"/>
      <c r="E116" s="584"/>
    </row>
    <row r="117" spans="1:5" s="558" customFormat="1">
      <c r="A117" s="584"/>
      <c r="B117" s="584"/>
      <c r="C117" s="584"/>
      <c r="D117" s="584"/>
      <c r="E117" s="584"/>
    </row>
    <row r="118" spans="1:5" s="558" customFormat="1">
      <c r="A118" s="1036"/>
      <c r="B118" s="1037" t="s">
        <v>100</v>
      </c>
      <c r="C118" s="1036"/>
      <c r="D118" s="1041"/>
      <c r="E118" s="584"/>
    </row>
    <row r="119" spans="1:5" s="558" customFormat="1">
      <c r="A119" s="1036" t="s">
        <v>1194</v>
      </c>
      <c r="B119" s="1042" t="s">
        <v>1195</v>
      </c>
      <c r="C119" s="1036" t="s">
        <v>1196</v>
      </c>
      <c r="D119" s="1043">
        <v>150000</v>
      </c>
      <c r="E119" s="584"/>
    </row>
    <row r="120" spans="1:5" s="558" customFormat="1">
      <c r="A120" s="1036" t="s">
        <v>1197</v>
      </c>
      <c r="B120" s="1042" t="s">
        <v>1198</v>
      </c>
      <c r="C120" s="1036" t="s">
        <v>1199</v>
      </c>
      <c r="D120" s="1043">
        <v>60000</v>
      </c>
      <c r="E120" s="584"/>
    </row>
    <row r="121" spans="1:5" s="558" customFormat="1">
      <c r="A121" s="1036" t="s">
        <v>1200</v>
      </c>
      <c r="B121" s="1042" t="s">
        <v>1201</v>
      </c>
      <c r="C121" s="1036" t="s">
        <v>1199</v>
      </c>
      <c r="D121" s="1043">
        <v>120000</v>
      </c>
      <c r="E121" s="496"/>
    </row>
    <row r="122" spans="1:5" s="558" customFormat="1"/>
    <row r="123" spans="1:5" s="558" customFormat="1"/>
  </sheetData>
  <mergeCells count="20">
    <mergeCell ref="A90:E90"/>
    <mergeCell ref="A95:E95"/>
    <mergeCell ref="A57:E57"/>
    <mergeCell ref="A59:E59"/>
    <mergeCell ref="A70:E70"/>
    <mergeCell ref="A74:E74"/>
    <mergeCell ref="A80:E80"/>
    <mergeCell ref="A84:E84"/>
    <mergeCell ref="A36:B36"/>
    <mergeCell ref="A1:E1"/>
    <mergeCell ref="A2:E2"/>
    <mergeCell ref="A3:E3"/>
    <mergeCell ref="A5:A7"/>
    <mergeCell ref="A10:B10"/>
    <mergeCell ref="A11:A13"/>
    <mergeCell ref="A14:A19"/>
    <mergeCell ref="A20:A22"/>
    <mergeCell ref="A23:A25"/>
    <mergeCell ref="A30:C30"/>
    <mergeCell ref="A35:B35"/>
  </mergeCells>
  <pageMargins left="0.7" right="0.7" top="0.75" bottom="0.75" header="0.3" footer="0.3"/>
  <pageSetup orientation="portrait" r:id="rId1"/>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13</vt:i4>
      </vt:variant>
      <vt:variant>
        <vt:lpstr>Gráficos</vt:lpstr>
      </vt:variant>
      <vt:variant>
        <vt:i4>2</vt:i4>
      </vt:variant>
      <vt:variant>
        <vt:lpstr>Rangos con nombre</vt:lpstr>
      </vt:variant>
      <vt:variant>
        <vt:i4>9</vt:i4>
      </vt:variant>
    </vt:vector>
  </HeadingPairs>
  <TitlesOfParts>
    <vt:vector size="24" baseType="lpstr">
      <vt:lpstr>PPTO VENT MECAN</vt:lpstr>
      <vt:lpstr>PTAS VENTANAS</vt:lpstr>
      <vt:lpstr>ENCHAPES</vt:lpstr>
      <vt:lpstr>FLANCHES</vt:lpstr>
      <vt:lpstr>FORMATO OFERTA ECONOMICA</vt:lpstr>
      <vt:lpstr>PINTURA</vt:lpstr>
      <vt:lpstr>AREAS Y PERIMETROS</vt:lpstr>
      <vt:lpstr>PRESUPUESTO</vt:lpstr>
      <vt:lpstr>EST.MERCADO.</vt:lpstr>
      <vt:lpstr>1- PRESUPUESTO MANTENIMIENTO </vt:lpstr>
      <vt:lpstr>PRESUPUESTO ELECTROMECANICO</vt:lpstr>
      <vt:lpstr>PRESUPUESTO HVAC</vt:lpstr>
      <vt:lpstr>2,5- Cuadrillas</vt:lpstr>
      <vt:lpstr>Gráfico2</vt:lpstr>
      <vt:lpstr>Gráfico1</vt:lpstr>
      <vt:lpstr>EST.MERCADO.!Área_de_impresión</vt:lpstr>
      <vt:lpstr>'FORMATO OFERTA ECONOMICA'!Área_de_impresión</vt:lpstr>
      <vt:lpstr>PRESUPUESTO!Área_de_impresión</vt:lpstr>
      <vt:lpstr>'PRESUPUESTO ELECTROMECANICO'!Área_de_impresión</vt:lpstr>
      <vt:lpstr>'PRESUPUESTO HVAC'!Área_de_impresión</vt:lpstr>
      <vt:lpstr>EST.MERCADO.!Títulos_a_imprimir</vt:lpstr>
      <vt:lpstr>PRESUPUESTO!Títulos_a_imprimir</vt:lpstr>
      <vt:lpstr>'PRESUPUESTO ELECTROMECANICO'!Títulos_a_imprimir</vt:lpstr>
      <vt:lpstr>'PRESUPUESTO HVAC'!Títulos_a_imprimir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 NetBook</dc:creator>
  <cp:keywords/>
  <dc:description/>
  <cp:lastModifiedBy>Jose Luis Ardila Rodriguez</cp:lastModifiedBy>
  <cp:revision/>
  <cp:lastPrinted>2025-08-11T02:37:01Z</cp:lastPrinted>
  <dcterms:created xsi:type="dcterms:W3CDTF">2014-05-12T13:59:11Z</dcterms:created>
  <dcterms:modified xsi:type="dcterms:W3CDTF">2025-08-11T02:45:31Z</dcterms:modified>
  <cp:category/>
  <cp:contentStatus/>
</cp:coreProperties>
</file>