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laudia\OneDrive\Documentos\BUENAVENTURA\2025\25414- PAVIMENTO CAMILO TORRES\Pliego de Condiciones\"/>
    </mc:Choice>
  </mc:AlternateContent>
  <xr:revisionPtr revIDLastSave="0" documentId="8_{03111DFC-1B0C-4CB5-A5D8-FC3DB603060F}" xr6:coauthVersionLast="47" xr6:coauthVersionMax="47" xr10:uidLastSave="{00000000-0000-0000-0000-000000000000}"/>
  <bookViews>
    <workbookView xWindow="-110" yWindow="-110" windowWidth="19420" windowHeight="10300" xr2:uid="{853039F3-7E3C-4B7D-99EB-E239BF777D7F}"/>
  </bookViews>
  <sheets>
    <sheet name="CAMILO TORRES" sheetId="1" r:id="rId1"/>
    <sheet name="PMT" sheetId="2" r:id="rId2"/>
  </sheets>
  <definedNames>
    <definedName name="_xlnm.Print_Area" localSheetId="0">'CAMILO TORRES'!$A$1:$S$70</definedName>
    <definedName name="_xlnm.Print_Area" localSheetId="1">PMT!$A$1:$I$31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3" i="2" l="1"/>
  <c r="L56" i="1"/>
  <c r="K18" i="1" l="1"/>
  <c r="J51" i="1" l="1"/>
  <c r="J52" i="1"/>
  <c r="K26" i="1"/>
  <c r="J21" i="1"/>
  <c r="J22" i="1"/>
  <c r="J23" i="1"/>
  <c r="J24" i="1"/>
  <c r="J25" i="1"/>
  <c r="J26" i="1"/>
  <c r="K22" i="1"/>
  <c r="L18" i="1"/>
  <c r="K17" i="1"/>
  <c r="I23" i="2" l="1"/>
  <c r="I24" i="2" s="1"/>
  <c r="G18" i="2"/>
  <c r="G17" i="2"/>
  <c r="G15" i="2"/>
  <c r="G13" i="2"/>
  <c r="G12" i="2"/>
  <c r="G11" i="2"/>
  <c r="G10" i="2"/>
  <c r="G9" i="2"/>
  <c r="G8" i="2"/>
  <c r="F28" i="2" l="1"/>
  <c r="G30" i="2" s="1"/>
  <c r="G19" i="2"/>
  <c r="L59" i="1" l="1"/>
  <c r="L68" i="1"/>
  <c r="K52" i="1"/>
  <c r="L52" i="1" s="1"/>
  <c r="K51" i="1"/>
  <c r="L51" i="1" s="1"/>
  <c r="J48" i="1"/>
  <c r="K48" i="1" s="1"/>
  <c r="L48" i="1" s="1"/>
  <c r="J47" i="1"/>
  <c r="K47" i="1" s="1"/>
  <c r="L47" i="1" s="1"/>
  <c r="J46" i="1"/>
  <c r="K46" i="1" s="1"/>
  <c r="L46" i="1" s="1"/>
  <c r="J43" i="1"/>
  <c r="K43" i="1" s="1"/>
  <c r="L43" i="1" s="1"/>
  <c r="L44" i="1" s="1"/>
  <c r="J40" i="1"/>
  <c r="K40" i="1" s="1"/>
  <c r="L40" i="1" s="1"/>
  <c r="J39" i="1"/>
  <c r="K39" i="1" s="1"/>
  <c r="L39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0" i="1"/>
  <c r="K30" i="1" s="1"/>
  <c r="L30" i="1" s="1"/>
  <c r="J29" i="1"/>
  <c r="K29" i="1" s="1"/>
  <c r="L29" i="1" s="1"/>
  <c r="L26" i="1"/>
  <c r="K25" i="1"/>
  <c r="L25" i="1" s="1"/>
  <c r="K23" i="1"/>
  <c r="L23" i="1" s="1"/>
  <c r="L22" i="1"/>
  <c r="J17" i="1"/>
  <c r="L17" i="1" s="1"/>
  <c r="J16" i="1"/>
  <c r="L53" i="1" l="1"/>
  <c r="K21" i="1"/>
  <c r="L21" i="1" s="1"/>
  <c r="K24" i="1"/>
  <c r="L24" i="1" s="1"/>
  <c r="K16" i="1"/>
  <c r="L16" i="1" s="1"/>
  <c r="L19" i="1" s="1"/>
  <c r="L31" i="1"/>
  <c r="L49" i="1"/>
  <c r="L37" i="1"/>
  <c r="L41" i="1"/>
  <c r="L27" i="1" l="1"/>
  <c r="L54" i="1" s="1"/>
  <c r="L61" i="1" s="1"/>
</calcChain>
</file>

<file path=xl/sharedStrings.xml><?xml version="1.0" encoding="utf-8"?>
<sst xmlns="http://schemas.openxmlformats.org/spreadsheetml/2006/main" count="141" uniqueCount="101">
  <si>
    <t>Formulario 1 - Propuesta económica  - Documento tipo de selección abreviada de menor cuantía - versión 2</t>
  </si>
  <si>
    <t>Código</t>
  </si>
  <si>
    <t>CCE-EICP-FM-25</t>
  </si>
  <si>
    <t>Versión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</si>
  <si>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</si>
  <si>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</si>
  <si>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</si>
  <si>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</si>
  <si>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</si>
  <si>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</si>
  <si>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</si>
  <si>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 xml:space="preserve">VALOR TOTAL                                </t>
  </si>
  <si>
    <t>GENERAL</t>
  </si>
  <si>
    <t>PARTICULAR</t>
  </si>
  <si>
    <t>Subtotal</t>
  </si>
  <si>
    <t>m3</t>
  </si>
  <si>
    <t xml:space="preserve">SUBTOTAL OBRAS </t>
  </si>
  <si>
    <t>VALOR TOTAL</t>
  </si>
  <si>
    <t>PORCENTAJE</t>
  </si>
  <si>
    <t>ADMINISTRACION</t>
  </si>
  <si>
    <t>IMPREVISTO</t>
  </si>
  <si>
    <t>UTILIDAD</t>
  </si>
  <si>
    <t>TOTAL A.I.U</t>
  </si>
  <si>
    <t>FORMULARIO 1 - OFERTA ECONOMICA</t>
  </si>
  <si>
    <t>PRELIMINARES</t>
  </si>
  <si>
    <t>MOVIMIENTO DE TIERRA</t>
  </si>
  <si>
    <t>EXCAVACION MECANICA EN MATERIAL COMUN EN SECO</t>
  </si>
  <si>
    <t>EXCAVACION MANUAL EN MATERIAL COMUN EN SECO</t>
  </si>
  <si>
    <t>CARGUE DE SALDO EN SITIO( MANUAL)</t>
  </si>
  <si>
    <t>CONFORMACIÓN DE LA CALZADA EXISTENTE</t>
  </si>
  <si>
    <t>MEJORAMIENTO DE LA SUBRASANTE CON ADICION DE MATERIAL DE AFIRMADO</t>
  </si>
  <si>
    <t>RETIRO DE SOBRANTES Y DISPOSICION DE MATERIALES DE EXCAVACION</t>
  </si>
  <si>
    <t>CAMPAMENTO Y VALLA INFORMATIVA</t>
  </si>
  <si>
    <t>UND</t>
  </si>
  <si>
    <t>LOCALIZACION-REPLANTEO VIAS URBANAS</t>
  </si>
  <si>
    <t>M2</t>
  </si>
  <si>
    <t>M3</t>
  </si>
  <si>
    <t>M3/KM</t>
  </si>
  <si>
    <t>RELLENOS</t>
  </si>
  <si>
    <t>BASE GRANULAR CLASE C PARA CALZADA PRINCIPAL</t>
  </si>
  <si>
    <t>SUB-BASE GRANULAR  CLASE A SBG-38</t>
  </si>
  <si>
    <t>PAVIMENTOS</t>
  </si>
  <si>
    <t>ACERO DE REFUERZO Fy 420 Mpa, PARA PAVIMENTOS Y ESTRUCTURAS ESPECIALES</t>
  </si>
  <si>
    <t>KG</t>
  </si>
  <si>
    <t>CORTE DE JUNTAS TRANSVERSALES EN PAVIMENTO DE 4 A 7 CM</t>
  </si>
  <si>
    <t>ML</t>
  </si>
  <si>
    <t xml:space="preserve">PAVIMENTO DE CONCRETO HIDRÁULICO (RESISTENCIA CONCRETO MR 4,2 MPA) </t>
  </si>
  <si>
    <t>GEOTEXTIL TEJIDO PARA REFORZAMIENTO DE LA SUBRASANTE</t>
  </si>
  <si>
    <t>ESTRUCTURAS DE CONEXIÓN</t>
  </si>
  <si>
    <t>SUMIDERO TRANSVERSAL, INCLUYE TAPA EN (I)</t>
  </si>
  <si>
    <t>TUB PVC NOVAFORT 8"</t>
  </si>
  <si>
    <t>CONEXIONES DOMICILIARIAS</t>
  </si>
  <si>
    <t>DOMICILIARIA EN PF+UAD 3"*1/2"</t>
  </si>
  <si>
    <t>ARQUITECTURA - URBANISMO</t>
  </si>
  <si>
    <t>MALLA ELECTROSOLDADA</t>
  </si>
  <si>
    <t>SARDINEL EN CONCRETO DE 3000 PSI DE 0,15m x 0,15m</t>
  </si>
  <si>
    <t>SEÑALIZACION Y DEMARCACION VIAL</t>
  </si>
  <si>
    <t>SUMINISTRO Y APLICACIÓN DE PINTURA DE TRAFICO, INCLUYE IMPRIMANTE, PARA EJE DE VIA Y LINEAS.</t>
  </si>
  <si>
    <t>SUMINISTRO Y APLICACIÓN DE PINTURA DE TRAFICO, INCLUYE IMPRIMANTE PARA MARCAS VIALES -(ZONA ESCOLAR, PASO PEATONAL O CEBRAS, FLECHAS DE SENTIDO VIAL)</t>
  </si>
  <si>
    <t>PLAN DE MANEJO DE TRAFICO (Provision pagos, aprobaciones y control % CD)</t>
  </si>
  <si>
    <t>PLAN DE ADAPTACION Y GESTION AMBIENTAL - PAGA (Provicion aprobacion estudio ambiental y/o arqueologia % CD)</t>
  </si>
  <si>
    <t>SUBTOTAL PLANES (PAGA+PMT)</t>
  </si>
  <si>
    <t>ANDEN CONCRETO 10CM 3000 PSI (CONCRETO RESISTENCIA 21MPa (D) - MEZCLA IN SITU)</t>
  </si>
  <si>
    <t>VALOR UNITARIO SIN AUI</t>
  </si>
  <si>
    <t xml:space="preserve">VALOR UNITARIO </t>
  </si>
  <si>
    <t>PRESUPUESTO PLAN DE MANEJO DE TRÁFICO</t>
  </si>
  <si>
    <t>ITEM</t>
  </si>
  <si>
    <t>UNIDAD</t>
  </si>
  <si>
    <t>CANT.</t>
  </si>
  <si>
    <t>VR UNITARIO</t>
  </si>
  <si>
    <t>VR TOTAL</t>
  </si>
  <si>
    <t>PLAN DE MANEJO DE TRAFICO (Dispositivos, señalizaciones y Equipos (A)</t>
  </si>
  <si>
    <t>Barricada medidas 2,40 m x 1.50 m</t>
  </si>
  <si>
    <t>Und</t>
  </si>
  <si>
    <t>Paletas PARE SIGA 45 Cms</t>
  </si>
  <si>
    <t>(Colombinas en concreto h=2.00m)</t>
  </si>
  <si>
    <t>Barreras Plasticas ( Maletines)</t>
  </si>
  <si>
    <t>Cono de Señalización Vial Doble Reflectivo h=40 cms</t>
  </si>
  <si>
    <t>Cinta Plastica "Peligro No Pase"</t>
  </si>
  <si>
    <t>Ml</t>
  </si>
  <si>
    <t xml:space="preserve">SEÑALIZACION </t>
  </si>
  <si>
    <t>Señales Moviles de Aproximacion</t>
  </si>
  <si>
    <t>EQUIPOS VARIOS</t>
  </si>
  <si>
    <t>Chalecos Reflectivos</t>
  </si>
  <si>
    <t>Pitos Auxiliares de Transito</t>
  </si>
  <si>
    <t>SU TOTAL - PLAN DE MANEJO DE TRÁFICO ( Dispositivos, Señalización: Equipos)</t>
  </si>
  <si>
    <t>MESES</t>
  </si>
  <si>
    <t>DEDICACION</t>
  </si>
  <si>
    <t>PERSONAL PROFESIONAL, AUXILIARES DE TRANSITO Y BRIGADAS (B)</t>
  </si>
  <si>
    <t>Paleteros</t>
  </si>
  <si>
    <t>Unid</t>
  </si>
  <si>
    <t>SUB TOTAL - PLAN DE MANEJO DE TRÁFICO (PERSONAL)</t>
  </si>
  <si>
    <t>VALOR  COSTO DIRECTO *A = B)</t>
  </si>
  <si>
    <t>VALOR  TOTAL PLAN DE MANEJO DE TRAFICO (PMT)</t>
  </si>
  <si>
    <t>DEMOLICION DE ANDEN EN CONCRETO EXISTENTE (INCLUYE RETIRO)</t>
  </si>
  <si>
    <t>ALCALDIA DE BUENAVENTURA SECRETARÍA DE INFRAESTRUCTURA VIAL</t>
  </si>
  <si>
    <t>CONSTRUCCION PAVIMENTO RIGIDO CALLE 11 ENTRE CRA 67 Y 67A BARRIO CAMILO TORRES ZONA URBANA DEL DISTRITO DE BUENAVENTURA</t>
  </si>
  <si>
    <r>
      <t xml:space="preserve">[La entidad puede utilizar este formulario de detalle del </t>
    </r>
    <r>
      <rPr>
        <b/>
        <u/>
        <sz val="12"/>
        <color theme="1"/>
        <rFont val="Arial Narrow"/>
        <family val="2"/>
      </rPr>
      <t>presupuesto oficial</t>
    </r>
    <r>
      <rPr>
        <sz val="12"/>
        <color theme="1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</si>
  <si>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rPr>
        <b/>
        <sz val="14"/>
        <color theme="1"/>
        <rFont val="Arial Narrow"/>
        <family val="2"/>
      </rPr>
      <t xml:space="preserve">NOTA 1: </t>
    </r>
    <r>
      <rPr>
        <sz val="14"/>
        <color theme="1"/>
        <rFont val="Arial Narrow"/>
        <family val="2"/>
      </rPr>
      <t xml:space="preserve"> Se debe tener en cuenta que el PRECIO UNITARIO incluye el valor de A.I.U. </t>
    </r>
  </si>
  <si>
    <r>
      <rPr>
        <b/>
        <sz val="14"/>
        <color theme="1"/>
        <rFont val="Arial Narrow"/>
        <family val="2"/>
      </rPr>
      <t>NOTA 2:</t>
    </r>
    <r>
      <rPr>
        <sz val="14"/>
        <color theme="1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</si>
  <si>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4"/>
        <color theme="1"/>
        <rFont val="Arial Narrow"/>
        <family val="2"/>
      </rPr>
      <t>NOTA 3:</t>
    </r>
    <r>
      <rPr>
        <sz val="14"/>
        <color theme="1"/>
        <rFont val="Arial Narrow"/>
        <family val="2"/>
      </rPr>
      <t xml:space="preserve"> El A.I.U y su discriminación deben estar en porcentaje (%).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</si>
</sst>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 &quot;$&quot;\ * #,##0_ ;_ &quot;$&quot;\ * \-#,##0_ ;_ &quot;$&quot;\ * &quot;-&quot;_ ;_ @_ "/>
    <numFmt numFmtId="167" formatCode="&quot;$&quot;\ #,##0.00;[Red]&quot;$&quot;\ \-#,##0.00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([$$-240A]\ * #,##0_);_([$$-240A]\ * \(#,##0\);_([$$-240A]\ * &quot;-&quot;??_);_(@_)"/>
    <numFmt numFmtId="174" formatCode="0#.00\ \L\t"/>
    <numFmt numFmtId="175" formatCode="_ [$$-240A]\ * #,##0.00_ ;_ [$$-240A]\ * \-#,##0.00_ ;_ [$$-240A]\ * &quot;-&quot;??_ ;_ @_ "/>
    <numFmt numFmtId="176" formatCode="_ * #,##0.00_ ;_ * \-#,##0.00_ ;_ * &quot;-&quot;??_ ;_ @_ "/>
    <numFmt numFmtId="177" formatCode="_ * #,##0_ ;_ * \-#,##0_ ;_ * &quot;-&quot;??_ ;_ @_ "/>
    <numFmt numFmtId="178" formatCode="#,##0.00_);\-#,##0.00;&quot;&lt;Default Format&gt;&quot;"/>
    <numFmt numFmtId="179" formatCode="&quot;$&quot;\ #,##0;[Red]&quot;$&quot;\ \-#,##0"/>
    <numFmt numFmtId="180" formatCode="_-[$$-240A]\ * #,##0.00_-;\-[$$-240A]\ * #,##0.00_-;_-[$$-240A]\ * &quot;-&quot;??_-;_-@_-"/>
    <numFmt numFmtId="181" formatCode="_-&quot;$&quot;* #,##0.00_-;\-&quot;$&quot;* #,##0.00_-;_-&quot;$&quot;* &quot;-&quot;_-;_-@_-"/>
  </numFmts>
  <fonts count="2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6"/>
      <name val="Arial Narrow"/>
      <family val="2"/>
    </font>
    <font>
      <b/>
      <sz val="12"/>
      <name val="Arial Narrow"/>
      <family val="2"/>
    </font>
    <font>
      <b/>
      <sz val="16"/>
      <name val="Arial"/>
      <family val="2"/>
    </font>
    <font>
      <sz val="16"/>
      <name val="Arial Narrow"/>
      <family val="2"/>
    </font>
    <font>
      <sz val="14"/>
      <name val="Arial Narrow"/>
      <family val="2"/>
    </font>
    <font>
      <sz val="10"/>
      <color indexed="8"/>
      <name val="MS Sans Serif"/>
      <family val="2"/>
    </font>
    <font>
      <sz val="16"/>
      <color theme="1"/>
      <name val="Arial Narrow"/>
      <family val="2"/>
    </font>
    <font>
      <sz val="11"/>
      <color rgb="FF000000"/>
      <name val="Calibri"/>
      <family val="2"/>
    </font>
    <font>
      <sz val="16"/>
      <color rgb="FF000000"/>
      <name val="Arial Narrow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 Narrow"/>
      <family val="2"/>
    </font>
    <font>
      <b/>
      <sz val="8"/>
      <color theme="1"/>
      <name val="Arial"/>
      <family val="2"/>
      <charset val="1"/>
    </font>
    <font>
      <sz val="8"/>
      <color theme="1"/>
      <name val="Arial"/>
      <family val="2"/>
      <charset val="1"/>
    </font>
    <font>
      <b/>
      <sz val="16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sz val="14"/>
      <color theme="1"/>
      <name val="Arial Narrow"/>
      <family val="2"/>
    </font>
    <font>
      <b/>
      <sz val="18"/>
      <color theme="1"/>
      <name val="Arial Narrow"/>
      <family val="2"/>
    </font>
    <font>
      <b/>
      <sz val="14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17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164" fontId="13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2" applyFont="1"/>
    <xf numFmtId="0" fontId="4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2" fillId="0" borderId="4" xfId="2" applyFont="1" applyBorder="1"/>
    <xf numFmtId="0" fontId="9" fillId="0" borderId="21" xfId="6" applyFont="1" applyBorder="1" applyAlignment="1">
      <alignment horizontal="center" vertical="center"/>
    </xf>
    <xf numFmtId="0" fontId="9" fillId="0" borderId="21" xfId="5" applyFont="1" applyBorder="1" applyAlignment="1">
      <alignment horizontal="center" vertical="center"/>
    </xf>
    <xf numFmtId="0" fontId="9" fillId="2" borderId="21" xfId="6" applyFont="1" applyFill="1" applyBorder="1" applyAlignment="1">
      <alignment horizontal="center" vertical="center"/>
    </xf>
    <xf numFmtId="0" fontId="9" fillId="2" borderId="21" xfId="5" applyFont="1" applyFill="1" applyBorder="1" applyAlignment="1">
      <alignment horizontal="center" vertical="center"/>
    </xf>
    <xf numFmtId="164" fontId="12" fillId="0" borderId="21" xfId="20" applyFont="1" applyFill="1" applyBorder="1" applyAlignment="1">
      <alignment horizontal="center" vertical="center"/>
    </xf>
    <xf numFmtId="0" fontId="6" fillId="0" borderId="21" xfId="4" applyFont="1" applyBorder="1" applyAlignment="1">
      <alignment vertical="center" wrapText="1"/>
    </xf>
    <xf numFmtId="0" fontId="7" fillId="2" borderId="21" xfId="5" applyFont="1" applyFill="1" applyBorder="1" applyAlignment="1">
      <alignment horizontal="center" vertical="center" wrapText="1"/>
    </xf>
    <xf numFmtId="0" fontId="7" fillId="0" borderId="21" xfId="6" applyFont="1" applyBorder="1" applyAlignment="1">
      <alignment horizontal="center" vertical="center" wrapText="1"/>
    </xf>
    <xf numFmtId="0" fontId="9" fillId="0" borderId="21" xfId="6" applyFont="1" applyBorder="1" applyAlignment="1">
      <alignment horizontal="left" vertical="center"/>
    </xf>
    <xf numFmtId="181" fontId="9" fillId="3" borderId="21" xfId="22" applyNumberFormat="1" applyFont="1" applyFill="1" applyBorder="1" applyAlignment="1">
      <alignment horizontal="left" vertical="center" wrapText="1"/>
    </xf>
    <xf numFmtId="165" fontId="9" fillId="3" borderId="21" xfId="18" applyNumberFormat="1" applyFont="1" applyFill="1" applyBorder="1" applyAlignment="1">
      <alignment horizontal="center" vertical="center"/>
    </xf>
    <xf numFmtId="0" fontId="9" fillId="0" borderId="21" xfId="6" applyFont="1" applyBorder="1" applyAlignment="1">
      <alignment vertical="center"/>
    </xf>
    <xf numFmtId="181" fontId="9" fillId="0" borderId="21" xfId="22" applyNumberFormat="1" applyFont="1" applyFill="1" applyBorder="1" applyAlignment="1">
      <alignment horizontal="left" vertical="center" wrapText="1"/>
    </xf>
    <xf numFmtId="0" fontId="9" fillId="0" borderId="21" xfId="5" applyFont="1" applyBorder="1" applyAlignment="1">
      <alignment horizontal="left" vertical="center"/>
    </xf>
    <xf numFmtId="165" fontId="6" fillId="5" borderId="21" xfId="5" applyNumberFormat="1" applyFont="1" applyFill="1" applyBorder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0" xfId="3" applyFont="1" applyAlignment="1">
      <alignment horizontal="left" vertical="center" wrapText="1"/>
    </xf>
    <xf numFmtId="0" fontId="14" fillId="0" borderId="0" xfId="3" applyFont="1" applyAlignment="1">
      <alignment horizontal="center" vertical="center" wrapText="1"/>
    </xf>
    <xf numFmtId="181" fontId="9" fillId="4" borderId="21" xfId="22" applyNumberFormat="1" applyFont="1" applyFill="1" applyBorder="1" applyAlignment="1">
      <alignment horizontal="left" vertical="center" wrapText="1"/>
    </xf>
    <xf numFmtId="9" fontId="9" fillId="0" borderId="21" xfId="23" applyFont="1" applyBorder="1" applyAlignment="1">
      <alignment horizontal="center" vertical="center"/>
    </xf>
    <xf numFmtId="164" fontId="9" fillId="0" borderId="21" xfId="22" applyFont="1" applyBorder="1" applyAlignment="1">
      <alignment horizontal="center" vertical="center"/>
    </xf>
    <xf numFmtId="0" fontId="10" fillId="0" borderId="21" xfId="6" applyFont="1" applyBorder="1" applyAlignment="1">
      <alignment horizontal="center" vertical="center"/>
    </xf>
    <xf numFmtId="0" fontId="0" fillId="0" borderId="21" xfId="0" applyBorder="1"/>
    <xf numFmtId="164" fontId="6" fillId="0" borderId="21" xfId="22" applyFont="1" applyBorder="1" applyAlignment="1">
      <alignment horizontal="center" vertical="center"/>
    </xf>
    <xf numFmtId="0" fontId="9" fillId="0" borderId="21" xfId="6" applyFont="1" applyBorder="1" applyAlignment="1">
      <alignment horizontal="left" vertical="center" wrapText="1"/>
    </xf>
    <xf numFmtId="0" fontId="15" fillId="0" borderId="0" xfId="0" applyFont="1"/>
    <xf numFmtId="164" fontId="16" fillId="6" borderId="21" xfId="22" applyFont="1" applyFill="1" applyBorder="1" applyAlignment="1"/>
    <xf numFmtId="164" fontId="12" fillId="0" borderId="18" xfId="20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181" fontId="15" fillId="0" borderId="0" xfId="22" applyNumberFormat="1" applyFont="1" applyFill="1" applyBorder="1" applyAlignment="1">
      <alignment horizontal="center"/>
    </xf>
    <xf numFmtId="0" fontId="8" fillId="5" borderId="21" xfId="5" applyFont="1" applyFill="1" applyBorder="1" applyAlignment="1">
      <alignment horizontal="center" vertical="center"/>
    </xf>
    <xf numFmtId="0" fontId="6" fillId="5" borderId="21" xfId="5" applyFont="1" applyFill="1" applyBorder="1" applyAlignment="1">
      <alignment horizontal="center" vertical="center"/>
    </xf>
    <xf numFmtId="0" fontId="6" fillId="0" borderId="21" xfId="5" applyFont="1" applyBorder="1" applyAlignment="1">
      <alignment horizontal="center" vertical="center"/>
    </xf>
    <xf numFmtId="0" fontId="15" fillId="0" borderId="21" xfId="0" applyFont="1" applyBorder="1" applyAlignment="1">
      <alignment horizontal="center"/>
    </xf>
    <xf numFmtId="181" fontId="16" fillId="0" borderId="48" xfId="22" applyNumberFormat="1" applyFont="1" applyBorder="1" applyAlignment="1">
      <alignment horizontal="center"/>
    </xf>
    <xf numFmtId="181" fontId="16" fillId="0" borderId="24" xfId="22" applyNumberFormat="1" applyFont="1" applyBorder="1" applyAlignment="1">
      <alignment horizontal="center"/>
    </xf>
    <xf numFmtId="181" fontId="16" fillId="0" borderId="37" xfId="22" applyNumberFormat="1" applyFont="1" applyBorder="1" applyAlignment="1">
      <alignment horizontal="center"/>
    </xf>
    <xf numFmtId="0" fontId="15" fillId="6" borderId="21" xfId="0" applyFont="1" applyFill="1" applyBorder="1" applyAlignment="1">
      <alignment horizontal="center"/>
    </xf>
    <xf numFmtId="181" fontId="15" fillId="6" borderId="48" xfId="22" applyNumberFormat="1" applyFont="1" applyFill="1" applyBorder="1" applyAlignment="1">
      <alignment horizontal="center"/>
    </xf>
    <xf numFmtId="181" fontId="15" fillId="6" borderId="37" xfId="22" applyNumberFormat="1" applyFont="1" applyFill="1" applyBorder="1" applyAlignment="1">
      <alignment horizontal="center"/>
    </xf>
    <xf numFmtId="0" fontId="6" fillId="0" borderId="21" xfId="4" applyFont="1" applyBorder="1" applyAlignment="1">
      <alignment horizontal="center" vertical="center" wrapText="1"/>
    </xf>
    <xf numFmtId="0" fontId="6" fillId="0" borderId="48" xfId="4" applyFont="1" applyBorder="1" applyAlignment="1">
      <alignment horizontal="center" vertical="center" wrapText="1"/>
    </xf>
    <xf numFmtId="0" fontId="6" fillId="0" borderId="24" xfId="4" applyFont="1" applyBorder="1" applyAlignment="1">
      <alignment horizontal="center" vertical="center" wrapText="1"/>
    </xf>
    <xf numFmtId="0" fontId="6" fillId="0" borderId="37" xfId="4" applyFont="1" applyBorder="1" applyAlignment="1">
      <alignment horizontal="center" vertical="center" wrapText="1"/>
    </xf>
    <xf numFmtId="0" fontId="12" fillId="0" borderId="21" xfId="19" applyFont="1" applyFill="1" applyBorder="1" applyAlignment="1">
      <alignment horizontal="center" vertical="center"/>
    </xf>
    <xf numFmtId="178" fontId="12" fillId="0" borderId="21" xfId="19" applyNumberFormat="1" applyFont="1" applyFill="1" applyBorder="1" applyAlignment="1">
      <alignment horizontal="center" vertical="center"/>
    </xf>
    <xf numFmtId="0" fontId="12" fillId="0" borderId="18" xfId="19" applyFont="1" applyFill="1" applyBorder="1" applyAlignment="1">
      <alignment horizontal="left" vertical="center" wrapText="1"/>
    </xf>
    <xf numFmtId="0" fontId="12" fillId="0" borderId="21" xfId="19" applyFont="1" applyFill="1" applyBorder="1" applyAlignment="1">
      <alignment horizontal="left" vertical="center" wrapText="1"/>
    </xf>
    <xf numFmtId="0" fontId="17" fillId="0" borderId="0" xfId="2" applyFont="1" applyFill="1"/>
    <xf numFmtId="0" fontId="18" fillId="0" borderId="0" xfId="3" applyFont="1" applyFill="1" applyAlignment="1">
      <alignment horizontal="left"/>
    </xf>
    <xf numFmtId="0" fontId="19" fillId="0" borderId="0" xfId="3" applyFont="1" applyFill="1" applyAlignment="1">
      <alignment horizontal="left"/>
    </xf>
    <xf numFmtId="0" fontId="1" fillId="0" borderId="0" xfId="0" applyFont="1" applyFill="1"/>
    <xf numFmtId="0" fontId="17" fillId="0" borderId="1" xfId="2" applyFont="1" applyFill="1" applyBorder="1" applyAlignment="1">
      <alignment horizontal="center"/>
    </xf>
    <xf numFmtId="0" fontId="17" fillId="0" borderId="2" xfId="2" applyFont="1" applyFill="1" applyBorder="1" applyAlignment="1">
      <alignment horizontal="center"/>
    </xf>
    <xf numFmtId="0" fontId="17" fillId="0" borderId="3" xfId="2" applyFont="1" applyFill="1" applyBorder="1" applyAlignment="1">
      <alignment horizontal="center"/>
    </xf>
    <xf numFmtId="0" fontId="17" fillId="0" borderId="4" xfId="2" applyFont="1" applyFill="1" applyBorder="1"/>
    <xf numFmtId="0" fontId="18" fillId="0" borderId="5" xfId="3" applyFont="1" applyFill="1" applyBorder="1" applyAlignment="1">
      <alignment horizontal="center" vertical="center" wrapText="1"/>
    </xf>
    <xf numFmtId="0" fontId="18" fillId="0" borderId="6" xfId="3" applyFont="1" applyFill="1" applyBorder="1" applyAlignment="1">
      <alignment horizontal="center" vertical="center" wrapText="1"/>
    </xf>
    <xf numFmtId="0" fontId="18" fillId="0" borderId="7" xfId="3" applyFont="1" applyFill="1" applyBorder="1" applyAlignment="1">
      <alignment horizontal="center" vertical="center" wrapText="1"/>
    </xf>
    <xf numFmtId="0" fontId="17" fillId="0" borderId="8" xfId="2" applyFont="1" applyFill="1" applyBorder="1"/>
    <xf numFmtId="0" fontId="18" fillId="0" borderId="9" xfId="3" applyFont="1" applyFill="1" applyBorder="1" applyAlignment="1">
      <alignment horizontal="left"/>
    </xf>
    <xf numFmtId="0" fontId="19" fillId="0" borderId="9" xfId="3" applyFont="1" applyFill="1" applyBorder="1" applyAlignment="1">
      <alignment horizontal="left"/>
    </xf>
    <xf numFmtId="0" fontId="20" fillId="0" borderId="10" xfId="4" applyFont="1" applyFill="1" applyBorder="1" applyAlignment="1">
      <alignment horizontal="center" vertical="center" wrapText="1"/>
    </xf>
    <xf numFmtId="0" fontId="20" fillId="0" borderId="11" xfId="4" applyFont="1" applyFill="1" applyBorder="1" applyAlignment="1">
      <alignment horizontal="center" vertical="center" wrapText="1"/>
    </xf>
    <xf numFmtId="0" fontId="20" fillId="0" borderId="12" xfId="4" applyFont="1" applyFill="1" applyBorder="1" applyAlignment="1">
      <alignment horizontal="center" vertical="center" wrapText="1"/>
    </xf>
    <xf numFmtId="0" fontId="20" fillId="0" borderId="13" xfId="4" applyFont="1" applyFill="1" applyBorder="1" applyAlignment="1">
      <alignment vertical="center" wrapText="1"/>
    </xf>
    <xf numFmtId="0" fontId="21" fillId="0" borderId="0" xfId="4" applyFont="1" applyFill="1" applyAlignment="1">
      <alignment vertical="center" wrapText="1"/>
    </xf>
    <xf numFmtId="0" fontId="20" fillId="0" borderId="0" xfId="4" applyFont="1" applyFill="1" applyAlignment="1">
      <alignment horizontal="center" vertical="center" wrapText="1"/>
    </xf>
    <xf numFmtId="0" fontId="20" fillId="0" borderId="14" xfId="4" applyFont="1" applyFill="1" applyBorder="1" applyAlignment="1">
      <alignment horizontal="center" vertical="center" wrapText="1"/>
    </xf>
    <xf numFmtId="0" fontId="20" fillId="0" borderId="15" xfId="4" applyFont="1" applyFill="1" applyBorder="1" applyAlignment="1">
      <alignment horizontal="center"/>
    </xf>
    <xf numFmtId="0" fontId="20" fillId="0" borderId="16" xfId="4" applyFont="1" applyFill="1" applyBorder="1" applyAlignment="1">
      <alignment horizontal="center"/>
    </xf>
    <xf numFmtId="0" fontId="20" fillId="0" borderId="17" xfId="4" applyFont="1" applyFill="1" applyBorder="1" applyAlignment="1">
      <alignment horizontal="center"/>
    </xf>
    <xf numFmtId="0" fontId="17" fillId="0" borderId="25" xfId="2" applyFont="1" applyFill="1" applyBorder="1" applyAlignment="1">
      <alignment horizontal="center" wrapText="1"/>
    </xf>
    <xf numFmtId="0" fontId="17" fillId="0" borderId="27" xfId="2" applyFont="1" applyFill="1" applyBorder="1" applyAlignment="1">
      <alignment horizontal="center" wrapText="1"/>
    </xf>
    <xf numFmtId="0" fontId="17" fillId="0" borderId="26" xfId="2" applyFont="1" applyFill="1" applyBorder="1" applyAlignment="1">
      <alignment horizontal="center" wrapText="1"/>
    </xf>
    <xf numFmtId="0" fontId="17" fillId="0" borderId="20" xfId="2" applyFont="1" applyFill="1" applyBorder="1" applyAlignment="1">
      <alignment horizontal="center" wrapText="1"/>
    </xf>
    <xf numFmtId="0" fontId="17" fillId="0" borderId="21" xfId="2" applyFont="1" applyFill="1" applyBorder="1" applyAlignment="1">
      <alignment horizontal="center" wrapText="1"/>
    </xf>
    <xf numFmtId="0" fontId="17" fillId="0" borderId="22" xfId="2" applyFont="1" applyFill="1" applyBorder="1" applyAlignment="1">
      <alignment horizontal="center" wrapText="1"/>
    </xf>
    <xf numFmtId="0" fontId="17" fillId="0" borderId="28" xfId="2" applyFont="1" applyFill="1" applyBorder="1" applyAlignment="1">
      <alignment horizontal="center" wrapText="1"/>
    </xf>
    <xf numFmtId="0" fontId="17" fillId="0" borderId="29" xfId="2" applyFont="1" applyFill="1" applyBorder="1" applyAlignment="1">
      <alignment horizontal="center" wrapText="1"/>
    </xf>
    <xf numFmtId="0" fontId="17" fillId="0" borderId="30" xfId="2" applyFont="1" applyFill="1" applyBorder="1" applyAlignment="1">
      <alignment horizontal="center" wrapText="1"/>
    </xf>
    <xf numFmtId="0" fontId="21" fillId="0" borderId="31" xfId="5" applyFont="1" applyFill="1" applyBorder="1" applyAlignment="1">
      <alignment horizontal="left" vertical="center"/>
    </xf>
    <xf numFmtId="0" fontId="21" fillId="0" borderId="32" xfId="5" applyFont="1" applyFill="1" applyBorder="1" applyAlignment="1">
      <alignment horizontal="left" vertical="center"/>
    </xf>
    <xf numFmtId="0" fontId="21" fillId="0" borderId="32" xfId="5" applyFont="1" applyFill="1" applyBorder="1" applyAlignment="1">
      <alignment horizontal="left" vertical="center"/>
    </xf>
    <xf numFmtId="0" fontId="21" fillId="0" borderId="33" xfId="5" applyFont="1" applyFill="1" applyBorder="1" applyAlignment="1">
      <alignment horizontal="left" vertical="center"/>
    </xf>
    <xf numFmtId="0" fontId="21" fillId="0" borderId="25" xfId="5" applyFont="1" applyFill="1" applyBorder="1" applyAlignment="1">
      <alignment horizontal="center" vertical="center" wrapText="1"/>
    </xf>
    <xf numFmtId="0" fontId="21" fillId="0" borderId="27" xfId="5" applyFont="1" applyFill="1" applyBorder="1" applyAlignment="1">
      <alignment horizontal="center" vertical="center" wrapText="1"/>
    </xf>
    <xf numFmtId="0" fontId="21" fillId="0" borderId="27" xfId="6" applyFont="1" applyFill="1" applyBorder="1" applyAlignment="1">
      <alignment horizontal="center" vertical="center" wrapText="1"/>
    </xf>
    <xf numFmtId="4" fontId="21" fillId="0" borderId="27" xfId="5" applyNumberFormat="1" applyFont="1" applyFill="1" applyBorder="1" applyAlignment="1">
      <alignment horizontal="center" vertical="center" wrapText="1"/>
    </xf>
    <xf numFmtId="4" fontId="21" fillId="0" borderId="26" xfId="5" applyNumberFormat="1" applyFont="1" applyFill="1" applyBorder="1" applyAlignment="1">
      <alignment horizontal="center" vertical="center" wrapText="1"/>
    </xf>
    <xf numFmtId="0" fontId="21" fillId="0" borderId="28" xfId="5" applyFont="1" applyFill="1" applyBorder="1" applyAlignment="1">
      <alignment horizontal="center" vertical="center" wrapText="1"/>
    </xf>
    <xf numFmtId="0" fontId="21" fillId="0" borderId="29" xfId="5" applyFont="1" applyFill="1" applyBorder="1" applyAlignment="1">
      <alignment horizontal="center" vertical="center" wrapText="1"/>
    </xf>
    <xf numFmtId="0" fontId="21" fillId="0" borderId="29" xfId="6" applyFont="1" applyFill="1" applyBorder="1" applyAlignment="1">
      <alignment horizontal="center" vertical="center" wrapText="1"/>
    </xf>
    <xf numFmtId="4" fontId="21" fillId="0" borderId="29" xfId="5" applyNumberFormat="1" applyFont="1" applyFill="1" applyBorder="1" applyAlignment="1">
      <alignment horizontal="center" vertical="center" wrapText="1"/>
    </xf>
    <xf numFmtId="4" fontId="21" fillId="0" borderId="30" xfId="5" applyNumberFormat="1" applyFont="1" applyFill="1" applyBorder="1" applyAlignment="1">
      <alignment horizontal="center" vertical="center" wrapText="1"/>
    </xf>
    <xf numFmtId="0" fontId="20" fillId="0" borderId="31" xfId="5" applyFont="1" applyFill="1" applyBorder="1" applyAlignment="1">
      <alignment vertical="center"/>
    </xf>
    <xf numFmtId="0" fontId="20" fillId="0" borderId="32" xfId="5" applyFont="1" applyFill="1" applyBorder="1" applyAlignment="1">
      <alignment vertical="center"/>
    </xf>
    <xf numFmtId="0" fontId="15" fillId="0" borderId="32" xfId="5" applyFont="1" applyFill="1" applyBorder="1" applyAlignment="1">
      <alignment vertical="center"/>
    </xf>
    <xf numFmtId="0" fontId="21" fillId="0" borderId="32" xfId="5" applyFont="1" applyFill="1" applyBorder="1" applyAlignment="1">
      <alignment vertical="center"/>
    </xf>
    <xf numFmtId="0" fontId="21" fillId="0" borderId="33" xfId="5" applyFont="1" applyFill="1" applyBorder="1" applyAlignment="1">
      <alignment vertical="center"/>
    </xf>
    <xf numFmtId="0" fontId="12" fillId="0" borderId="18" xfId="5" applyFont="1" applyFill="1" applyBorder="1" applyAlignment="1">
      <alignment horizontal="center" vertical="center"/>
    </xf>
    <xf numFmtId="0" fontId="12" fillId="0" borderId="18" xfId="6" applyFont="1" applyFill="1" applyBorder="1" applyAlignment="1">
      <alignment horizontal="center" vertical="center"/>
    </xf>
    <xf numFmtId="0" fontId="12" fillId="0" borderId="18" xfId="18" applyFont="1" applyFill="1" applyBorder="1" applyAlignment="1">
      <alignment horizontal="left" vertical="center" wrapText="1"/>
    </xf>
    <xf numFmtId="0" fontId="12" fillId="0" borderId="18" xfId="18" applyFont="1" applyFill="1" applyBorder="1" applyAlignment="1">
      <alignment horizontal="center" vertical="center"/>
    </xf>
    <xf numFmtId="178" fontId="12" fillId="0" borderId="21" xfId="18" applyNumberFormat="1" applyFont="1" applyFill="1" applyBorder="1" applyAlignment="1">
      <alignment horizontal="center" vertical="center"/>
    </xf>
    <xf numFmtId="179" fontId="12" fillId="0" borderId="18" xfId="8" applyNumberFormat="1" applyFont="1" applyFill="1" applyBorder="1" applyAlignment="1">
      <alignment horizontal="right" vertical="center" wrapText="1"/>
    </xf>
    <xf numFmtId="167" fontId="12" fillId="0" borderId="18" xfId="8" applyFont="1" applyFill="1" applyBorder="1" applyAlignment="1">
      <alignment horizontal="right" vertical="center" wrapText="1"/>
    </xf>
    <xf numFmtId="0" fontId="12" fillId="0" borderId="21" xfId="5" applyFont="1" applyFill="1" applyBorder="1" applyAlignment="1">
      <alignment horizontal="center" vertical="center"/>
    </xf>
    <xf numFmtId="0" fontId="12" fillId="0" borderId="21" xfId="6" applyFont="1" applyFill="1" applyBorder="1" applyAlignment="1">
      <alignment horizontal="center" vertical="center"/>
    </xf>
    <xf numFmtId="0" fontId="12" fillId="0" borderId="21" xfId="18" applyFont="1" applyFill="1" applyBorder="1" applyAlignment="1">
      <alignment horizontal="left" vertical="center" wrapText="1"/>
    </xf>
    <xf numFmtId="179" fontId="12" fillId="0" borderId="21" xfId="8" applyNumberFormat="1" applyFont="1" applyFill="1" applyBorder="1" applyAlignment="1">
      <alignment horizontal="right" vertical="center" wrapText="1"/>
    </xf>
    <xf numFmtId="167" fontId="12" fillId="0" borderId="21" xfId="8" applyFont="1" applyFill="1" applyBorder="1" applyAlignment="1">
      <alignment horizontal="right" vertical="center" wrapText="1"/>
    </xf>
    <xf numFmtId="0" fontId="12" fillId="0" borderId="13" xfId="5" applyFont="1" applyFill="1" applyBorder="1" applyAlignment="1">
      <alignment horizontal="left" vertical="center"/>
    </xf>
    <xf numFmtId="0" fontId="12" fillId="0" borderId="0" xfId="6" applyFont="1" applyFill="1" applyAlignment="1">
      <alignment horizontal="center" vertical="center"/>
    </xf>
    <xf numFmtId="0" fontId="12" fillId="0" borderId="0" xfId="6" applyFont="1" applyFill="1" applyAlignment="1">
      <alignment horizontal="left" vertical="center" wrapText="1"/>
    </xf>
    <xf numFmtId="0" fontId="23" fillId="0" borderId="0" xfId="6" applyFont="1" applyFill="1" applyAlignment="1">
      <alignment horizontal="center" vertical="center"/>
    </xf>
    <xf numFmtId="4" fontId="12" fillId="0" borderId="49" xfId="7" applyNumberFormat="1" applyFont="1" applyFill="1" applyBorder="1" applyAlignment="1">
      <alignment horizontal="center" vertical="center" wrapText="1"/>
    </xf>
    <xf numFmtId="167" fontId="12" fillId="0" borderId="44" xfId="8" applyFont="1" applyFill="1" applyBorder="1" applyAlignment="1">
      <alignment horizontal="right" vertical="center" wrapText="1"/>
    </xf>
    <xf numFmtId="168" fontId="20" fillId="0" borderId="0" xfId="7" applyNumberFormat="1" applyFont="1" applyFill="1" applyBorder="1" applyAlignment="1">
      <alignment horizontal="right" vertical="center"/>
    </xf>
    <xf numFmtId="0" fontId="20" fillId="0" borderId="32" xfId="5" applyFont="1" applyFill="1" applyBorder="1" applyAlignment="1">
      <alignment horizontal="center" vertical="center"/>
    </xf>
    <xf numFmtId="0" fontId="20" fillId="0" borderId="33" xfId="5" applyFont="1" applyFill="1" applyBorder="1" applyAlignment="1">
      <alignment vertical="center"/>
    </xf>
    <xf numFmtId="0" fontId="12" fillId="0" borderId="21" xfId="21" applyFont="1" applyFill="1" applyBorder="1" applyAlignment="1">
      <alignment horizontal="center" vertical="center"/>
    </xf>
    <xf numFmtId="2" fontId="12" fillId="0" borderId="21" xfId="21" applyNumberFormat="1" applyFont="1" applyFill="1" applyBorder="1" applyAlignment="1">
      <alignment horizontal="center" vertical="center"/>
    </xf>
    <xf numFmtId="164" fontId="12" fillId="0" borderId="21" xfId="18" applyNumberFormat="1" applyFont="1" applyFill="1" applyBorder="1" applyAlignment="1">
      <alignment horizontal="left" vertical="center" wrapText="1"/>
    </xf>
    <xf numFmtId="4" fontId="12" fillId="0" borderId="49" xfId="7" applyNumberFormat="1" applyFont="1" applyFill="1" applyBorder="1" applyAlignment="1">
      <alignment vertical="center" wrapText="1"/>
    </xf>
    <xf numFmtId="0" fontId="12" fillId="0" borderId="18" xfId="3" applyFont="1" applyFill="1" applyBorder="1" applyAlignment="1">
      <alignment horizontal="left" vertical="center" wrapText="1"/>
    </xf>
    <xf numFmtId="0" fontId="12" fillId="0" borderId="18" xfId="3" applyFont="1" applyFill="1" applyBorder="1" applyAlignment="1">
      <alignment horizontal="center" vertical="center" wrapText="1"/>
    </xf>
    <xf numFmtId="0" fontId="12" fillId="0" borderId="21" xfId="3" applyFont="1" applyFill="1" applyBorder="1" applyAlignment="1">
      <alignment horizontal="left" vertical="center" wrapText="1"/>
    </xf>
    <xf numFmtId="0" fontId="12" fillId="0" borderId="18" xfId="3" applyFont="1" applyFill="1" applyBorder="1" applyAlignment="1">
      <alignment horizontal="left" wrapText="1"/>
    </xf>
    <xf numFmtId="2" fontId="12" fillId="0" borderId="21" xfId="3" applyNumberFormat="1" applyFont="1" applyFill="1" applyBorder="1" applyAlignment="1">
      <alignment horizontal="center" vertical="center" wrapText="1"/>
    </xf>
    <xf numFmtId="0" fontId="12" fillId="0" borderId="21" xfId="3" applyFont="1" applyFill="1" applyBorder="1" applyAlignment="1">
      <alignment horizontal="left" wrapText="1"/>
    </xf>
    <xf numFmtId="0" fontId="12" fillId="0" borderId="21" xfId="3" applyFont="1" applyFill="1" applyBorder="1" applyAlignment="1">
      <alignment horizontal="center" vertical="center" wrapText="1"/>
    </xf>
    <xf numFmtId="4" fontId="12" fillId="0" borderId="21" xfId="18" applyNumberFormat="1" applyFont="1" applyFill="1" applyBorder="1" applyAlignment="1">
      <alignment horizontal="center" vertical="center" wrapText="1"/>
    </xf>
    <xf numFmtId="0" fontId="17" fillId="0" borderId="0" xfId="9" applyFont="1" applyFill="1"/>
    <xf numFmtId="0" fontId="17" fillId="0" borderId="4" xfId="9" applyFont="1" applyFill="1" applyBorder="1"/>
    <xf numFmtId="0" fontId="21" fillId="0" borderId="31" xfId="5" applyFont="1" applyFill="1" applyBorder="1" applyAlignment="1">
      <alignment vertical="center"/>
    </xf>
    <xf numFmtId="169" fontId="24" fillId="0" borderId="32" xfId="5" applyNumberFormat="1" applyFont="1" applyFill="1" applyBorder="1" applyAlignment="1">
      <alignment vertical="center"/>
    </xf>
    <xf numFmtId="169" fontId="24" fillId="0" borderId="33" xfId="5" applyNumberFormat="1" applyFont="1" applyFill="1" applyBorder="1" applyAlignment="1">
      <alignment vertical="center"/>
    </xf>
    <xf numFmtId="0" fontId="17" fillId="0" borderId="8" xfId="9" applyFont="1" applyFill="1" applyBorder="1"/>
    <xf numFmtId="180" fontId="1" fillId="0" borderId="0" xfId="0" applyNumberFormat="1" applyFont="1" applyFill="1"/>
    <xf numFmtId="49" fontId="21" fillId="0" borderId="0" xfId="10" applyNumberFormat="1" applyFont="1" applyFill="1" applyAlignment="1">
      <alignment horizontal="right" vertical="center"/>
    </xf>
    <xf numFmtId="170" fontId="21" fillId="0" borderId="0" xfId="10" applyNumberFormat="1" applyFont="1" applyFill="1" applyAlignment="1">
      <alignment vertical="center"/>
    </xf>
    <xf numFmtId="0" fontId="17" fillId="0" borderId="0" xfId="11" applyFont="1" applyFill="1"/>
    <xf numFmtId="0" fontId="17" fillId="0" borderId="0" xfId="11" applyFont="1" applyFill="1" applyAlignment="1">
      <alignment horizontal="center"/>
    </xf>
    <xf numFmtId="0" fontId="12" fillId="0" borderId="35" xfId="11" applyFont="1" applyFill="1" applyBorder="1" applyAlignment="1">
      <alignment horizontal="left" vertical="center"/>
    </xf>
    <xf numFmtId="0" fontId="12" fillId="0" borderId="36" xfId="11" applyFont="1" applyFill="1" applyBorder="1" applyAlignment="1">
      <alignment horizontal="left" vertical="center"/>
    </xf>
    <xf numFmtId="44" fontId="12" fillId="0" borderId="11" xfId="1" applyFont="1" applyFill="1" applyBorder="1"/>
    <xf numFmtId="44" fontId="12" fillId="0" borderId="26" xfId="1" applyFont="1" applyFill="1" applyBorder="1"/>
    <xf numFmtId="0" fontId="17" fillId="0" borderId="0" xfId="6" applyFont="1" applyFill="1" applyAlignment="1">
      <alignment horizontal="center" vertical="center"/>
    </xf>
    <xf numFmtId="0" fontId="12" fillId="0" borderId="23" xfId="11" applyFont="1" applyFill="1" applyBorder="1" applyAlignment="1">
      <alignment horizontal="left" vertical="center" wrapText="1"/>
    </xf>
    <xf numFmtId="0" fontId="12" fillId="0" borderId="24" xfId="11" applyFont="1" applyFill="1" applyBorder="1" applyAlignment="1">
      <alignment horizontal="left" vertical="center" wrapText="1"/>
    </xf>
    <xf numFmtId="44" fontId="12" fillId="0" borderId="0" xfId="1" applyFont="1" applyFill="1" applyBorder="1"/>
    <xf numFmtId="44" fontId="12" fillId="0" borderId="22" xfId="1" applyFont="1" applyFill="1" applyBorder="1"/>
    <xf numFmtId="0" fontId="12" fillId="0" borderId="23" xfId="11" applyFont="1" applyFill="1" applyBorder="1" applyAlignment="1">
      <alignment horizontal="left" vertical="center"/>
    </xf>
    <xf numFmtId="9" fontId="12" fillId="0" borderId="24" xfId="12" applyNumberFormat="1" applyFont="1" applyFill="1" applyBorder="1" applyAlignment="1">
      <alignment horizontal="center" vertical="center"/>
    </xf>
    <xf numFmtId="172" fontId="12" fillId="0" borderId="24" xfId="12" applyNumberFormat="1" applyFont="1" applyFill="1" applyBorder="1" applyAlignment="1">
      <alignment vertical="center"/>
    </xf>
    <xf numFmtId="0" fontId="12" fillId="0" borderId="37" xfId="11" applyFont="1" applyFill="1" applyBorder="1" applyAlignment="1">
      <alignment vertical="center"/>
    </xf>
    <xf numFmtId="0" fontId="20" fillId="0" borderId="23" xfId="11" applyFont="1" applyFill="1" applyBorder="1" applyAlignment="1">
      <alignment horizontal="left" vertical="center"/>
    </xf>
    <xf numFmtId="0" fontId="17" fillId="0" borderId="0" xfId="11" applyFont="1" applyFill="1" applyAlignment="1">
      <alignment horizontal="center" vertical="center" wrapText="1"/>
    </xf>
    <xf numFmtId="0" fontId="12" fillId="0" borderId="23" xfId="11" applyFont="1" applyFill="1" applyBorder="1" applyAlignment="1">
      <alignment horizontal="left" vertical="center" wrapText="1"/>
    </xf>
    <xf numFmtId="0" fontId="12" fillId="0" borderId="37" xfId="11" applyFont="1" applyFill="1" applyBorder="1" applyAlignment="1">
      <alignment horizontal="right" vertical="center"/>
    </xf>
    <xf numFmtId="172" fontId="20" fillId="0" borderId="0" xfId="12" applyNumberFormat="1" applyFont="1" applyFill="1" applyBorder="1" applyAlignment="1">
      <alignment vertical="center"/>
    </xf>
    <xf numFmtId="172" fontId="20" fillId="0" borderId="22" xfId="12" applyNumberFormat="1" applyFont="1" applyFill="1" applyBorder="1" applyAlignment="1">
      <alignment vertical="center"/>
    </xf>
    <xf numFmtId="0" fontId="20" fillId="0" borderId="38" xfId="11" applyFont="1" applyFill="1" applyBorder="1" applyAlignment="1">
      <alignment horizontal="left" vertical="center"/>
    </xf>
    <xf numFmtId="9" fontId="12" fillId="0" borderId="39" xfId="12" applyNumberFormat="1" applyFont="1" applyFill="1" applyBorder="1" applyAlignment="1">
      <alignment horizontal="center" vertical="center"/>
    </xf>
    <xf numFmtId="172" fontId="20" fillId="0" borderId="39" xfId="12" applyNumberFormat="1" applyFont="1" applyFill="1" applyBorder="1" applyAlignment="1">
      <alignment vertical="center"/>
    </xf>
    <xf numFmtId="0" fontId="12" fillId="0" borderId="40" xfId="11" applyFont="1" applyFill="1" applyBorder="1" applyAlignment="1">
      <alignment vertical="center"/>
    </xf>
    <xf numFmtId="169" fontId="20" fillId="0" borderId="16" xfId="5" applyNumberFormat="1" applyFont="1" applyFill="1" applyBorder="1" applyAlignment="1">
      <alignment vertical="center"/>
    </xf>
    <xf numFmtId="169" fontId="20" fillId="0" borderId="33" xfId="5" applyNumberFormat="1" applyFont="1" applyFill="1" applyBorder="1" applyAlignment="1">
      <alignment vertical="center"/>
    </xf>
    <xf numFmtId="2" fontId="17" fillId="0" borderId="0" xfId="11" applyNumberFormat="1" applyFont="1" applyFill="1"/>
    <xf numFmtId="172" fontId="17" fillId="0" borderId="0" xfId="12" applyNumberFormat="1" applyFont="1" applyFill="1" applyBorder="1"/>
    <xf numFmtId="39" fontId="21" fillId="0" borderId="0" xfId="12" applyNumberFormat="1" applyFont="1" applyFill="1" applyBorder="1" applyAlignment="1">
      <alignment vertical="center"/>
    </xf>
    <xf numFmtId="0" fontId="21" fillId="0" borderId="35" xfId="13" applyFont="1" applyFill="1" applyBorder="1" applyAlignment="1">
      <alignment vertical="center"/>
    </xf>
    <xf numFmtId="0" fontId="17" fillId="0" borderId="36" xfId="13" applyFont="1" applyFill="1" applyBorder="1" applyAlignment="1">
      <alignment horizontal="center" vertical="center"/>
    </xf>
    <xf numFmtId="0" fontId="17" fillId="0" borderId="11" xfId="13" applyFont="1" applyFill="1" applyBorder="1" applyAlignment="1">
      <alignment horizontal="center" vertical="center"/>
    </xf>
    <xf numFmtId="0" fontId="17" fillId="0" borderId="12" xfId="13" applyFont="1" applyFill="1" applyBorder="1" applyAlignment="1">
      <alignment horizontal="center" vertical="center"/>
    </xf>
    <xf numFmtId="173" fontId="17" fillId="0" borderId="8" xfId="9" applyNumberFormat="1" applyFont="1" applyFill="1" applyBorder="1"/>
    <xf numFmtId="0" fontId="23" fillId="0" borderId="20" xfId="4" applyFont="1" applyFill="1" applyBorder="1" applyAlignment="1">
      <alignment vertical="center" wrapText="1"/>
    </xf>
    <xf numFmtId="0" fontId="23" fillId="0" borderId="21" xfId="4" applyFont="1" applyFill="1" applyBorder="1" applyAlignment="1">
      <alignment vertical="center" wrapText="1"/>
    </xf>
    <xf numFmtId="3" fontId="25" fillId="0" borderId="18" xfId="4" applyNumberFormat="1" applyFont="1" applyFill="1" applyBorder="1" applyAlignment="1">
      <alignment horizontal="center" vertical="center" wrapText="1"/>
    </xf>
    <xf numFmtId="170" fontId="25" fillId="0" borderId="0" xfId="14" applyNumberFormat="1" applyFont="1" applyFill="1" applyBorder="1" applyAlignment="1">
      <alignment horizontal="center" vertical="center"/>
    </xf>
    <xf numFmtId="170" fontId="25" fillId="0" borderId="19" xfId="14" applyNumberFormat="1" applyFont="1" applyFill="1" applyBorder="1" applyAlignment="1">
      <alignment horizontal="center" vertical="center"/>
    </xf>
    <xf numFmtId="175" fontId="17" fillId="0" borderId="8" xfId="9" applyNumberFormat="1" applyFont="1" applyFill="1" applyBorder="1"/>
    <xf numFmtId="3" fontId="25" fillId="0" borderId="21" xfId="4" applyNumberFormat="1" applyFont="1" applyFill="1" applyBorder="1" applyAlignment="1">
      <alignment horizontal="center" vertical="center"/>
    </xf>
    <xf numFmtId="170" fontId="20" fillId="0" borderId="21" xfId="14" applyNumberFormat="1" applyFont="1" applyFill="1" applyBorder="1" applyAlignment="1">
      <alignment horizontal="center" vertical="center"/>
    </xf>
    <xf numFmtId="10" fontId="12" fillId="0" borderId="0" xfId="15" applyNumberFormat="1" applyFont="1" applyFill="1" applyBorder="1" applyAlignment="1">
      <alignment horizontal="center" vertical="center"/>
    </xf>
    <xf numFmtId="10" fontId="12" fillId="0" borderId="22" xfId="15" applyNumberFormat="1" applyFont="1" applyFill="1" applyBorder="1" applyAlignment="1">
      <alignment horizontal="center" vertical="center"/>
    </xf>
    <xf numFmtId="0" fontId="25" fillId="0" borderId="21" xfId="4" applyFont="1" applyFill="1" applyBorder="1" applyAlignment="1">
      <alignment horizontal="center" vertical="center" wrapText="1"/>
    </xf>
    <xf numFmtId="0" fontId="25" fillId="0" borderId="21" xfId="4" applyFont="1" applyFill="1" applyBorder="1" applyAlignment="1">
      <alignment horizontal="center" vertical="center"/>
    </xf>
    <xf numFmtId="0" fontId="23" fillId="0" borderId="41" xfId="3" applyFont="1" applyFill="1" applyBorder="1" applyAlignment="1">
      <alignment horizontal="center" vertical="center" wrapText="1"/>
    </xf>
    <xf numFmtId="0" fontId="23" fillId="0" borderId="42" xfId="3" applyFont="1" applyFill="1" applyBorder="1" applyAlignment="1">
      <alignment horizontal="center" vertical="center" wrapText="1"/>
    </xf>
    <xf numFmtId="0" fontId="23" fillId="0" borderId="43" xfId="3" applyFont="1" applyFill="1" applyBorder="1" applyAlignment="1">
      <alignment horizontal="center" vertical="center" wrapText="1"/>
    </xf>
    <xf numFmtId="3" fontId="25" fillId="0" borderId="21" xfId="4" applyNumberFormat="1" applyFont="1" applyFill="1" applyBorder="1" applyAlignment="1">
      <alignment horizontal="center" vertical="center" wrapText="1"/>
    </xf>
    <xf numFmtId="0" fontId="23" fillId="0" borderId="13" xfId="3" applyFont="1" applyFill="1" applyBorder="1" applyAlignment="1">
      <alignment horizontal="center" vertical="center" wrapText="1"/>
    </xf>
    <xf numFmtId="0" fontId="23" fillId="0" borderId="0" xfId="3" applyFont="1" applyFill="1" applyAlignment="1">
      <alignment horizontal="center" vertical="center" wrapText="1"/>
    </xf>
    <xf numFmtId="0" fontId="23" fillId="0" borderId="44" xfId="3" applyFont="1" applyFill="1" applyBorder="1" applyAlignment="1">
      <alignment horizontal="center" vertical="center" wrapText="1"/>
    </xf>
    <xf numFmtId="0" fontId="23" fillId="0" borderId="15" xfId="3" applyFont="1" applyFill="1" applyBorder="1" applyAlignment="1">
      <alignment horizontal="center" vertical="center" wrapText="1"/>
    </xf>
    <xf numFmtId="0" fontId="23" fillId="0" borderId="16" xfId="3" applyFont="1" applyFill="1" applyBorder="1" applyAlignment="1">
      <alignment horizontal="center" vertical="center" wrapText="1"/>
    </xf>
    <xf numFmtId="0" fontId="23" fillId="0" borderId="34" xfId="3" applyFont="1" applyFill="1" applyBorder="1" applyAlignment="1">
      <alignment horizontal="center" vertical="center" wrapText="1"/>
    </xf>
    <xf numFmtId="0" fontId="23" fillId="0" borderId="29" xfId="4" applyFont="1" applyFill="1" applyBorder="1" applyAlignment="1">
      <alignment horizontal="center" vertical="center" wrapText="1"/>
    </xf>
    <xf numFmtId="0" fontId="23" fillId="0" borderId="16" xfId="4" applyFont="1" applyFill="1" applyBorder="1" applyAlignment="1">
      <alignment horizontal="center" vertical="center" wrapText="1"/>
    </xf>
    <xf numFmtId="0" fontId="23" fillId="0" borderId="17" xfId="4" applyFont="1" applyFill="1" applyBorder="1" applyAlignment="1">
      <alignment horizontal="center" vertical="center" wrapText="1"/>
    </xf>
    <xf numFmtId="0" fontId="17" fillId="0" borderId="45" xfId="9" applyFont="1" applyFill="1" applyBorder="1"/>
    <xf numFmtId="0" fontId="17" fillId="0" borderId="46" xfId="2" applyFont="1" applyFill="1" applyBorder="1"/>
    <xf numFmtId="0" fontId="17" fillId="0" borderId="46" xfId="2" applyFont="1" applyFill="1" applyBorder="1" applyAlignment="1">
      <alignment horizontal="center"/>
    </xf>
    <xf numFmtId="177" fontId="17" fillId="0" borderId="46" xfId="16" applyNumberFormat="1" applyFont="1" applyFill="1" applyBorder="1"/>
    <xf numFmtId="0" fontId="17" fillId="0" borderId="47" xfId="2" applyFont="1" applyFill="1" applyBorder="1"/>
    <xf numFmtId="0" fontId="17" fillId="0" borderId="0" xfId="2" applyFont="1" applyFill="1" applyAlignment="1">
      <alignment horizontal="center"/>
    </xf>
  </cellXfs>
  <cellStyles count="24">
    <cellStyle name="Millares 15" xfId="16" xr:uid="{8D9C0190-404C-4093-806C-E921F1234336}"/>
    <cellStyle name="Millares 2" xfId="7" xr:uid="{7D4ED636-AE68-4A74-A0A6-3BBB67F740A4}"/>
    <cellStyle name="Millares_FORMULARIO 4 - M-OFERENTE PPTA ECONOMICA" xfId="14" xr:uid="{C577D3A5-C800-4DAA-9C93-404B4677E830}"/>
    <cellStyle name="Moneda" xfId="1" builtinId="4"/>
    <cellStyle name="Moneda [0] 2" xfId="20" xr:uid="{78789A8B-3243-4403-8566-BF219A1C108D}"/>
    <cellStyle name="Moneda [0] 3" xfId="22" xr:uid="{2C291E11-8B2D-E544-B0BB-7C8A28BD6C4A}"/>
    <cellStyle name="Moneda 2" xfId="8" xr:uid="{E65F10E9-CB9F-485D-BA32-F8346AA7EF0F}"/>
    <cellStyle name="Moneda 2 2 2 2 2" xfId="12" xr:uid="{CC49394E-5131-40B2-96D9-DAB283A6E069}"/>
    <cellStyle name="Normal" xfId="0" builtinId="0"/>
    <cellStyle name="Normal 11" xfId="3" xr:uid="{4827AB48-F7D8-4A2C-AABD-ADFD7C1E590A}"/>
    <cellStyle name="Normal 12 2" xfId="17" xr:uid="{00FE8395-E02A-4F28-8947-20C01247042A}"/>
    <cellStyle name="Normal 2" xfId="5" xr:uid="{89DDF0AC-3613-4B80-BE8E-1C01D9D79E69}"/>
    <cellStyle name="Normal 2 10 3" xfId="6" xr:uid="{8CD406A5-D714-4555-8159-D958525E9874}"/>
    <cellStyle name="Normal 2 2" xfId="13" xr:uid="{DF8E004B-8570-4F7B-BBE1-3DD63A9BD514}"/>
    <cellStyle name="Normal 2 3 3" xfId="19" xr:uid="{950579F5-9C7C-42FB-A7C9-1166B1654D35}"/>
    <cellStyle name="Normal 3" xfId="2" xr:uid="{7B64AC7A-7946-4CDD-865C-F3B1BDAF1B33}"/>
    <cellStyle name="Normal 3 11" xfId="4" xr:uid="{7AA835FE-8D7E-40C7-BC0B-58FFCF501FF5}"/>
    <cellStyle name="Normal 3 2" xfId="9" xr:uid="{63E1D5E9-CD6D-4C92-9603-E0E5C0AFECBB}"/>
    <cellStyle name="Normal 3 2 2" xfId="11" xr:uid="{AF7B30D6-4C46-4C06-BF44-3C17F44A1CDC}"/>
    <cellStyle name="Normal_BalanceMensualObraFebrero06" xfId="21" xr:uid="{EA0D7EFB-C17A-4BF8-8F49-D3388814AD63}"/>
    <cellStyle name="Normal_prerescap" xfId="18" xr:uid="{657145A4-83F3-40D6-95B8-9A0F1623ED7A}"/>
    <cellStyle name="Normal_PTO OFICIAL PREPLIEGO (CORREGIDO) 2" xfId="10" xr:uid="{665223D2-34CC-4610-9AAD-870755C55A82}"/>
    <cellStyle name="Porcentaje 2" xfId="15" xr:uid="{123146D1-09C5-4FD3-A073-4119D18936A1}"/>
    <cellStyle name="Porcentaje 3" xfId="23" xr:uid="{71FB31C5-434B-9C4C-AAEE-6A79D53AC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91440</xdr:colOff>
      <xdr:row>5</xdr:row>
      <xdr:rowOff>54428</xdr:rowOff>
    </xdr:from>
    <xdr:to>
      <xdr:col>3</xdr:col>
      <xdr:colOff>595086</xdr:colOff>
      <xdr:row>7</xdr:row>
      <xdr:rowOff>147936</xdr:rowOff>
    </xdr:to>
    <xdr:pic>
      <xdr:nvPicPr>
        <xdr:cNvPr id="2" name="Imagen 1" descr="Alcaldía de Buenaventura | Buenaventura">
          <a:extLst>
            <a:ext uri="{FF2B5EF4-FFF2-40B4-BE49-F238E27FC236}">
              <a16:creationId xmlns:a16="http://schemas.microsoft.com/office/drawing/2014/main" id="{A123F677-1CD0-49E5-B12A-43F856BAD5F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60" t="12723" r="21279" b="15013"/>
        <a:stretch/>
      </xdr:blipFill>
      <xdr:spPr bwMode="auto">
        <a:xfrm>
          <a:off x="487680" y="991688"/>
          <a:ext cx="1169126" cy="12822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136002</xdr:colOff>
      <xdr:row>3</xdr:row>
      <xdr:rowOff>0</xdr:rowOff>
    </xdr:from>
    <xdr:to>
      <xdr:col>6</xdr:col>
      <xdr:colOff>1136315</xdr:colOff>
      <xdr:row>4</xdr:row>
      <xdr:rowOff>49777</xdr:rowOff>
    </xdr:to>
    <xdr:pic>
      <xdr:nvPicPr>
        <xdr:cNvPr id="2" name="Imagen 1" descr="Alcaldía de Buenaventura | Buenaventura">
          <a:extLst>
            <a:ext uri="{FF2B5EF4-FFF2-40B4-BE49-F238E27FC236}">
              <a16:creationId xmlns:a16="http://schemas.microsoft.com/office/drawing/2014/main" id="{3F42CCA2-8794-E540-B838-6B8ED976D7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60" t="12723" r="21279" b="15013"/>
        <a:stretch/>
      </xdr:blipFill>
      <xdr:spPr bwMode="auto">
        <a:xfrm>
          <a:off x="10143602" y="622300"/>
          <a:ext cx="1000313" cy="10276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28C22-8034-4396-A2D2-2E3EE00F9D65}">
  <dimension ref="A1:O71"/>
  <sheetViews>
    <sheetView tabSelected="1" view="pageBreakPreview" topLeftCell="D37" zoomScale="70" zoomScaleNormal="70" zoomScaleSheetLayoutView="70" workbookViewId="0">
      <selection activeCell="N52" sqref="N52"/>
    </sheetView>
  </sheetViews>
  <sheetFormatPr baseColWidth="10" defaultRowHeight="14"/>
  <cols>
    <col min="1" max="1" width="2.33203125" style="57" customWidth="1"/>
    <col min="2" max="2" width="3" style="57" customWidth="1"/>
    <col min="3" max="3" width="9.33203125" style="57" customWidth="1"/>
    <col min="4" max="4" width="13" style="57" customWidth="1"/>
    <col min="5" max="5" width="10" style="57" customWidth="1"/>
    <col min="6" max="6" width="14" style="57" customWidth="1"/>
    <col min="7" max="7" width="60.33203125" style="57" customWidth="1"/>
    <col min="8" max="8" width="10.6640625" style="57"/>
    <col min="9" max="9" width="23" style="57" customWidth="1"/>
    <col min="10" max="10" width="0.1640625" style="57" customWidth="1"/>
    <col min="11" max="11" width="20.83203125" style="57" customWidth="1"/>
    <col min="12" max="12" width="25.33203125" style="57" customWidth="1"/>
    <col min="13" max="13" width="3.6640625" style="57" customWidth="1"/>
    <col min="14" max="14" width="23" style="57" customWidth="1"/>
    <col min="15" max="16384" width="10.6640625" style="57"/>
  </cols>
  <sheetData>
    <row r="1" spans="1:13" ht="16" thickBot="1">
      <c r="A1" s="54"/>
      <c r="B1" s="55"/>
      <c r="C1" s="56"/>
      <c r="D1" s="55"/>
      <c r="E1" s="56"/>
      <c r="F1" s="54"/>
      <c r="G1" s="54"/>
      <c r="H1" s="54"/>
      <c r="I1" s="54"/>
      <c r="J1" s="54"/>
      <c r="K1" s="54"/>
      <c r="L1" s="54"/>
      <c r="M1" s="54"/>
    </row>
    <row r="2" spans="1:13" ht="8.5" customHeight="1" thickTop="1">
      <c r="A2" s="54"/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60"/>
    </row>
    <row r="3" spans="1:13" ht="23.5" customHeight="1">
      <c r="A3" s="54"/>
      <c r="B3" s="61"/>
      <c r="C3" s="62" t="s">
        <v>0</v>
      </c>
      <c r="D3" s="63"/>
      <c r="E3" s="63"/>
      <c r="F3" s="64"/>
      <c r="G3" s="54"/>
      <c r="H3" s="54"/>
      <c r="I3" s="54"/>
      <c r="J3" s="54"/>
      <c r="K3" s="54"/>
      <c r="L3" s="54">
        <v>1.335</v>
      </c>
      <c r="M3" s="65"/>
    </row>
    <row r="4" spans="1:13" ht="15.5">
      <c r="A4" s="54"/>
      <c r="B4" s="61"/>
      <c r="C4" s="66" t="s">
        <v>1</v>
      </c>
      <c r="D4" s="67" t="s">
        <v>2</v>
      </c>
      <c r="E4" s="66" t="s">
        <v>3</v>
      </c>
      <c r="F4" s="67">
        <v>2</v>
      </c>
      <c r="G4" s="54"/>
      <c r="H4" s="54"/>
      <c r="I4" s="54"/>
      <c r="J4" s="54"/>
      <c r="K4" s="54"/>
      <c r="L4" s="54"/>
      <c r="M4" s="65"/>
    </row>
    <row r="5" spans="1:13" ht="10.25" customHeight="1" thickBot="1">
      <c r="A5" s="54"/>
      <c r="B5" s="61"/>
      <c r="C5" s="55"/>
      <c r="D5" s="56"/>
      <c r="E5" s="55"/>
      <c r="F5" s="56"/>
      <c r="G5" s="54"/>
      <c r="H5" s="54"/>
      <c r="I5" s="54"/>
      <c r="J5" s="54"/>
      <c r="K5" s="54"/>
      <c r="L5" s="54"/>
      <c r="M5" s="65"/>
    </row>
    <row r="6" spans="1:13" ht="41.5" customHeight="1">
      <c r="A6" s="54"/>
      <c r="B6" s="61"/>
      <c r="C6" s="68" t="s">
        <v>95</v>
      </c>
      <c r="D6" s="69"/>
      <c r="E6" s="69"/>
      <c r="F6" s="69"/>
      <c r="G6" s="69"/>
      <c r="H6" s="69"/>
      <c r="I6" s="69"/>
      <c r="J6" s="69"/>
      <c r="K6" s="69"/>
      <c r="L6" s="70"/>
      <c r="M6" s="65"/>
    </row>
    <row r="7" spans="1:13" ht="52.25" customHeight="1">
      <c r="A7" s="54"/>
      <c r="B7" s="61"/>
      <c r="C7" s="71"/>
      <c r="D7" s="72"/>
      <c r="E7" s="73" t="s">
        <v>96</v>
      </c>
      <c r="F7" s="73"/>
      <c r="G7" s="73"/>
      <c r="H7" s="73"/>
      <c r="I7" s="73"/>
      <c r="J7" s="73"/>
      <c r="K7" s="73"/>
      <c r="L7" s="74"/>
      <c r="M7" s="65"/>
    </row>
    <row r="8" spans="1:13" ht="20.5" thickBot="1">
      <c r="A8" s="54"/>
      <c r="B8" s="61"/>
      <c r="C8" s="75" t="s">
        <v>23</v>
      </c>
      <c r="D8" s="76"/>
      <c r="E8" s="76"/>
      <c r="F8" s="76"/>
      <c r="G8" s="76"/>
      <c r="H8" s="76"/>
      <c r="I8" s="76"/>
      <c r="J8" s="76"/>
      <c r="K8" s="76"/>
      <c r="L8" s="77"/>
      <c r="M8" s="65"/>
    </row>
    <row r="9" spans="1:13" ht="16" customHeight="1">
      <c r="A9" s="54"/>
      <c r="B9" s="61"/>
      <c r="C9" s="78" t="s">
        <v>97</v>
      </c>
      <c r="D9" s="79"/>
      <c r="E9" s="79"/>
      <c r="F9" s="79"/>
      <c r="G9" s="79"/>
      <c r="H9" s="79"/>
      <c r="I9" s="79"/>
      <c r="J9" s="79"/>
      <c r="K9" s="79"/>
      <c r="L9" s="80"/>
      <c r="M9" s="65"/>
    </row>
    <row r="10" spans="1:13" ht="15.5">
      <c r="A10" s="54"/>
      <c r="B10" s="61"/>
      <c r="C10" s="81"/>
      <c r="D10" s="82"/>
      <c r="E10" s="82"/>
      <c r="F10" s="82"/>
      <c r="G10" s="82"/>
      <c r="H10" s="82"/>
      <c r="I10" s="82"/>
      <c r="J10" s="82"/>
      <c r="K10" s="82"/>
      <c r="L10" s="83"/>
      <c r="M10" s="65"/>
    </row>
    <row r="11" spans="1:13" ht="34.75" customHeight="1" thickBot="1">
      <c r="A11" s="54"/>
      <c r="B11" s="61"/>
      <c r="C11" s="84" t="s">
        <v>4</v>
      </c>
      <c r="D11" s="85"/>
      <c r="E11" s="85"/>
      <c r="F11" s="85"/>
      <c r="G11" s="85"/>
      <c r="H11" s="85"/>
      <c r="I11" s="85"/>
      <c r="J11" s="85"/>
      <c r="K11" s="85"/>
      <c r="L11" s="86"/>
      <c r="M11" s="65"/>
    </row>
    <row r="12" spans="1:13" ht="16" thickBot="1">
      <c r="A12" s="54"/>
      <c r="B12" s="61"/>
      <c r="C12" s="87"/>
      <c r="D12" s="88"/>
      <c r="E12" s="88"/>
      <c r="F12" s="88"/>
      <c r="G12" s="88"/>
      <c r="H12" s="88"/>
      <c r="I12" s="88"/>
      <c r="J12" s="89"/>
      <c r="K12" s="89"/>
      <c r="L12" s="90"/>
      <c r="M12" s="65"/>
    </row>
    <row r="13" spans="1:13" ht="15.5">
      <c r="A13" s="54"/>
      <c r="B13" s="61"/>
      <c r="C13" s="91" t="s">
        <v>5</v>
      </c>
      <c r="D13" s="92" t="s">
        <v>6</v>
      </c>
      <c r="E13" s="93" t="s">
        <v>7</v>
      </c>
      <c r="F13" s="93"/>
      <c r="G13" s="91" t="s">
        <v>8</v>
      </c>
      <c r="H13" s="92" t="s">
        <v>9</v>
      </c>
      <c r="I13" s="92" t="s">
        <v>10</v>
      </c>
      <c r="J13" s="94" t="s">
        <v>63</v>
      </c>
      <c r="K13" s="94" t="s">
        <v>64</v>
      </c>
      <c r="L13" s="95" t="s">
        <v>11</v>
      </c>
      <c r="M13" s="65"/>
    </row>
    <row r="14" spans="1:13" ht="16" thickBot="1">
      <c r="A14" s="54"/>
      <c r="B14" s="61"/>
      <c r="C14" s="96"/>
      <c r="D14" s="97"/>
      <c r="E14" s="98" t="s">
        <v>12</v>
      </c>
      <c r="F14" s="98" t="s">
        <v>13</v>
      </c>
      <c r="G14" s="96"/>
      <c r="H14" s="97"/>
      <c r="I14" s="97"/>
      <c r="J14" s="99"/>
      <c r="K14" s="99"/>
      <c r="L14" s="100"/>
      <c r="M14" s="65"/>
    </row>
    <row r="15" spans="1:13" ht="20.5" thickBot="1">
      <c r="A15" s="54"/>
      <c r="B15" s="61"/>
      <c r="C15" s="101"/>
      <c r="D15" s="102"/>
      <c r="E15" s="102"/>
      <c r="F15" s="102"/>
      <c r="G15" s="103" t="s">
        <v>24</v>
      </c>
      <c r="H15" s="104"/>
      <c r="I15" s="104"/>
      <c r="J15" s="104"/>
      <c r="K15" s="104"/>
      <c r="L15" s="105"/>
      <c r="M15" s="65"/>
    </row>
    <row r="16" spans="1:13" ht="20">
      <c r="A16" s="54"/>
      <c r="B16" s="61"/>
      <c r="C16" s="106">
        <v>1</v>
      </c>
      <c r="D16" s="107">
        <v>1.01</v>
      </c>
      <c r="E16" s="107"/>
      <c r="F16" s="107"/>
      <c r="G16" s="108" t="s">
        <v>32</v>
      </c>
      <c r="H16" s="109" t="s">
        <v>33</v>
      </c>
      <c r="I16" s="110">
        <v>1</v>
      </c>
      <c r="J16" s="111">
        <f>3397805</f>
        <v>3397805</v>
      </c>
      <c r="K16" s="111">
        <f>ROUND((J16*L$3),0)</f>
        <v>4536070</v>
      </c>
      <c r="L16" s="112">
        <f>ROUND((K16*I16),0)</f>
        <v>4536070</v>
      </c>
      <c r="M16" s="65"/>
    </row>
    <row r="17" spans="1:13" ht="20">
      <c r="A17" s="54"/>
      <c r="B17" s="61"/>
      <c r="C17" s="113">
        <v>2</v>
      </c>
      <c r="D17" s="114">
        <v>1.02</v>
      </c>
      <c r="E17" s="114"/>
      <c r="F17" s="114"/>
      <c r="G17" s="115" t="s">
        <v>34</v>
      </c>
      <c r="H17" s="50" t="s">
        <v>35</v>
      </c>
      <c r="I17" s="51">
        <v>798</v>
      </c>
      <c r="J17" s="116">
        <f>4674</f>
        <v>4674</v>
      </c>
      <c r="K17" s="116">
        <f>ROUND((J17*L$3),0)</f>
        <v>6240</v>
      </c>
      <c r="L17" s="117">
        <f>ROUND((K17*I17),0)</f>
        <v>4979520</v>
      </c>
      <c r="M17" s="65"/>
    </row>
    <row r="18" spans="1:13" ht="40">
      <c r="A18" s="54"/>
      <c r="B18" s="61"/>
      <c r="C18" s="113">
        <v>3</v>
      </c>
      <c r="D18" s="114">
        <v>1.05</v>
      </c>
      <c r="E18" s="114"/>
      <c r="F18" s="114"/>
      <c r="G18" s="115" t="s">
        <v>94</v>
      </c>
      <c r="H18" s="50" t="s">
        <v>35</v>
      </c>
      <c r="I18" s="51">
        <v>17.600000000000001</v>
      </c>
      <c r="J18" s="116">
        <v>11989</v>
      </c>
      <c r="K18" s="116">
        <f>ROUND((J18*L$3),0)</f>
        <v>16005</v>
      </c>
      <c r="L18" s="117">
        <f>ROUND((K18*I18),0)</f>
        <v>281688</v>
      </c>
      <c r="M18" s="65"/>
    </row>
    <row r="19" spans="1:13" ht="20.5" thickBot="1">
      <c r="A19" s="54"/>
      <c r="B19" s="61"/>
      <c r="C19" s="118" t="s">
        <v>14</v>
      </c>
      <c r="D19" s="119"/>
      <c r="E19" s="119"/>
      <c r="F19" s="119"/>
      <c r="G19" s="120"/>
      <c r="H19" s="121"/>
      <c r="I19" s="122"/>
      <c r="J19" s="123"/>
      <c r="K19" s="124"/>
      <c r="L19" s="124">
        <f>SUM(L16:L18)</f>
        <v>9797278</v>
      </c>
      <c r="M19" s="65"/>
    </row>
    <row r="20" spans="1:13" ht="20.5" thickBot="1">
      <c r="A20" s="54"/>
      <c r="B20" s="61"/>
      <c r="C20" s="101"/>
      <c r="D20" s="102"/>
      <c r="E20" s="102"/>
      <c r="F20" s="102"/>
      <c r="G20" s="103" t="s">
        <v>25</v>
      </c>
      <c r="H20" s="104"/>
      <c r="I20" s="125"/>
      <c r="J20" s="102"/>
      <c r="K20" s="102"/>
      <c r="L20" s="126"/>
      <c r="M20" s="65"/>
    </row>
    <row r="21" spans="1:13" ht="45" customHeight="1">
      <c r="A21" s="54"/>
      <c r="B21" s="61"/>
      <c r="C21" s="106">
        <v>4</v>
      </c>
      <c r="D21" s="107">
        <v>2.0099999999999998</v>
      </c>
      <c r="E21" s="107"/>
      <c r="F21" s="107"/>
      <c r="G21" s="108" t="s">
        <v>26</v>
      </c>
      <c r="H21" s="32" t="s">
        <v>36</v>
      </c>
      <c r="I21" s="110">
        <v>518.70000000000005</v>
      </c>
      <c r="J21" s="111">
        <f>12597</f>
        <v>12597</v>
      </c>
      <c r="K21" s="111">
        <f>ROUND((J21*L$3),0)</f>
        <v>16817</v>
      </c>
      <c r="L21" s="112">
        <f t="shared" ref="L21:L26" si="0">ROUND((K21*I21),0)</f>
        <v>8722978</v>
      </c>
      <c r="M21" s="65"/>
    </row>
    <row r="22" spans="1:13" ht="40">
      <c r="A22" s="54"/>
      <c r="B22" s="61"/>
      <c r="C22" s="113">
        <v>5</v>
      </c>
      <c r="D22" s="113">
        <v>2.02</v>
      </c>
      <c r="E22" s="113"/>
      <c r="F22" s="113"/>
      <c r="G22" s="115" t="s">
        <v>27</v>
      </c>
      <c r="H22" s="9" t="s">
        <v>36</v>
      </c>
      <c r="I22" s="110">
        <v>75.84</v>
      </c>
      <c r="J22" s="116">
        <f>58567</f>
        <v>58567</v>
      </c>
      <c r="K22" s="116">
        <f>ROUND((J22*L$3),0)</f>
        <v>78187</v>
      </c>
      <c r="L22" s="117">
        <f t="shared" si="0"/>
        <v>5929702</v>
      </c>
      <c r="M22" s="65"/>
    </row>
    <row r="23" spans="1:13" ht="20">
      <c r="A23" s="54"/>
      <c r="B23" s="61"/>
      <c r="C23" s="113">
        <v>6</v>
      </c>
      <c r="D23" s="114">
        <v>2.04</v>
      </c>
      <c r="E23" s="114"/>
      <c r="F23" s="114"/>
      <c r="G23" s="115" t="s">
        <v>28</v>
      </c>
      <c r="H23" s="127" t="s">
        <v>15</v>
      </c>
      <c r="I23" s="128">
        <v>115.94</v>
      </c>
      <c r="J23" s="116">
        <f>13781</f>
        <v>13781</v>
      </c>
      <c r="K23" s="116">
        <f t="shared" ref="K23:K25" si="1">ROUND((J23*L$3),0)</f>
        <v>18398</v>
      </c>
      <c r="L23" s="117">
        <f t="shared" si="0"/>
        <v>2133064</v>
      </c>
      <c r="M23" s="65"/>
    </row>
    <row r="24" spans="1:13" ht="20">
      <c r="A24" s="54"/>
      <c r="B24" s="61"/>
      <c r="C24" s="113">
        <v>7</v>
      </c>
      <c r="D24" s="113">
        <v>2.0499999999999998</v>
      </c>
      <c r="E24" s="113"/>
      <c r="F24" s="113"/>
      <c r="G24" s="115" t="s">
        <v>29</v>
      </c>
      <c r="H24" s="9" t="s">
        <v>35</v>
      </c>
      <c r="I24" s="110">
        <v>798</v>
      </c>
      <c r="J24" s="116">
        <f>3972</f>
        <v>3972</v>
      </c>
      <c r="K24" s="116">
        <f>ROUND((J24*L$3),0)</f>
        <v>5303</v>
      </c>
      <c r="L24" s="117">
        <f t="shared" si="0"/>
        <v>4231794</v>
      </c>
      <c r="M24" s="65"/>
    </row>
    <row r="25" spans="1:13" ht="40">
      <c r="A25" s="54"/>
      <c r="B25" s="61"/>
      <c r="C25" s="113">
        <v>8</v>
      </c>
      <c r="D25" s="113">
        <v>2.06</v>
      </c>
      <c r="E25" s="113"/>
      <c r="F25" s="113"/>
      <c r="G25" s="129" t="s">
        <v>30</v>
      </c>
      <c r="H25" s="9" t="s">
        <v>35</v>
      </c>
      <c r="I25" s="110">
        <v>798</v>
      </c>
      <c r="J25" s="116">
        <f>10602</f>
        <v>10602</v>
      </c>
      <c r="K25" s="116">
        <f t="shared" si="1"/>
        <v>14154</v>
      </c>
      <c r="L25" s="117">
        <f t="shared" si="0"/>
        <v>11294892</v>
      </c>
      <c r="M25" s="65"/>
    </row>
    <row r="26" spans="1:13" ht="40">
      <c r="A26" s="54"/>
      <c r="B26" s="61"/>
      <c r="C26" s="113">
        <v>9</v>
      </c>
      <c r="D26" s="113">
        <v>2.0699999999999998</v>
      </c>
      <c r="E26" s="113"/>
      <c r="F26" s="113"/>
      <c r="G26" s="115" t="s">
        <v>31</v>
      </c>
      <c r="H26" s="9" t="s">
        <v>37</v>
      </c>
      <c r="I26" s="110">
        <v>6183.22</v>
      </c>
      <c r="J26" s="116">
        <f>2429</f>
        <v>2429</v>
      </c>
      <c r="K26" s="116">
        <f>ROUND((J26*L$3),0)</f>
        <v>3243</v>
      </c>
      <c r="L26" s="117">
        <f t="shared" si="0"/>
        <v>20052182</v>
      </c>
      <c r="M26" s="65"/>
    </row>
    <row r="27" spans="1:13" ht="20.5" thickBot="1">
      <c r="A27" s="54"/>
      <c r="B27" s="61"/>
      <c r="C27" s="118" t="s">
        <v>14</v>
      </c>
      <c r="D27" s="119"/>
      <c r="E27" s="119"/>
      <c r="F27" s="119"/>
      <c r="G27" s="120"/>
      <c r="H27" s="121"/>
      <c r="I27" s="130"/>
      <c r="J27" s="123"/>
      <c r="K27" s="124"/>
      <c r="L27" s="124">
        <f>SUM(L21:L26)</f>
        <v>52364612</v>
      </c>
      <c r="M27" s="65"/>
    </row>
    <row r="28" spans="1:13" ht="20.5" thickBot="1">
      <c r="A28" s="54"/>
      <c r="B28" s="61"/>
      <c r="C28" s="101"/>
      <c r="D28" s="102"/>
      <c r="E28" s="102"/>
      <c r="F28" s="102"/>
      <c r="G28" s="103" t="s">
        <v>38</v>
      </c>
      <c r="H28" s="104"/>
      <c r="I28" s="125"/>
      <c r="J28" s="102"/>
      <c r="K28" s="102"/>
      <c r="L28" s="126"/>
      <c r="M28" s="65"/>
    </row>
    <row r="29" spans="1:13" ht="45" customHeight="1">
      <c r="A29" s="54"/>
      <c r="B29" s="61"/>
      <c r="C29" s="106">
        <v>10</v>
      </c>
      <c r="D29" s="106">
        <v>3.02</v>
      </c>
      <c r="E29" s="106"/>
      <c r="F29" s="106"/>
      <c r="G29" s="52" t="s">
        <v>39</v>
      </c>
      <c r="H29" s="32" t="s">
        <v>15</v>
      </c>
      <c r="I29" s="110">
        <v>119.7</v>
      </c>
      <c r="J29" s="111">
        <f>194770</f>
        <v>194770</v>
      </c>
      <c r="K29" s="111">
        <f>ROUND((J29*L$3),0)</f>
        <v>260018</v>
      </c>
      <c r="L29" s="112">
        <f>ROUND((K29*I29),0)</f>
        <v>31124155</v>
      </c>
      <c r="M29" s="65"/>
    </row>
    <row r="30" spans="1:13" ht="40.25" customHeight="1">
      <c r="A30" s="54"/>
      <c r="B30" s="61"/>
      <c r="C30" s="113">
        <v>11</v>
      </c>
      <c r="D30" s="113">
        <v>3.03</v>
      </c>
      <c r="E30" s="114"/>
      <c r="F30" s="114"/>
      <c r="G30" s="53" t="s">
        <v>40</v>
      </c>
      <c r="H30" s="9" t="s">
        <v>15</v>
      </c>
      <c r="I30" s="110">
        <v>31.92</v>
      </c>
      <c r="J30" s="116">
        <f>153783</f>
        <v>153783</v>
      </c>
      <c r="K30" s="116">
        <f>ROUND((J30*L$3),0)</f>
        <v>205300</v>
      </c>
      <c r="L30" s="117">
        <f>ROUND((K30*I30),0)</f>
        <v>6553176</v>
      </c>
      <c r="M30" s="65"/>
    </row>
    <row r="31" spans="1:13" ht="20.5" thickBot="1">
      <c r="A31" s="54"/>
      <c r="B31" s="61"/>
      <c r="C31" s="118" t="s">
        <v>14</v>
      </c>
      <c r="D31" s="119"/>
      <c r="E31" s="119"/>
      <c r="F31" s="119"/>
      <c r="G31" s="120"/>
      <c r="H31" s="121"/>
      <c r="I31" s="130"/>
      <c r="J31" s="123"/>
      <c r="K31" s="124"/>
      <c r="L31" s="124">
        <f>SUM(L29:L30)</f>
        <v>37677331</v>
      </c>
      <c r="M31" s="65"/>
    </row>
    <row r="32" spans="1:13" ht="20.5" thickBot="1">
      <c r="A32" s="54"/>
      <c r="B32" s="61"/>
      <c r="C32" s="101"/>
      <c r="D32" s="102"/>
      <c r="E32" s="102"/>
      <c r="F32" s="102"/>
      <c r="G32" s="103" t="s">
        <v>41</v>
      </c>
      <c r="H32" s="104"/>
      <c r="I32" s="125"/>
      <c r="J32" s="102"/>
      <c r="K32" s="102"/>
      <c r="L32" s="126"/>
      <c r="M32" s="65"/>
    </row>
    <row r="33" spans="1:13" ht="40">
      <c r="A33" s="54"/>
      <c r="B33" s="61"/>
      <c r="C33" s="106">
        <v>12</v>
      </c>
      <c r="D33" s="106">
        <v>4.01</v>
      </c>
      <c r="E33" s="106"/>
      <c r="F33" s="106"/>
      <c r="G33" s="131" t="s">
        <v>42</v>
      </c>
      <c r="H33" s="132" t="s">
        <v>43</v>
      </c>
      <c r="I33" s="110">
        <v>575.62</v>
      </c>
      <c r="J33" s="111">
        <f>8953</f>
        <v>8953</v>
      </c>
      <c r="K33" s="111">
        <f>ROUND((J33*L$3),0)</f>
        <v>11952</v>
      </c>
      <c r="L33" s="112">
        <f>ROUND((K33*I33),0)</f>
        <v>6879810</v>
      </c>
      <c r="M33" s="65"/>
    </row>
    <row r="34" spans="1:13" ht="40">
      <c r="A34" s="54"/>
      <c r="B34" s="61"/>
      <c r="C34" s="113">
        <v>13</v>
      </c>
      <c r="D34" s="113">
        <v>4.0199999999999996</v>
      </c>
      <c r="E34" s="114"/>
      <c r="F34" s="114"/>
      <c r="G34" s="133" t="s">
        <v>44</v>
      </c>
      <c r="H34" s="9" t="s">
        <v>45</v>
      </c>
      <c r="I34" s="110">
        <v>343</v>
      </c>
      <c r="J34" s="116">
        <f>6007</f>
        <v>6007</v>
      </c>
      <c r="K34" s="116">
        <f t="shared" ref="K34:K36" si="2">ROUND((J34*L$3),0)</f>
        <v>8019</v>
      </c>
      <c r="L34" s="117">
        <f>ROUND((K34*I34),0)</f>
        <v>2750517</v>
      </c>
      <c r="M34" s="65"/>
    </row>
    <row r="35" spans="1:13" ht="40">
      <c r="A35" s="54"/>
      <c r="B35" s="61"/>
      <c r="C35" s="113">
        <v>14</v>
      </c>
      <c r="D35" s="113">
        <v>4.03</v>
      </c>
      <c r="E35" s="114"/>
      <c r="F35" s="114"/>
      <c r="G35" s="133" t="s">
        <v>46</v>
      </c>
      <c r="H35" s="9" t="s">
        <v>15</v>
      </c>
      <c r="I35" s="110">
        <v>159.6</v>
      </c>
      <c r="J35" s="116">
        <f>1050342</f>
        <v>1050342</v>
      </c>
      <c r="K35" s="116">
        <f t="shared" si="2"/>
        <v>1402207</v>
      </c>
      <c r="L35" s="117">
        <f>ROUND((K35*I35),0)</f>
        <v>223792237</v>
      </c>
      <c r="M35" s="65"/>
    </row>
    <row r="36" spans="1:13" ht="40">
      <c r="A36" s="54"/>
      <c r="B36" s="61"/>
      <c r="C36" s="113">
        <v>15</v>
      </c>
      <c r="D36" s="113">
        <v>4.04</v>
      </c>
      <c r="E36" s="113"/>
      <c r="F36" s="113"/>
      <c r="G36" s="133" t="s">
        <v>47</v>
      </c>
      <c r="H36" s="9" t="s">
        <v>35</v>
      </c>
      <c r="I36" s="110">
        <v>868.14</v>
      </c>
      <c r="J36" s="116">
        <f>18061</f>
        <v>18061</v>
      </c>
      <c r="K36" s="116">
        <f t="shared" si="2"/>
        <v>24111</v>
      </c>
      <c r="L36" s="117">
        <f>ROUND((K36*I36),0)</f>
        <v>20931724</v>
      </c>
      <c r="M36" s="65"/>
    </row>
    <row r="37" spans="1:13" ht="20.5" thickBot="1">
      <c r="A37" s="54"/>
      <c r="B37" s="61"/>
      <c r="C37" s="118" t="s">
        <v>14</v>
      </c>
      <c r="D37" s="119"/>
      <c r="E37" s="119"/>
      <c r="F37" s="119"/>
      <c r="G37" s="120"/>
      <c r="H37" s="121"/>
      <c r="I37" s="130"/>
      <c r="J37" s="123"/>
      <c r="K37" s="124"/>
      <c r="L37" s="124">
        <f>SUM(L33:L36)</f>
        <v>254354288</v>
      </c>
      <c r="M37" s="65"/>
    </row>
    <row r="38" spans="1:13" ht="20.5" thickBot="1">
      <c r="A38" s="54"/>
      <c r="B38" s="61"/>
      <c r="C38" s="101"/>
      <c r="D38" s="102"/>
      <c r="E38" s="102"/>
      <c r="F38" s="102"/>
      <c r="G38" s="103" t="s">
        <v>48</v>
      </c>
      <c r="H38" s="104"/>
      <c r="I38" s="125"/>
      <c r="J38" s="102"/>
      <c r="K38" s="102"/>
      <c r="L38" s="126"/>
      <c r="M38" s="65"/>
    </row>
    <row r="39" spans="1:13" ht="45" customHeight="1">
      <c r="A39" s="54"/>
      <c r="B39" s="61"/>
      <c r="C39" s="106">
        <v>16</v>
      </c>
      <c r="D39" s="106">
        <v>5.04</v>
      </c>
      <c r="E39" s="106"/>
      <c r="F39" s="106"/>
      <c r="G39" s="131" t="s">
        <v>49</v>
      </c>
      <c r="H39" s="32" t="s">
        <v>33</v>
      </c>
      <c r="I39" s="110">
        <v>3</v>
      </c>
      <c r="J39" s="111">
        <f>4557194</f>
        <v>4557194</v>
      </c>
      <c r="K39" s="111">
        <f t="shared" ref="K39:K40" si="3">ROUND((J39*L$3),0)</f>
        <v>6083854</v>
      </c>
      <c r="L39" s="112">
        <f>ROUND((K39*I39),0)</f>
        <v>18251562</v>
      </c>
      <c r="M39" s="65"/>
    </row>
    <row r="40" spans="1:13" ht="30" customHeight="1">
      <c r="A40" s="54"/>
      <c r="B40" s="61"/>
      <c r="C40" s="113">
        <v>17</v>
      </c>
      <c r="D40" s="113">
        <v>5.05</v>
      </c>
      <c r="E40" s="114"/>
      <c r="F40" s="114"/>
      <c r="G40" s="133" t="s">
        <v>50</v>
      </c>
      <c r="H40" s="9" t="s">
        <v>45</v>
      </c>
      <c r="I40" s="110">
        <v>18</v>
      </c>
      <c r="J40" s="116">
        <f>87515</f>
        <v>87515</v>
      </c>
      <c r="K40" s="116">
        <f t="shared" si="3"/>
        <v>116833</v>
      </c>
      <c r="L40" s="117">
        <f>ROUND((K40*I40),0)</f>
        <v>2102994</v>
      </c>
      <c r="M40" s="65"/>
    </row>
    <row r="41" spans="1:13" ht="20.5" thickBot="1">
      <c r="A41" s="54"/>
      <c r="B41" s="61"/>
      <c r="C41" s="118" t="s">
        <v>14</v>
      </c>
      <c r="D41" s="119"/>
      <c r="E41" s="119"/>
      <c r="F41" s="119"/>
      <c r="G41" s="120"/>
      <c r="H41" s="121"/>
      <c r="I41" s="130"/>
      <c r="J41" s="123"/>
      <c r="K41" s="124"/>
      <c r="L41" s="124">
        <f>SUM(L39:L40)</f>
        <v>20354556</v>
      </c>
      <c r="M41" s="65"/>
    </row>
    <row r="42" spans="1:13" ht="20.5" thickBot="1">
      <c r="A42" s="54"/>
      <c r="B42" s="61"/>
      <c r="C42" s="101"/>
      <c r="D42" s="102"/>
      <c r="E42" s="102"/>
      <c r="F42" s="102"/>
      <c r="G42" s="103" t="s">
        <v>51</v>
      </c>
      <c r="H42" s="104"/>
      <c r="I42" s="125"/>
      <c r="J42" s="102"/>
      <c r="K42" s="102"/>
      <c r="L42" s="126"/>
      <c r="M42" s="65"/>
    </row>
    <row r="43" spans="1:13" ht="33" customHeight="1">
      <c r="A43" s="54"/>
      <c r="B43" s="61"/>
      <c r="C43" s="106">
        <v>18</v>
      </c>
      <c r="D43" s="106">
        <v>6.01</v>
      </c>
      <c r="E43" s="106"/>
      <c r="F43" s="106"/>
      <c r="G43" s="131" t="s">
        <v>52</v>
      </c>
      <c r="H43" s="32" t="s">
        <v>33</v>
      </c>
      <c r="I43" s="110">
        <v>76</v>
      </c>
      <c r="J43" s="111">
        <f>126584</f>
        <v>126584</v>
      </c>
      <c r="K43" s="111">
        <f t="shared" ref="K43" si="4">ROUND((J43*L$3),0)</f>
        <v>168990</v>
      </c>
      <c r="L43" s="112">
        <f>ROUND((K43*I43),0)</f>
        <v>12843240</v>
      </c>
      <c r="M43" s="65"/>
    </row>
    <row r="44" spans="1:13" ht="20.5" thickBot="1">
      <c r="A44" s="54"/>
      <c r="B44" s="61"/>
      <c r="C44" s="118" t="s">
        <v>14</v>
      </c>
      <c r="D44" s="119"/>
      <c r="E44" s="119"/>
      <c r="F44" s="119"/>
      <c r="G44" s="120"/>
      <c r="H44" s="121"/>
      <c r="I44" s="130"/>
      <c r="J44" s="123"/>
      <c r="K44" s="124"/>
      <c r="L44" s="124">
        <f>L43</f>
        <v>12843240</v>
      </c>
      <c r="M44" s="65"/>
    </row>
    <row r="45" spans="1:13" ht="20.5" thickBot="1">
      <c r="A45" s="54"/>
      <c r="B45" s="61"/>
      <c r="C45" s="101"/>
      <c r="D45" s="102"/>
      <c r="E45" s="102"/>
      <c r="F45" s="102"/>
      <c r="G45" s="103" t="s">
        <v>53</v>
      </c>
      <c r="H45" s="104"/>
      <c r="I45" s="125"/>
      <c r="J45" s="102"/>
      <c r="K45" s="102"/>
      <c r="L45" s="126"/>
      <c r="M45" s="65"/>
    </row>
    <row r="46" spans="1:13" ht="41.5" customHeight="1">
      <c r="A46" s="54"/>
      <c r="B46" s="61"/>
      <c r="C46" s="106">
        <v>19</v>
      </c>
      <c r="D46" s="106">
        <v>7.01</v>
      </c>
      <c r="E46" s="106"/>
      <c r="F46" s="106"/>
      <c r="G46" s="134" t="s">
        <v>62</v>
      </c>
      <c r="H46" s="132" t="s">
        <v>35</v>
      </c>
      <c r="I46" s="135">
        <v>212.8</v>
      </c>
      <c r="J46" s="111">
        <f>113272</f>
        <v>113272</v>
      </c>
      <c r="K46" s="111">
        <f t="shared" ref="K46:K48" si="5">ROUND((J46*L$3),0)</f>
        <v>151218</v>
      </c>
      <c r="L46" s="112">
        <f>ROUND((K46*I46),0)</f>
        <v>32179190</v>
      </c>
      <c r="M46" s="65"/>
    </row>
    <row r="47" spans="1:13" ht="20">
      <c r="A47" s="54"/>
      <c r="B47" s="61"/>
      <c r="C47" s="113">
        <v>20</v>
      </c>
      <c r="D47" s="113">
        <v>7.02</v>
      </c>
      <c r="E47" s="114"/>
      <c r="F47" s="114"/>
      <c r="G47" s="136" t="s">
        <v>54</v>
      </c>
      <c r="H47" s="137" t="s">
        <v>35</v>
      </c>
      <c r="I47" s="135">
        <v>212.8</v>
      </c>
      <c r="J47" s="116">
        <f>12447</f>
        <v>12447</v>
      </c>
      <c r="K47" s="116">
        <f t="shared" si="5"/>
        <v>16617</v>
      </c>
      <c r="L47" s="117">
        <f>ROUND((K47*I47),0)</f>
        <v>3536098</v>
      </c>
      <c r="M47" s="65"/>
    </row>
    <row r="48" spans="1:13" ht="40">
      <c r="A48" s="54"/>
      <c r="B48" s="61"/>
      <c r="C48" s="113">
        <v>21</v>
      </c>
      <c r="D48" s="113">
        <v>7.03</v>
      </c>
      <c r="E48" s="114"/>
      <c r="F48" s="114"/>
      <c r="G48" s="136" t="s">
        <v>55</v>
      </c>
      <c r="H48" s="137" t="s">
        <v>45</v>
      </c>
      <c r="I48" s="135">
        <v>266</v>
      </c>
      <c r="J48" s="116">
        <f>27525</f>
        <v>27525</v>
      </c>
      <c r="K48" s="116">
        <f t="shared" si="5"/>
        <v>36746</v>
      </c>
      <c r="L48" s="117">
        <f>ROUND((K48*I48),0)</f>
        <v>9774436</v>
      </c>
      <c r="M48" s="65"/>
    </row>
    <row r="49" spans="1:15" ht="20.5" thickBot="1">
      <c r="A49" s="54"/>
      <c r="B49" s="61"/>
      <c r="C49" s="118" t="s">
        <v>14</v>
      </c>
      <c r="D49" s="119"/>
      <c r="E49" s="119"/>
      <c r="F49" s="119"/>
      <c r="G49" s="120"/>
      <c r="H49" s="121"/>
      <c r="I49" s="130"/>
      <c r="J49" s="123"/>
      <c r="K49" s="124"/>
      <c r="L49" s="124">
        <f>SUM(L46:L48)</f>
        <v>45489724</v>
      </c>
      <c r="M49" s="65"/>
    </row>
    <row r="50" spans="1:15" ht="20.5" thickBot="1">
      <c r="A50" s="54"/>
      <c r="B50" s="61"/>
      <c r="C50" s="101"/>
      <c r="D50" s="102"/>
      <c r="E50" s="102"/>
      <c r="F50" s="102"/>
      <c r="G50" s="103" t="s">
        <v>56</v>
      </c>
      <c r="H50" s="104"/>
      <c r="I50" s="125"/>
      <c r="J50" s="102"/>
      <c r="K50" s="102"/>
      <c r="L50" s="126"/>
      <c r="M50" s="65"/>
    </row>
    <row r="51" spans="1:15" ht="40">
      <c r="A51" s="54"/>
      <c r="B51" s="61"/>
      <c r="C51" s="106">
        <v>22</v>
      </c>
      <c r="D51" s="106">
        <v>8.01</v>
      </c>
      <c r="E51" s="106"/>
      <c r="F51" s="106"/>
      <c r="G51" s="131" t="s">
        <v>57</v>
      </c>
      <c r="H51" s="32" t="s">
        <v>45</v>
      </c>
      <c r="I51" s="138">
        <v>268</v>
      </c>
      <c r="J51" s="111">
        <f>5071</f>
        <v>5071</v>
      </c>
      <c r="K51" s="111">
        <f t="shared" ref="K51:K52" si="6">ROUND((J51*L$3),0)</f>
        <v>6770</v>
      </c>
      <c r="L51" s="112">
        <f>ROUND((K51*I51),0)</f>
        <v>1814360</v>
      </c>
      <c r="M51" s="65"/>
    </row>
    <row r="52" spans="1:15" ht="82.25" customHeight="1">
      <c r="A52" s="54"/>
      <c r="B52" s="61"/>
      <c r="C52" s="113">
        <v>23</v>
      </c>
      <c r="D52" s="113">
        <v>8.02</v>
      </c>
      <c r="E52" s="113"/>
      <c r="F52" s="113"/>
      <c r="G52" s="133" t="s">
        <v>58</v>
      </c>
      <c r="H52" s="9" t="s">
        <v>35</v>
      </c>
      <c r="I52" s="138">
        <v>36.799999999999997</v>
      </c>
      <c r="J52" s="116">
        <f>59589</f>
        <v>59589</v>
      </c>
      <c r="K52" s="116">
        <f t="shared" si="6"/>
        <v>79551</v>
      </c>
      <c r="L52" s="117">
        <f>ROUND((K52*I52),0)</f>
        <v>2927477</v>
      </c>
      <c r="M52" s="65"/>
    </row>
    <row r="53" spans="1:15" ht="20.5" thickBot="1">
      <c r="A53" s="54"/>
      <c r="B53" s="61"/>
      <c r="C53" s="118" t="s">
        <v>14</v>
      </c>
      <c r="D53" s="119"/>
      <c r="E53" s="119"/>
      <c r="F53" s="119"/>
      <c r="G53" s="120"/>
      <c r="H53" s="121"/>
      <c r="I53" s="130"/>
      <c r="J53" s="123"/>
      <c r="K53" s="124"/>
      <c r="L53" s="124">
        <f>SUM(L51:L52)</f>
        <v>4741837</v>
      </c>
      <c r="M53" s="65"/>
    </row>
    <row r="54" spans="1:15" ht="23" thickBot="1">
      <c r="A54" s="139"/>
      <c r="B54" s="140"/>
      <c r="C54" s="141" t="s">
        <v>16</v>
      </c>
      <c r="D54" s="104"/>
      <c r="E54" s="104"/>
      <c r="F54" s="104"/>
      <c r="G54" s="104"/>
      <c r="H54" s="104"/>
      <c r="I54" s="104"/>
      <c r="J54" s="141" t="s">
        <v>16</v>
      </c>
      <c r="K54" s="142"/>
      <c r="L54" s="143">
        <f>+L53+L49+L44+L41+L37+L31+L27+L19</f>
        <v>437622866</v>
      </c>
      <c r="M54" s="144"/>
      <c r="O54" s="145"/>
    </row>
    <row r="55" spans="1:15" ht="16" thickBot="1">
      <c r="A55" s="139"/>
      <c r="B55" s="140"/>
      <c r="C55" s="146"/>
      <c r="D55" s="146"/>
      <c r="E55" s="146"/>
      <c r="F55" s="146"/>
      <c r="G55" s="146"/>
      <c r="H55" s="146"/>
      <c r="I55" s="146"/>
      <c r="J55" s="146"/>
      <c r="K55" s="147"/>
      <c r="L55" s="147"/>
      <c r="M55" s="144"/>
    </row>
    <row r="56" spans="1:15" ht="20">
      <c r="A56" s="139"/>
      <c r="B56" s="140"/>
      <c r="C56" s="148"/>
      <c r="D56" s="149"/>
      <c r="E56" s="148"/>
      <c r="F56" s="148"/>
      <c r="G56" s="150" t="s">
        <v>59</v>
      </c>
      <c r="H56" s="151"/>
      <c r="I56" s="151"/>
      <c r="J56" s="152"/>
      <c r="K56" s="152"/>
      <c r="L56" s="153">
        <f>6896100-2030</f>
        <v>6894070</v>
      </c>
      <c r="M56" s="144"/>
    </row>
    <row r="57" spans="1:15" ht="42" customHeight="1">
      <c r="A57" s="139"/>
      <c r="B57" s="140"/>
      <c r="C57" s="148"/>
      <c r="D57" s="154"/>
      <c r="E57" s="154"/>
      <c r="F57" s="154"/>
      <c r="G57" s="155" t="s">
        <v>60</v>
      </c>
      <c r="H57" s="156"/>
      <c r="I57" s="156"/>
      <c r="J57" s="157"/>
      <c r="K57" s="157"/>
      <c r="L57" s="158">
        <v>7683064</v>
      </c>
      <c r="M57" s="144"/>
    </row>
    <row r="58" spans="1:15" ht="20">
      <c r="A58" s="139"/>
      <c r="B58" s="140"/>
      <c r="C58" s="148"/>
      <c r="D58" s="154"/>
      <c r="E58" s="154"/>
      <c r="F58" s="154"/>
      <c r="G58" s="159"/>
      <c r="H58" s="160"/>
      <c r="I58" s="161"/>
      <c r="J58" s="162"/>
      <c r="K58" s="157"/>
      <c r="L58" s="158"/>
      <c r="M58" s="144"/>
    </row>
    <row r="59" spans="1:15" ht="20">
      <c r="A59" s="139"/>
      <c r="B59" s="140"/>
      <c r="C59" s="148"/>
      <c r="D59" s="154"/>
      <c r="E59" s="154"/>
      <c r="F59" s="154"/>
      <c r="G59" s="163" t="s">
        <v>61</v>
      </c>
      <c r="H59" s="160"/>
      <c r="I59" s="161"/>
      <c r="J59" s="162"/>
      <c r="K59" s="157"/>
      <c r="L59" s="158">
        <f>SUM(L56:L58)</f>
        <v>14577134</v>
      </c>
      <c r="M59" s="144"/>
    </row>
    <row r="60" spans="1:15" ht="20.5" thickBot="1">
      <c r="A60" s="139"/>
      <c r="B60" s="140"/>
      <c r="C60" s="148"/>
      <c r="D60" s="149"/>
      <c r="E60" s="148"/>
      <c r="F60" s="164"/>
      <c r="G60" s="165"/>
      <c r="H60" s="160"/>
      <c r="I60" s="161"/>
      <c r="J60" s="166"/>
      <c r="K60" s="167"/>
      <c r="L60" s="168"/>
      <c r="M60" s="144"/>
    </row>
    <row r="61" spans="1:15" ht="20.5" thickBot="1">
      <c r="A61" s="139"/>
      <c r="B61" s="140"/>
      <c r="C61" s="148"/>
      <c r="D61" s="149"/>
      <c r="E61" s="148"/>
      <c r="F61" s="148"/>
      <c r="G61" s="169" t="s">
        <v>17</v>
      </c>
      <c r="H61" s="170"/>
      <c r="I61" s="171"/>
      <c r="J61" s="172"/>
      <c r="K61" s="173"/>
      <c r="L61" s="174">
        <f>ROUND(L59+L54,0)</f>
        <v>452200000</v>
      </c>
      <c r="M61" s="144"/>
      <c r="O61" s="145"/>
    </row>
    <row r="62" spans="1:15" ht="16" thickBot="1">
      <c r="A62" s="139"/>
      <c r="B62" s="140"/>
      <c r="C62" s="148"/>
      <c r="D62" s="149"/>
      <c r="E62" s="149"/>
      <c r="F62" s="149"/>
      <c r="G62" s="148"/>
      <c r="H62" s="148"/>
      <c r="I62" s="175"/>
      <c r="J62" s="176"/>
      <c r="K62" s="177"/>
      <c r="L62" s="177"/>
      <c r="M62" s="144"/>
    </row>
    <row r="63" spans="1:15" ht="15.5">
      <c r="A63" s="139"/>
      <c r="B63" s="140"/>
      <c r="C63" s="178"/>
      <c r="D63" s="179"/>
      <c r="E63" s="179"/>
      <c r="F63" s="179"/>
      <c r="G63" s="179"/>
      <c r="H63" s="179"/>
      <c r="I63" s="179"/>
      <c r="J63" s="180"/>
      <c r="K63" s="180"/>
      <c r="L63" s="181"/>
      <c r="M63" s="182"/>
    </row>
    <row r="64" spans="1:15" ht="31.75" customHeight="1">
      <c r="A64" s="139"/>
      <c r="B64" s="140"/>
      <c r="C64" s="183" t="s">
        <v>98</v>
      </c>
      <c r="D64" s="184"/>
      <c r="E64" s="184"/>
      <c r="F64" s="184"/>
      <c r="G64" s="184"/>
      <c r="H64" s="185" t="s">
        <v>8</v>
      </c>
      <c r="I64" s="185"/>
      <c r="J64" s="186"/>
      <c r="K64" s="186"/>
      <c r="L64" s="187" t="s">
        <v>18</v>
      </c>
      <c r="M64" s="188"/>
    </row>
    <row r="65" spans="1:13" ht="52.75" customHeight="1">
      <c r="A65" s="139"/>
      <c r="B65" s="140"/>
      <c r="C65" s="183" t="s">
        <v>99</v>
      </c>
      <c r="D65" s="184"/>
      <c r="E65" s="184"/>
      <c r="F65" s="184"/>
      <c r="G65" s="184"/>
      <c r="H65" s="189" t="s">
        <v>19</v>
      </c>
      <c r="I65" s="189"/>
      <c r="J65" s="190"/>
      <c r="K65" s="191"/>
      <c r="L65" s="192">
        <v>0.27500000000000002</v>
      </c>
      <c r="M65" s="188"/>
    </row>
    <row r="66" spans="1:13" ht="38.5" customHeight="1">
      <c r="A66" s="139"/>
      <c r="B66" s="140"/>
      <c r="C66" s="183" t="s">
        <v>100</v>
      </c>
      <c r="D66" s="184"/>
      <c r="E66" s="184"/>
      <c r="F66" s="184"/>
      <c r="G66" s="184"/>
      <c r="H66" s="193" t="s">
        <v>20</v>
      </c>
      <c r="I66" s="194"/>
      <c r="J66" s="190"/>
      <c r="K66" s="191"/>
      <c r="L66" s="192">
        <v>0.01</v>
      </c>
      <c r="M66" s="188"/>
    </row>
    <row r="67" spans="1:13" ht="34.25" customHeight="1">
      <c r="A67" s="139"/>
      <c r="B67" s="140"/>
      <c r="C67" s="195"/>
      <c r="D67" s="196"/>
      <c r="E67" s="196"/>
      <c r="F67" s="196"/>
      <c r="G67" s="197"/>
      <c r="H67" s="198" t="s">
        <v>21</v>
      </c>
      <c r="I67" s="189"/>
      <c r="J67" s="190"/>
      <c r="K67" s="191"/>
      <c r="L67" s="192">
        <v>0.05</v>
      </c>
      <c r="M67" s="144"/>
    </row>
    <row r="68" spans="1:13" ht="32.5" customHeight="1">
      <c r="A68" s="54"/>
      <c r="B68" s="61"/>
      <c r="C68" s="199"/>
      <c r="D68" s="200"/>
      <c r="E68" s="200"/>
      <c r="F68" s="200"/>
      <c r="G68" s="201"/>
      <c r="H68" s="189" t="s">
        <v>22</v>
      </c>
      <c r="I68" s="189"/>
      <c r="J68" s="190"/>
      <c r="K68" s="191"/>
      <c r="L68" s="192">
        <f>SUM(L65:L67)</f>
        <v>0.33500000000000002</v>
      </c>
      <c r="M68" s="65"/>
    </row>
    <row r="69" spans="1:13" ht="18.5" thickBot="1">
      <c r="A69" s="54"/>
      <c r="B69" s="61"/>
      <c r="C69" s="202"/>
      <c r="D69" s="203"/>
      <c r="E69" s="203"/>
      <c r="F69" s="203"/>
      <c r="G69" s="204"/>
      <c r="H69" s="205"/>
      <c r="I69" s="205"/>
      <c r="J69" s="206"/>
      <c r="K69" s="206"/>
      <c r="L69" s="207"/>
      <c r="M69" s="65"/>
    </row>
    <row r="70" spans="1:13" ht="16" thickBot="1">
      <c r="A70" s="54"/>
      <c r="B70" s="208"/>
      <c r="C70" s="209"/>
      <c r="D70" s="209"/>
      <c r="E70" s="210"/>
      <c r="F70" s="209"/>
      <c r="G70" s="211"/>
      <c r="H70" s="209"/>
      <c r="I70" s="209"/>
      <c r="J70" s="209"/>
      <c r="K70" s="209"/>
      <c r="L70" s="209"/>
      <c r="M70" s="212"/>
    </row>
    <row r="71" spans="1:13" ht="16" thickTop="1">
      <c r="A71" s="54"/>
      <c r="B71" s="54"/>
      <c r="C71" s="54"/>
      <c r="D71" s="54"/>
      <c r="E71" s="213"/>
      <c r="F71" s="54"/>
      <c r="G71" s="54"/>
      <c r="H71" s="54"/>
      <c r="I71" s="54"/>
      <c r="J71" s="54"/>
      <c r="K71" s="54"/>
      <c r="L71" s="54"/>
      <c r="M71" s="54"/>
    </row>
  </sheetData>
  <mergeCells count="30">
    <mergeCell ref="C67:G69"/>
    <mergeCell ref="H67:I67"/>
    <mergeCell ref="H68:I68"/>
    <mergeCell ref="H69:I69"/>
    <mergeCell ref="C64:G64"/>
    <mergeCell ref="H64:I64"/>
    <mergeCell ref="C65:G65"/>
    <mergeCell ref="H65:I65"/>
    <mergeCell ref="C66:G66"/>
    <mergeCell ref="H66:I66"/>
    <mergeCell ref="G56:I56"/>
    <mergeCell ref="D63:I63"/>
    <mergeCell ref="C13:C14"/>
    <mergeCell ref="D13:D14"/>
    <mergeCell ref="E13:F13"/>
    <mergeCell ref="G13:G14"/>
    <mergeCell ref="H13:H14"/>
    <mergeCell ref="I13:I14"/>
    <mergeCell ref="G57:I57"/>
    <mergeCell ref="B2:M2"/>
    <mergeCell ref="C3:F3"/>
    <mergeCell ref="C6:L6"/>
    <mergeCell ref="E7:L7"/>
    <mergeCell ref="C8:L8"/>
    <mergeCell ref="J13:J14"/>
    <mergeCell ref="K13:K14"/>
    <mergeCell ref="L13:L14"/>
    <mergeCell ref="C9:L10"/>
    <mergeCell ref="C11:L11"/>
    <mergeCell ref="C12:I12"/>
  </mergeCells>
  <pageMargins left="0.7" right="0.7" top="0.75" bottom="0.75" header="0.3" footer="0.3"/>
  <pageSetup scale="3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DB7F3-38DE-9949-98FC-B5D358B802E1}">
  <dimension ref="A1:I32"/>
  <sheetViews>
    <sheetView showGridLines="0" topLeftCell="A18" zoomScale="60" zoomScaleNormal="60" zoomScaleSheetLayoutView="57" workbookViewId="0">
      <selection activeCell="G30" sqref="G30:H30"/>
    </sheetView>
  </sheetViews>
  <sheetFormatPr baseColWidth="10" defaultRowHeight="14"/>
  <cols>
    <col min="1" max="1" width="8" customWidth="1"/>
    <col min="2" max="2" width="12.6640625" customWidth="1"/>
    <col min="3" max="3" width="61" customWidth="1"/>
    <col min="4" max="5" width="14.6640625" customWidth="1"/>
    <col min="6" max="6" width="19.6640625" customWidth="1"/>
    <col min="7" max="7" width="21.6640625" customWidth="1"/>
    <col min="8" max="8" width="13.6640625" customWidth="1"/>
    <col min="9" max="9" width="19.6640625" customWidth="1"/>
    <col min="10" max="10" width="18" customWidth="1"/>
  </cols>
  <sheetData>
    <row r="1" spans="1:7" ht="16" thickBot="1">
      <c r="A1" s="2"/>
      <c r="B1" s="3"/>
      <c r="C1" s="2"/>
      <c r="D1" s="3"/>
      <c r="E1" s="1"/>
      <c r="F1" s="1"/>
      <c r="G1" s="1"/>
    </row>
    <row r="2" spans="1:7" ht="8.5" customHeight="1" thickTop="1">
      <c r="A2" s="33"/>
      <c r="B2" s="34"/>
      <c r="C2" s="34"/>
      <c r="D2" s="34"/>
      <c r="E2" s="34"/>
      <c r="F2" s="34"/>
      <c r="G2" s="34"/>
    </row>
    <row r="3" spans="1:7" ht="24" customHeight="1">
      <c r="A3" s="4"/>
      <c r="B3" s="2"/>
      <c r="C3" s="3"/>
      <c r="D3" s="2"/>
      <c r="E3" s="3"/>
      <c r="F3" s="1"/>
      <c r="G3" s="1"/>
    </row>
    <row r="4" spans="1:7" ht="77" customHeight="1">
      <c r="A4" s="4"/>
      <c r="B4" s="46" t="s">
        <v>65</v>
      </c>
      <c r="C4" s="46"/>
      <c r="D4" s="46"/>
      <c r="E4" s="46"/>
      <c r="F4" s="46"/>
      <c r="G4" s="10"/>
    </row>
    <row r="5" spans="1:7" ht="77" customHeight="1">
      <c r="A5" s="4"/>
      <c r="B5" s="47" t="s">
        <v>96</v>
      </c>
      <c r="C5" s="48"/>
      <c r="D5" s="48"/>
      <c r="E5" s="48"/>
      <c r="F5" s="48"/>
      <c r="G5" s="49"/>
    </row>
    <row r="6" spans="1:7" ht="15.5">
      <c r="A6" s="4"/>
      <c r="B6" s="11" t="s">
        <v>66</v>
      </c>
      <c r="C6" s="11" t="s">
        <v>8</v>
      </c>
      <c r="D6" s="12" t="s">
        <v>67</v>
      </c>
      <c r="E6" s="12" t="s">
        <v>68</v>
      </c>
      <c r="F6" s="11" t="s">
        <v>69</v>
      </c>
      <c r="G6" s="11" t="s">
        <v>70</v>
      </c>
    </row>
    <row r="7" spans="1:7" ht="33" customHeight="1">
      <c r="A7" s="4"/>
      <c r="B7" s="37" t="s">
        <v>71</v>
      </c>
      <c r="C7" s="37"/>
      <c r="D7" s="37"/>
      <c r="E7" s="37"/>
      <c r="F7" s="37"/>
      <c r="G7" s="37"/>
    </row>
    <row r="8" spans="1:7" ht="20">
      <c r="A8" s="4"/>
      <c r="B8" s="6">
        <v>1</v>
      </c>
      <c r="C8" s="13" t="s">
        <v>72</v>
      </c>
      <c r="D8" s="7" t="s">
        <v>73</v>
      </c>
      <c r="E8" s="7">
        <v>1</v>
      </c>
      <c r="F8" s="14">
        <v>250000</v>
      </c>
      <c r="G8" s="15">
        <f>E8*F8</f>
        <v>250000</v>
      </c>
    </row>
    <row r="9" spans="1:7" ht="20">
      <c r="A9" s="4"/>
      <c r="B9" s="6">
        <v>2</v>
      </c>
      <c r="C9" s="13" t="s">
        <v>74</v>
      </c>
      <c r="D9" s="7" t="s">
        <v>73</v>
      </c>
      <c r="E9" s="7">
        <v>1</v>
      </c>
      <c r="F9" s="14">
        <v>25000</v>
      </c>
      <c r="G9" s="15">
        <f>E9*F9</f>
        <v>25000</v>
      </c>
    </row>
    <row r="10" spans="1:7" ht="20">
      <c r="A10" s="4"/>
      <c r="B10" s="6">
        <v>3</v>
      </c>
      <c r="C10" s="16" t="s">
        <v>75</v>
      </c>
      <c r="D10" s="5" t="s">
        <v>73</v>
      </c>
      <c r="E10" s="5">
        <v>12</v>
      </c>
      <c r="F10" s="17">
        <v>40000</v>
      </c>
      <c r="G10" s="15">
        <f>E10*F10</f>
        <v>480000</v>
      </c>
    </row>
    <row r="11" spans="1:7" ht="45" customHeight="1">
      <c r="A11" s="4"/>
      <c r="B11" s="6">
        <v>4</v>
      </c>
      <c r="C11" s="13" t="s">
        <v>76</v>
      </c>
      <c r="D11" s="7" t="s">
        <v>73</v>
      </c>
      <c r="E11" s="7">
        <v>1</v>
      </c>
      <c r="F11" s="14">
        <v>450000</v>
      </c>
      <c r="G11" s="15">
        <f t="shared" ref="G11:G18" si="0">E11*F11</f>
        <v>450000</v>
      </c>
    </row>
    <row r="12" spans="1:7" ht="20">
      <c r="A12" s="4"/>
      <c r="B12" s="6">
        <v>5</v>
      </c>
      <c r="C12" s="18" t="s">
        <v>77</v>
      </c>
      <c r="D12" s="8" t="s">
        <v>73</v>
      </c>
      <c r="E12" s="8">
        <v>5</v>
      </c>
      <c r="F12" s="14">
        <v>30000</v>
      </c>
      <c r="G12" s="15">
        <f t="shared" si="0"/>
        <v>150000</v>
      </c>
    </row>
    <row r="13" spans="1:7" ht="20">
      <c r="A13" s="4"/>
      <c r="B13" s="6">
        <v>6</v>
      </c>
      <c r="C13" s="13" t="s">
        <v>78</v>
      </c>
      <c r="D13" s="7" t="s">
        <v>79</v>
      </c>
      <c r="E13" s="7">
        <v>190</v>
      </c>
      <c r="F13" s="14">
        <v>85</v>
      </c>
      <c r="G13" s="15">
        <f t="shared" si="0"/>
        <v>16150</v>
      </c>
    </row>
    <row r="14" spans="1:7" ht="20">
      <c r="A14" s="4"/>
      <c r="B14" s="37" t="s">
        <v>80</v>
      </c>
      <c r="C14" s="37"/>
      <c r="D14" s="37"/>
      <c r="E14" s="37"/>
      <c r="F14" s="37"/>
      <c r="G14" s="37"/>
    </row>
    <row r="15" spans="1:7" ht="20">
      <c r="A15" s="4"/>
      <c r="B15" s="6">
        <v>7</v>
      </c>
      <c r="C15" s="18" t="s">
        <v>81</v>
      </c>
      <c r="D15" s="8" t="s">
        <v>73</v>
      </c>
      <c r="E15" s="8">
        <v>2</v>
      </c>
      <c r="F15" s="14">
        <v>120000</v>
      </c>
      <c r="G15" s="15">
        <f t="shared" si="0"/>
        <v>240000</v>
      </c>
    </row>
    <row r="16" spans="1:7" ht="20">
      <c r="A16" s="4"/>
      <c r="B16" s="37" t="s">
        <v>82</v>
      </c>
      <c r="C16" s="37"/>
      <c r="D16" s="37"/>
      <c r="E16" s="37"/>
      <c r="F16" s="37"/>
      <c r="G16" s="37"/>
    </row>
    <row r="17" spans="1:9" ht="20">
      <c r="A17" s="4"/>
      <c r="B17" s="6">
        <v>9</v>
      </c>
      <c r="C17" s="13" t="s">
        <v>83</v>
      </c>
      <c r="D17" s="5" t="s">
        <v>73</v>
      </c>
      <c r="E17" s="5">
        <v>1</v>
      </c>
      <c r="F17" s="14">
        <v>15000</v>
      </c>
      <c r="G17" s="15">
        <f t="shared" si="0"/>
        <v>15000</v>
      </c>
    </row>
    <row r="18" spans="1:9" ht="45" customHeight="1">
      <c r="A18" s="4"/>
      <c r="B18" s="6">
        <v>11</v>
      </c>
      <c r="C18" s="18" t="s">
        <v>84</v>
      </c>
      <c r="D18" s="8" t="s">
        <v>73</v>
      </c>
      <c r="E18" s="8">
        <v>1</v>
      </c>
      <c r="F18" s="14">
        <v>3000</v>
      </c>
      <c r="G18" s="15">
        <f t="shared" si="0"/>
        <v>3000</v>
      </c>
    </row>
    <row r="19" spans="1:9" ht="20">
      <c r="A19" s="4"/>
      <c r="B19" s="36" t="s">
        <v>85</v>
      </c>
      <c r="C19" s="36"/>
      <c r="D19" s="36"/>
      <c r="E19" s="36"/>
      <c r="F19" s="36"/>
      <c r="G19" s="19">
        <f>G8+G9+G10+G11+G12+G13+G15+G17+G18</f>
        <v>1629150</v>
      </c>
    </row>
    <row r="20" spans="1:9" ht="20">
      <c r="A20" s="4"/>
      <c r="B20" s="20"/>
      <c r="C20" s="20"/>
      <c r="D20" s="20"/>
      <c r="E20" s="20"/>
      <c r="F20" s="21"/>
      <c r="G20" s="22"/>
    </row>
    <row r="21" spans="1:9" ht="15.5">
      <c r="A21" s="4"/>
      <c r="B21" s="11" t="s">
        <v>66</v>
      </c>
      <c r="C21" s="11" t="s">
        <v>8</v>
      </c>
      <c r="D21" s="12" t="s">
        <v>67</v>
      </c>
      <c r="E21" s="12" t="s">
        <v>68</v>
      </c>
      <c r="F21" s="11" t="s">
        <v>69</v>
      </c>
      <c r="G21" s="11" t="s">
        <v>86</v>
      </c>
      <c r="H21" s="11" t="s">
        <v>87</v>
      </c>
      <c r="I21" s="11" t="s">
        <v>70</v>
      </c>
    </row>
    <row r="22" spans="1:9" ht="33" customHeight="1">
      <c r="A22" s="4"/>
      <c r="B22" s="37" t="s">
        <v>88</v>
      </c>
      <c r="C22" s="37"/>
      <c r="D22" s="37"/>
      <c r="E22" s="37"/>
      <c r="F22" s="37"/>
      <c r="G22" s="37"/>
      <c r="H22" s="37"/>
      <c r="I22" s="37"/>
    </row>
    <row r="23" spans="1:9" ht="20">
      <c r="A23" s="4"/>
      <c r="B23" s="6">
        <v>14</v>
      </c>
      <c r="C23" s="6" t="s">
        <v>89</v>
      </c>
      <c r="D23" s="6" t="s">
        <v>90</v>
      </c>
      <c r="E23" s="6">
        <v>1</v>
      </c>
      <c r="F23" s="23">
        <f>2633475-1015</f>
        <v>2632460</v>
      </c>
      <c r="G23" s="15">
        <v>2</v>
      </c>
      <c r="H23" s="24">
        <v>1</v>
      </c>
      <c r="I23" s="25">
        <f>F23*G23*H23</f>
        <v>5264920</v>
      </c>
    </row>
    <row r="24" spans="1:9" ht="20">
      <c r="A24" s="4"/>
      <c r="B24" s="38" t="s">
        <v>91</v>
      </c>
      <c r="C24" s="38"/>
      <c r="D24" s="38"/>
      <c r="E24" s="38"/>
      <c r="F24" s="38"/>
      <c r="G24" s="26"/>
      <c r="H24" s="27"/>
      <c r="I24" s="28">
        <f>+I23</f>
        <v>5264920</v>
      </c>
    </row>
    <row r="25" spans="1:9" ht="20">
      <c r="A25" s="4"/>
      <c r="B25" s="18"/>
      <c r="C25" s="5"/>
      <c r="D25" s="5"/>
      <c r="E25" s="5"/>
      <c r="F25" s="29"/>
      <c r="G25" s="26"/>
      <c r="H25" s="27"/>
      <c r="I25" s="27"/>
    </row>
    <row r="26" spans="1:9">
      <c r="B26" s="27"/>
      <c r="C26" s="27"/>
      <c r="D26" s="27"/>
      <c r="E26" s="27"/>
      <c r="F26" s="27"/>
      <c r="G26" s="27"/>
      <c r="H26" s="27"/>
      <c r="I26" s="27"/>
    </row>
    <row r="27" spans="1:9" ht="20">
      <c r="C27" s="30"/>
    </row>
    <row r="28" spans="1:9" ht="20">
      <c r="C28" s="39" t="s">
        <v>92</v>
      </c>
      <c r="D28" s="39"/>
      <c r="E28" s="39"/>
      <c r="F28" s="40">
        <f>I24+G19</f>
        <v>6894070</v>
      </c>
      <c r="G28" s="41"/>
      <c r="H28" s="42"/>
    </row>
    <row r="30" spans="1:9" ht="25" customHeight="1">
      <c r="C30" s="43" t="s">
        <v>93</v>
      </c>
      <c r="D30" s="43"/>
      <c r="E30" s="43"/>
      <c r="F30" s="31">
        <v>0</v>
      </c>
      <c r="G30" s="44">
        <f>F28</f>
        <v>6894070</v>
      </c>
      <c r="H30" s="45"/>
    </row>
    <row r="32" spans="1:9" ht="20">
      <c r="H32" s="35"/>
      <c r="I32" s="35"/>
    </row>
  </sheetData>
  <mergeCells count="14">
    <mergeCell ref="B16:G16"/>
    <mergeCell ref="A2:G2"/>
    <mergeCell ref="B4:F4"/>
    <mergeCell ref="B5:G5"/>
    <mergeCell ref="B7:G7"/>
    <mergeCell ref="B14:G14"/>
    <mergeCell ref="H32:I32"/>
    <mergeCell ref="B19:F19"/>
    <mergeCell ref="B22:I22"/>
    <mergeCell ref="B24:F24"/>
    <mergeCell ref="C28:E28"/>
    <mergeCell ref="F28:H28"/>
    <mergeCell ref="C30:E30"/>
    <mergeCell ref="G30:H30"/>
  </mergeCells>
  <pageMargins left="0.7" right="0.7" top="0.75" bottom="0.75" header="0.3" footer="0.3"/>
  <pageSetup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CAMILO TORRES</vt:lpstr>
      <vt:lpstr>PMT</vt:lpstr>
      <vt:lpstr>'CAMILO TORRES'!Área_de_impresión</vt:lpstr>
      <vt:lpstr>PMT!Área_de_impresión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Martinez</dc:creator>
  <cp:lastModifiedBy>Claudia Ines Marin Ballesteros</cp:lastModifiedBy>
  <cp:lastPrinted>2025-10-20T16:46:24Z</cp:lastPrinted>
  <dcterms:created xsi:type="dcterms:W3CDTF">2024-10-30T16:00:27Z</dcterms:created>
  <dcterms:modified xsi:type="dcterms:W3CDTF">2025-10-23T16:57:50Z</dcterms:modified>
</cp:coreProperties>
</file>