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alvaro_varela_aerocivil_gov_co/Documents/Documents/2025/Procesos 2025/ARANDA/Octava Versión/"/>
    </mc:Choice>
  </mc:AlternateContent>
  <xr:revisionPtr revIDLastSave="17" documentId="8_{27B1B40F-47BC-47D5-97E7-011348CB2548}" xr6:coauthVersionLast="47" xr6:coauthVersionMax="47" xr10:uidLastSave="{B2EEB546-49B6-4344-ACA2-AFF22F94CCB0}"/>
  <bookViews>
    <workbookView xWindow="-108" yWindow="-108" windowWidth="23256" windowHeight="12456" xr2:uid="{C5848BE8-907A-4699-880F-15C008342DC6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0" i="1" l="1"/>
  <c r="Y10" i="1" s="1"/>
  <c r="X11" i="1"/>
  <c r="Y11" i="1" s="1"/>
  <c r="X12" i="1"/>
  <c r="Y12" i="1" s="1"/>
  <c r="AF15" i="1"/>
  <c r="AE14" i="1"/>
  <c r="AF14" i="1" s="1"/>
  <c r="AE15" i="1"/>
  <c r="AE13" i="1"/>
  <c r="AE12" i="1"/>
  <c r="AE11" i="1"/>
  <c r="AE10" i="1"/>
  <c r="AE9" i="1"/>
  <c r="AE8" i="1"/>
  <c r="AC14" i="1"/>
  <c r="AD14" i="1" s="1"/>
  <c r="AC15" i="1"/>
  <c r="AD15" i="1" s="1"/>
  <c r="AC13" i="1"/>
  <c r="AC12" i="1"/>
  <c r="AC11" i="1"/>
  <c r="AC10" i="1"/>
  <c r="AC9" i="1"/>
  <c r="AC8" i="1"/>
  <c r="AB14" i="1"/>
  <c r="AA14" i="1"/>
  <c r="AA15" i="1"/>
  <c r="AB15" i="1" s="1"/>
  <c r="AA13" i="1"/>
  <c r="AA12" i="1"/>
  <c r="AA11" i="1"/>
  <c r="AA10" i="1"/>
  <c r="AA9" i="1"/>
  <c r="AA8" i="1"/>
  <c r="X15" i="1"/>
  <c r="X14" i="1"/>
  <c r="X13" i="1"/>
  <c r="X9" i="1"/>
  <c r="X8" i="1"/>
  <c r="W14" i="1"/>
  <c r="V14" i="1"/>
  <c r="Z14" i="1" s="1"/>
  <c r="V15" i="1"/>
  <c r="Y15" i="1" s="1"/>
  <c r="V13" i="1"/>
  <c r="V12" i="1"/>
  <c r="V11" i="1"/>
  <c r="V10" i="1"/>
  <c r="V9" i="1"/>
  <c r="V8" i="1"/>
  <c r="U14" i="1"/>
  <c r="U15" i="1"/>
  <c r="W15" i="1" l="1"/>
  <c r="Y14" i="1"/>
  <c r="Z15" i="1"/>
  <c r="S14" i="1"/>
  <c r="S15" i="1"/>
  <c r="Q14" i="1" l="1"/>
  <c r="Q15" i="1"/>
  <c r="O14" i="1" l="1"/>
  <c r="O15" i="1"/>
  <c r="AB9" i="1" l="1"/>
  <c r="AB10" i="1"/>
  <c r="AB11" i="1"/>
  <c r="AB12" i="1"/>
  <c r="AB13" i="1"/>
  <c r="AB8" i="1"/>
  <c r="AF9" i="1"/>
  <c r="AF10" i="1"/>
  <c r="AF12" i="1"/>
  <c r="AD9" i="1"/>
  <c r="AD10" i="1"/>
  <c r="AD12" i="1"/>
  <c r="W9" i="1"/>
  <c r="W10" i="1"/>
  <c r="W12" i="1"/>
  <c r="Q9" i="1"/>
  <c r="Q10" i="1"/>
  <c r="U9" i="1"/>
  <c r="U10" i="1"/>
  <c r="S9" i="1"/>
  <c r="S10" i="1"/>
  <c r="O9" i="1"/>
  <c r="O10" i="1"/>
  <c r="U12" i="1"/>
  <c r="S12" i="1"/>
  <c r="Q12" i="1"/>
  <c r="O12" i="1"/>
  <c r="AB16" i="1" l="1"/>
  <c r="Y8" i="1"/>
  <c r="AB17" i="1"/>
  <c r="AB18" i="1" s="1"/>
  <c r="Z8" i="1"/>
  <c r="Z13" i="1"/>
  <c r="Z11" i="1"/>
  <c r="Z10" i="1"/>
  <c r="Y13" i="1"/>
  <c r="Y9" i="1"/>
  <c r="Z12" i="1"/>
  <c r="Z9" i="1"/>
  <c r="W8" i="1"/>
  <c r="W13" i="1"/>
  <c r="W11" i="1"/>
  <c r="U13" i="1"/>
  <c r="U11" i="1"/>
  <c r="U8" i="1"/>
  <c r="U16" i="1" s="1"/>
  <c r="S11" i="1"/>
  <c r="S13" i="1"/>
  <c r="S8" i="1"/>
  <c r="S16" i="1" s="1"/>
  <c r="O8" i="1"/>
  <c r="O16" i="1" s="1"/>
  <c r="O11" i="1"/>
  <c r="O13" i="1"/>
  <c r="Q8" i="1"/>
  <c r="W16" i="1" l="1"/>
  <c r="U17" i="1"/>
  <c r="U18" i="1" s="1"/>
  <c r="AF11" i="1"/>
  <c r="AF13" i="1"/>
  <c r="AF8" i="1"/>
  <c r="AD11" i="1"/>
  <c r="AD13" i="1"/>
  <c r="AD8" i="1"/>
  <c r="AF16" i="1" l="1"/>
  <c r="AD16" i="1"/>
  <c r="Q11" i="1"/>
  <c r="Q13" i="1"/>
  <c r="Q16" i="1" l="1"/>
  <c r="AF17" i="1"/>
  <c r="AF18" i="1" s="1"/>
  <c r="AD17" i="1"/>
  <c r="AD18" i="1" s="1"/>
  <c r="S17" i="1"/>
  <c r="Q17" i="1"/>
  <c r="Q18" i="1" s="1"/>
  <c r="O17" i="1"/>
  <c r="O18" i="1" s="1"/>
  <c r="S18" i="1" l="1"/>
  <c r="W17" i="1" l="1"/>
  <c r="W1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</author>
  </authors>
  <commentList>
    <comment ref="B5" authorId="0" shapeId="0" xr:uid="{6ADA0350-0F3E-4C4B-B26B-E7F9951E9E8A}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DEBERIA APARECER    Y    CONSTRUCCIÒN   ?</t>
        </r>
      </text>
    </comment>
  </commentList>
</comments>
</file>

<file path=xl/sharedStrings.xml><?xml version="1.0" encoding="utf-8"?>
<sst xmlns="http://schemas.openxmlformats.org/spreadsheetml/2006/main" count="55" uniqueCount="36">
  <si>
    <t>FORMATO</t>
  </si>
  <si>
    <t>Principio de Procedencia: 3200.092</t>
  </si>
  <si>
    <t>ITEM</t>
  </si>
  <si>
    <t>DESCRIPCION</t>
  </si>
  <si>
    <t>UNIDAD</t>
  </si>
  <si>
    <t>CANTIDAD</t>
  </si>
  <si>
    <t>V. UNITARIO</t>
  </si>
  <si>
    <t>SUBTOTAL</t>
  </si>
  <si>
    <t>IVA 19%</t>
  </si>
  <si>
    <t>TOTAL PROYECTO</t>
  </si>
  <si>
    <t xml:space="preserve">V. PARCIAL </t>
  </si>
  <si>
    <t xml:space="preserve"> </t>
  </si>
  <si>
    <t>PROMEDIO</t>
  </si>
  <si>
    <t>MEDIA GEOMETRICA</t>
  </si>
  <si>
    <t>MEDIANA</t>
  </si>
  <si>
    <t>Unidad</t>
  </si>
  <si>
    <t>ESTUDIO DE MERCADO</t>
  </si>
  <si>
    <t>DESVIACION E</t>
  </si>
  <si>
    <t>V UNITARIO</t>
  </si>
  <si>
    <t>LIM INF</t>
  </si>
  <si>
    <t>LIM SUP</t>
  </si>
  <si>
    <t>PROM DEST</t>
  </si>
  <si>
    <t>PROM D EST PARCIAL</t>
  </si>
  <si>
    <t>VR UNITARIO</t>
  </si>
  <si>
    <t>BAG SAS</t>
  </si>
  <si>
    <t xml:space="preserve">HACHI SAS </t>
  </si>
  <si>
    <t xml:space="preserve">KGV SERVICIOS </t>
  </si>
  <si>
    <t xml:space="preserve">HEIMCORE SAS </t>
  </si>
  <si>
    <t>Soporte y actualizaciones de Aranda Service Management Suite (11 Practicas -CE, IM, IPM, IAM, KM, PM, SCM, SCOM, SD, SLM, SRM) - U. Concurrente - U. Concurrente - Incluido soporte por 1 año</t>
  </si>
  <si>
    <t>Soporte y actualizaciones de Aranda Service Management Suite (11 Practicas -CE, IM, IPM, IAM, KM, PM, SCM, SCOM, SD, SLM, SRM) - U. Nombrado - Incluido soporte por 1 año</t>
  </si>
  <si>
    <t>Soporte y actualizaciones de Aranda CMDB Enterprise - 4500 CI´s, 2 consolas (1 proceso ITIL - SACM) - Incluido soporte por 1 año</t>
  </si>
  <si>
    <t>Soporte y actualizaciones de  Aranda Asset Management (Inventory Plus +  Administración Remota + Metrix) - Incluido soporte por 1 año</t>
  </si>
  <si>
    <t>Soporte y actualizaciones de  la funcionalidad de monitoreo de disponibilidad de dispositivos (PRTG Network Monitor) para 10000 sensores  - Incluido soporte por 1 año</t>
  </si>
  <si>
    <t>Soporte y actualizaciones de Aranda Service Management Suite (11 Practicas -CE, IM, IPM, IAM, KM, PM, SCM, SCOM, SD, SLM, SRM) - U. Concurrente - Incluido soporte por 1 año</t>
  </si>
  <si>
    <t>Aranda Security Compliance - Incluido soporte hasta por 1 año</t>
  </si>
  <si>
    <t xml:space="preserve">Administración y soporte especializado GOLD en la Suite de Aranda y herramientas asociadas, por el periodo de 1 año a partir de la suscripcion del acta de inicio del contrato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</si>
</sst>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[$$-240A]\ #,##0;\-[$$-240A]\ #,##0"/>
    <numFmt numFmtId="166" formatCode="_-* #,##0.00\ &quot;Pts&quot;_-;\-* #,##0.00\ &quot;Pts&quot;_-;_-* &quot;-&quot;??\ &quot;Pts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</font>
    <font>
      <sz val="8"/>
      <name val="Calibri"/>
      <family val="2"/>
      <scheme val="minor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166" fontId="1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right" vertical="center" wrapText="1"/>
    </xf>
    <xf numFmtId="164" fontId="5" fillId="0" borderId="0" xfId="1" applyNumberFormat="1" applyFont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164" fontId="5" fillId="4" borderId="1" xfId="2" applyNumberFormat="1" applyFont="1" applyFill="1" applyBorder="1" applyAlignment="1" applyProtection="1">
      <alignment horizontal="center" vertical="center" wrapText="1"/>
    </xf>
    <xf numFmtId="164" fontId="5" fillId="4" borderId="1" xfId="2" applyNumberFormat="1" applyFont="1" applyFill="1" applyBorder="1" applyAlignment="1" applyProtection="1">
      <alignment vertical="center" wrapText="1"/>
    </xf>
    <xf numFmtId="164" fontId="5" fillId="5" borderId="1" xfId="2" applyNumberFormat="1" applyFont="1" applyFill="1" applyBorder="1" applyAlignment="1" applyProtection="1">
      <alignment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164" fontId="13" fillId="4" borderId="1" xfId="2" applyNumberFormat="1" applyFont="1" applyFill="1" applyBorder="1" applyAlignment="1" applyProtection="1">
      <alignment vertical="center" wrapText="1"/>
    </xf>
    <xf numFmtId="164" fontId="13" fillId="5" borderId="1" xfId="2" applyNumberFormat="1" applyFont="1" applyFill="1" applyBorder="1" applyAlignment="1" applyProtection="1">
      <alignment vertical="center" wrapText="1"/>
    </xf>
    <xf numFmtId="164" fontId="5" fillId="5" borderId="1" xfId="2" applyNumberFormat="1" applyFont="1" applyFill="1" applyBorder="1" applyAlignment="1" applyProtection="1">
      <alignment horizontal="center" vertical="center" wrapText="1"/>
    </xf>
    <xf numFmtId="165" fontId="4" fillId="5" borderId="1" xfId="2" applyNumberFormat="1" applyFont="1" applyFill="1" applyBorder="1" applyAlignment="1" applyProtection="1">
      <alignment vertical="center" wrapText="1"/>
    </xf>
    <xf numFmtId="164" fontId="13" fillId="5" borderId="1" xfId="2" applyNumberFormat="1" applyFont="1" applyFill="1" applyBorder="1" applyAlignment="1" applyProtection="1">
      <alignment horizontal="center" vertical="center" wrapText="1"/>
    </xf>
    <xf numFmtId="164" fontId="14" fillId="6" borderId="1" xfId="2" applyNumberFormat="1" applyFont="1" applyFill="1" applyBorder="1" applyAlignment="1" applyProtection="1">
      <alignment vertical="center" wrapText="1"/>
    </xf>
    <xf numFmtId="164" fontId="15" fillId="6" borderId="1" xfId="2" applyNumberFormat="1" applyFont="1" applyFill="1" applyBorder="1" applyAlignment="1" applyProtection="1">
      <alignment horizontal="center" vertical="center" wrapText="1"/>
    </xf>
    <xf numFmtId="164" fontId="14" fillId="7" borderId="1" xfId="2" applyNumberFormat="1" applyFont="1" applyFill="1" applyBorder="1" applyAlignment="1" applyProtection="1">
      <alignment vertical="center" wrapText="1"/>
    </xf>
    <xf numFmtId="164" fontId="15" fillId="7" borderId="1" xfId="2" applyNumberFormat="1" applyFont="1" applyFill="1" applyBorder="1" applyAlignment="1" applyProtection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0" fontId="10" fillId="4" borderId="3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4" borderId="1" xfId="1" applyFont="1" applyFill="1" applyBorder="1" applyAlignment="1">
      <alignment horizontal="left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9" fillId="4" borderId="9" xfId="0" applyFont="1" applyFill="1" applyBorder="1" applyAlignment="1">
      <alignment horizontal="left" vertical="center" wrapText="1"/>
    </xf>
    <xf numFmtId="0" fontId="3" fillId="6" borderId="4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49" fontId="6" fillId="4" borderId="0" xfId="1" applyNumberFormat="1" applyFont="1" applyFill="1" applyAlignment="1">
      <alignment horizontal="right" vertical="center" wrapText="1"/>
    </xf>
    <xf numFmtId="49" fontId="3" fillId="4" borderId="1" xfId="1" applyNumberFormat="1" applyFont="1" applyFill="1" applyBorder="1" applyAlignment="1">
      <alignment horizontal="right" vertical="center" wrapText="1"/>
    </xf>
    <xf numFmtId="0" fontId="9" fillId="4" borderId="12" xfId="0" applyFont="1" applyFill="1" applyBorder="1" applyAlignment="1">
      <alignment horizontal="left" vertical="center" wrapText="1"/>
    </xf>
    <xf numFmtId="0" fontId="9" fillId="4" borderId="13" xfId="0" applyFont="1" applyFill="1" applyBorder="1" applyAlignment="1">
      <alignment horizontal="left" vertical="center" wrapText="1"/>
    </xf>
    <xf numFmtId="0" fontId="9" fillId="4" borderId="14" xfId="0" applyFont="1" applyFill="1" applyBorder="1" applyAlignment="1">
      <alignment horizontal="left" vertical="center" wrapText="1"/>
    </xf>
  </cellXfs>
  <cellStyles count="6">
    <cellStyle name="Millares 2" xfId="3" xr:uid="{56ACCCD6-0DC3-4F36-80EE-CF40550E9ED2}"/>
    <cellStyle name="Moneda" xfId="2" builtinId="4"/>
    <cellStyle name="Moneda 2" xfId="5" xr:uid="{EBC785B5-50C7-4FC8-B211-A6C96BC234F7}"/>
    <cellStyle name="Normal" xfId="0" builtinId="0"/>
    <cellStyle name="Normal 13" xfId="1" xr:uid="{BE3931D3-7BBF-46E3-93B5-775CB0244CCB}"/>
    <cellStyle name="Normal 2" xfId="4" xr:uid="{644FDDCD-6383-4448-B625-867104AA66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1</xdr:row>
      <xdr:rowOff>38100</xdr:rowOff>
    </xdr:from>
    <xdr:to>
      <xdr:col>3</xdr:col>
      <xdr:colOff>133349</xdr:colOff>
      <xdr:row>2</xdr:row>
      <xdr:rowOff>390525</xdr:rowOff>
    </xdr:to>
    <xdr:pic>
      <xdr:nvPicPr>
        <xdr:cNvPr id="2" name="Imagen 1" descr="logo digital">
          <a:extLst>
            <a:ext uri="{FF2B5EF4-FFF2-40B4-BE49-F238E27FC236}">
              <a16:creationId xmlns:a16="http://schemas.microsoft.com/office/drawing/2014/main" id="{68D548F5-E51A-405E-8B53-75C9395D0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" y="238125"/>
          <a:ext cx="6953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DE64E-4495-4200-B890-8F09FF1C6761}">
  <sheetPr>
    <tabColor theme="4"/>
  </sheetPr>
  <dimension ref="B2:AF22"/>
  <sheetViews>
    <sheetView showGridLines="0" tabSelected="1" topLeftCell="A3" zoomScale="55" zoomScaleNormal="55" workbookViewId="0">
      <pane xSplit="1" topLeftCell="M1" activePane="topRight" state="frozen"/>
      <selection pane="topRight" activeCell="AG19" sqref="AG19"/>
    </sheetView>
  </sheetViews>
  <sheetFormatPr baseColWidth="10" defaultColWidth="11.44140625" defaultRowHeight="15" x14ac:dyDescent="0.3"/>
  <cols>
    <col min="1" max="1" width="3.6640625" style="1" customWidth="1"/>
    <col min="2" max="2" width="9.33203125" style="1" customWidth="1"/>
    <col min="3" max="3" width="8.6640625" style="1" customWidth="1"/>
    <col min="4" max="4" width="8.88671875" style="1" customWidth="1"/>
    <col min="5" max="5" width="23.109375" style="1" customWidth="1"/>
    <col min="6" max="6" width="8.5546875" style="1" bestFit="1" customWidth="1"/>
    <col min="7" max="8" width="8.5546875" style="1" customWidth="1"/>
    <col min="9" max="9" width="5.88671875" style="1" customWidth="1"/>
    <col min="10" max="10" width="8" style="1" customWidth="1"/>
    <col min="11" max="11" width="2.88671875" style="1" customWidth="1"/>
    <col min="12" max="12" width="5.44140625" style="1" customWidth="1"/>
    <col min="13" max="13" width="7.5546875" style="1" customWidth="1"/>
    <col min="14" max="14" width="19.6640625" style="1" customWidth="1"/>
    <col min="15" max="15" width="18.44140625" style="3" bestFit="1" customWidth="1"/>
    <col min="16" max="16" width="16.44140625" style="1" bestFit="1" customWidth="1"/>
    <col min="17" max="17" width="18.44140625" style="1" bestFit="1" customWidth="1"/>
    <col min="18" max="18" width="16.44140625" style="1" bestFit="1" customWidth="1"/>
    <col min="19" max="19" width="18.44140625" style="1" bestFit="1" customWidth="1"/>
    <col min="20" max="20" width="16.44140625" style="1" bestFit="1" customWidth="1"/>
    <col min="21" max="21" width="18.44140625" style="1" bestFit="1" customWidth="1"/>
    <col min="22" max="22" width="16.44140625" style="1" bestFit="1" customWidth="1"/>
    <col min="23" max="23" width="18.44140625" style="1" bestFit="1" customWidth="1"/>
    <col min="24" max="26" width="18.44140625" style="1" customWidth="1"/>
    <col min="27" max="27" width="22.109375" style="1" customWidth="1"/>
    <col min="28" max="28" width="22.21875" style="1" customWidth="1"/>
    <col min="29" max="29" width="16.44140625" style="1" bestFit="1" customWidth="1"/>
    <col min="30" max="30" width="18.44140625" style="1" bestFit="1" customWidth="1"/>
    <col min="31" max="31" width="18.6640625" style="1" customWidth="1"/>
    <col min="32" max="32" width="18.44140625" style="1" bestFit="1" customWidth="1"/>
    <col min="33" max="33" width="15.33203125" style="1" bestFit="1" customWidth="1"/>
    <col min="34" max="34" width="18.33203125" style="1" bestFit="1" customWidth="1"/>
    <col min="35" max="16384" width="11.44140625" style="1"/>
  </cols>
  <sheetData>
    <row r="2" spans="2:32" ht="15.6" x14ac:dyDescent="0.3">
      <c r="B2" s="37"/>
      <c r="C2" s="37"/>
      <c r="D2" s="37"/>
      <c r="E2" s="38" t="s">
        <v>0</v>
      </c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32" ht="33" customHeight="1" x14ac:dyDescent="0.3">
      <c r="B3" s="37"/>
      <c r="C3" s="37"/>
      <c r="D3" s="37"/>
      <c r="E3" s="37" t="s">
        <v>16</v>
      </c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2:32" ht="44.25" customHeight="1" x14ac:dyDescent="0.3">
      <c r="B4" s="37" t="s">
        <v>1</v>
      </c>
      <c r="C4" s="37"/>
      <c r="D4" s="37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2:32" ht="40.5" customHeight="1" x14ac:dyDescent="0.3"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</row>
    <row r="6" spans="2:32" ht="27" customHeight="1" x14ac:dyDescent="0.3"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 t="s">
        <v>24</v>
      </c>
      <c r="O6" s="29"/>
      <c r="P6" s="29" t="s">
        <v>25</v>
      </c>
      <c r="Q6" s="29"/>
      <c r="R6" s="29" t="s">
        <v>26</v>
      </c>
      <c r="S6" s="29"/>
      <c r="T6" s="29" t="s">
        <v>27</v>
      </c>
      <c r="U6" s="29"/>
      <c r="V6" s="29" t="s">
        <v>12</v>
      </c>
      <c r="W6" s="29"/>
      <c r="X6" s="11" t="s">
        <v>17</v>
      </c>
      <c r="Y6" s="21" t="s">
        <v>19</v>
      </c>
      <c r="Z6" s="10" t="s">
        <v>20</v>
      </c>
      <c r="AA6" s="10" t="s">
        <v>21</v>
      </c>
      <c r="AB6" s="35" t="s">
        <v>22</v>
      </c>
      <c r="AC6" s="29" t="s">
        <v>13</v>
      </c>
      <c r="AD6" s="29"/>
      <c r="AE6" s="29" t="s">
        <v>14</v>
      </c>
      <c r="AF6" s="29"/>
    </row>
    <row r="7" spans="2:32" s="2" customFormat="1" ht="21.75" customHeight="1" thickBot="1" x14ac:dyDescent="0.35">
      <c r="B7" s="6" t="s">
        <v>2</v>
      </c>
      <c r="C7" s="30" t="s">
        <v>3</v>
      </c>
      <c r="D7" s="30"/>
      <c r="E7" s="30"/>
      <c r="F7" s="30"/>
      <c r="G7" s="30"/>
      <c r="H7" s="30"/>
      <c r="I7" s="30"/>
      <c r="J7" s="31" t="s">
        <v>4</v>
      </c>
      <c r="K7" s="31"/>
      <c r="L7" s="31" t="s">
        <v>5</v>
      </c>
      <c r="M7" s="31"/>
      <c r="N7" s="6" t="s">
        <v>6</v>
      </c>
      <c r="O7" s="6" t="s">
        <v>10</v>
      </c>
      <c r="P7" s="6" t="s">
        <v>6</v>
      </c>
      <c r="Q7" s="6" t="s">
        <v>10</v>
      </c>
      <c r="R7" s="6" t="s">
        <v>6</v>
      </c>
      <c r="S7" s="6" t="s">
        <v>10</v>
      </c>
      <c r="T7" s="6" t="s">
        <v>6</v>
      </c>
      <c r="U7" s="6" t="s">
        <v>10</v>
      </c>
      <c r="V7" s="6" t="s">
        <v>6</v>
      </c>
      <c r="W7" s="6" t="s">
        <v>10</v>
      </c>
      <c r="X7" s="6" t="s">
        <v>18</v>
      </c>
      <c r="Y7" s="6"/>
      <c r="Z7" s="6"/>
      <c r="AA7" s="6" t="s">
        <v>23</v>
      </c>
      <c r="AB7" s="36"/>
      <c r="AC7" s="6" t="s">
        <v>6</v>
      </c>
      <c r="AD7" s="6" t="s">
        <v>10</v>
      </c>
      <c r="AE7" s="6" t="s">
        <v>6</v>
      </c>
      <c r="AF7" s="6" t="s">
        <v>10</v>
      </c>
    </row>
    <row r="8" spans="2:32" s="2" customFormat="1" ht="60.6" customHeight="1" x14ac:dyDescent="0.3">
      <c r="B8" s="5">
        <v>1</v>
      </c>
      <c r="C8" s="32" t="s">
        <v>28</v>
      </c>
      <c r="D8" s="33"/>
      <c r="E8" s="33"/>
      <c r="F8" s="33"/>
      <c r="G8" s="33"/>
      <c r="H8" s="33"/>
      <c r="I8" s="34"/>
      <c r="J8" s="22" t="s">
        <v>15</v>
      </c>
      <c r="K8" s="22"/>
      <c r="L8" s="25">
        <v>8</v>
      </c>
      <c r="M8" s="25"/>
      <c r="N8" s="13">
        <v>11732421</v>
      </c>
      <c r="O8" s="8">
        <f>+L8*N8</f>
        <v>93859368</v>
      </c>
      <c r="P8" s="9">
        <v>11344573</v>
      </c>
      <c r="Q8" s="8">
        <f>+L8*P8</f>
        <v>90756584</v>
      </c>
      <c r="R8" s="9">
        <v>11441535</v>
      </c>
      <c r="S8" s="8">
        <f>+L8*R8</f>
        <v>91532280</v>
      </c>
      <c r="T8" s="9">
        <v>10956724</v>
      </c>
      <c r="U8" s="8">
        <f>L8*T8</f>
        <v>87653792</v>
      </c>
      <c r="V8" s="8">
        <f t="shared" ref="V8:V15" si="0">+AVERAGE(N8,P8,R8,T8)</f>
        <v>11368813.25</v>
      </c>
      <c r="W8" s="8">
        <f t="shared" ref="W8:W15" si="1">+L8*V8</f>
        <v>90950506</v>
      </c>
      <c r="X8" s="8">
        <f>STDEV(N8,P8,R8,T8)</f>
        <v>320366.55488609191</v>
      </c>
      <c r="Y8" s="12">
        <f>V8-X8</f>
        <v>11048446.695113908</v>
      </c>
      <c r="Z8" s="12">
        <f>V8+X8</f>
        <v>11689179.804886092</v>
      </c>
      <c r="AA8" s="19">
        <f t="shared" ref="AA8:AA15" si="2">AVERAGE(N8,P8,R8,T8)</f>
        <v>11368813.25</v>
      </c>
      <c r="AB8" s="17">
        <f t="shared" ref="AB8:AB15" si="3">AA8*L8</f>
        <v>90950506</v>
      </c>
      <c r="AC8" s="8">
        <f t="shared" ref="AC8:AC15" si="4">+GEOMEAN(N8,P8,R8,T8)</f>
        <v>11365412.479737593</v>
      </c>
      <c r="AD8" s="8">
        <f t="shared" ref="AD8:AD15" si="5">+L8*AC8</f>
        <v>90923299.837900743</v>
      </c>
      <c r="AE8" s="20">
        <f t="shared" ref="AE8:AE15" si="6">+MEDIAN(N8,P8,R8,T8)</f>
        <v>11393054</v>
      </c>
      <c r="AF8" s="8">
        <f t="shared" ref="AF8:AF15" si="7">+L8*AE8</f>
        <v>91144432</v>
      </c>
    </row>
    <row r="9" spans="2:32" s="2" customFormat="1" ht="51" customHeight="1" x14ac:dyDescent="0.3">
      <c r="B9" s="5">
        <v>2</v>
      </c>
      <c r="C9" s="26" t="s">
        <v>29</v>
      </c>
      <c r="D9" s="27"/>
      <c r="E9" s="27"/>
      <c r="F9" s="27"/>
      <c r="G9" s="27"/>
      <c r="H9" s="27"/>
      <c r="I9" s="28"/>
      <c r="J9" s="22" t="s">
        <v>15</v>
      </c>
      <c r="K9" s="22"/>
      <c r="L9" s="25">
        <v>9</v>
      </c>
      <c r="M9" s="25"/>
      <c r="N9" s="13">
        <v>9499004</v>
      </c>
      <c r="O9" s="8">
        <f t="shared" ref="O9:O10" si="8">+L9*N9</f>
        <v>85491036</v>
      </c>
      <c r="P9" s="9">
        <v>9419846</v>
      </c>
      <c r="Q9" s="8">
        <f t="shared" ref="Q9:Q10" si="9">+L9*P9</f>
        <v>84778614</v>
      </c>
      <c r="R9" s="13">
        <v>9261529</v>
      </c>
      <c r="S9" s="8">
        <f t="shared" ref="S9:S10" si="10">+L9*R9</f>
        <v>83353761</v>
      </c>
      <c r="T9" s="9">
        <v>8944895</v>
      </c>
      <c r="U9" s="8">
        <f t="shared" ref="U9:U10" si="11">L9*T9</f>
        <v>80504055</v>
      </c>
      <c r="V9" s="8">
        <f t="shared" si="0"/>
        <v>9281318.5</v>
      </c>
      <c r="W9" s="8">
        <f t="shared" si="1"/>
        <v>83531866.5</v>
      </c>
      <c r="X9" s="8">
        <f>STDEV(N9,P9,R9,T9)</f>
        <v>245050.49876096967</v>
      </c>
      <c r="Y9" s="12">
        <f t="shared" ref="Y9:Y15" si="12">V9-X9</f>
        <v>9036268.0012390297</v>
      </c>
      <c r="Z9" s="12">
        <f t="shared" ref="Z9:Z15" si="13">V9+X9</f>
        <v>9526368.9987609703</v>
      </c>
      <c r="AA9" s="19">
        <f t="shared" si="2"/>
        <v>9281318.5</v>
      </c>
      <c r="AB9" s="17">
        <f t="shared" si="3"/>
        <v>83531866.5</v>
      </c>
      <c r="AC9" s="8">
        <f t="shared" si="4"/>
        <v>9278867.0655639898</v>
      </c>
      <c r="AD9" s="8">
        <f t="shared" si="5"/>
        <v>83509803.59007591</v>
      </c>
      <c r="AE9" s="20">
        <f t="shared" si="6"/>
        <v>9340687.5</v>
      </c>
      <c r="AF9" s="8">
        <f t="shared" si="7"/>
        <v>84066187.5</v>
      </c>
    </row>
    <row r="10" spans="2:32" s="2" customFormat="1" ht="47.4" customHeight="1" x14ac:dyDescent="0.3">
      <c r="B10" s="5">
        <v>3</v>
      </c>
      <c r="C10" s="26" t="s">
        <v>30</v>
      </c>
      <c r="D10" s="27"/>
      <c r="E10" s="27"/>
      <c r="F10" s="27"/>
      <c r="G10" s="27"/>
      <c r="H10" s="27"/>
      <c r="I10" s="28"/>
      <c r="J10" s="22" t="s">
        <v>15</v>
      </c>
      <c r="K10" s="22"/>
      <c r="L10" s="25">
        <v>1</v>
      </c>
      <c r="M10" s="25"/>
      <c r="N10" s="9">
        <v>35837213</v>
      </c>
      <c r="O10" s="8">
        <f t="shared" si="8"/>
        <v>35837213</v>
      </c>
      <c r="P10" s="9">
        <v>34652512</v>
      </c>
      <c r="Q10" s="8">
        <f t="shared" si="9"/>
        <v>34652512</v>
      </c>
      <c r="R10" s="9">
        <v>34356337</v>
      </c>
      <c r="S10" s="8">
        <f t="shared" si="10"/>
        <v>34356337</v>
      </c>
      <c r="T10" s="9">
        <v>33467811</v>
      </c>
      <c r="U10" s="8">
        <f t="shared" si="11"/>
        <v>33467811</v>
      </c>
      <c r="V10" s="8">
        <f t="shared" si="0"/>
        <v>34578468.25</v>
      </c>
      <c r="W10" s="8">
        <f t="shared" si="1"/>
        <v>34578468.25</v>
      </c>
      <c r="X10" s="8">
        <f t="shared" ref="X10:X12" si="14">STDEV(N10,P10,R10,T10)</f>
        <v>978574.2420771746</v>
      </c>
      <c r="Y10" s="12">
        <f>V10-X10</f>
        <v>33599894.007922828</v>
      </c>
      <c r="Z10" s="12">
        <f t="shared" si="13"/>
        <v>35557042.492077172</v>
      </c>
      <c r="AA10" s="19">
        <f t="shared" si="2"/>
        <v>34578468.25</v>
      </c>
      <c r="AB10" s="17">
        <f t="shared" si="3"/>
        <v>34578468.25</v>
      </c>
      <c r="AC10" s="8">
        <f t="shared" si="4"/>
        <v>34568121.36703036</v>
      </c>
      <c r="AD10" s="8">
        <f t="shared" si="5"/>
        <v>34568121.36703036</v>
      </c>
      <c r="AE10" s="20">
        <f t="shared" si="6"/>
        <v>34504424.5</v>
      </c>
      <c r="AF10" s="8">
        <f t="shared" si="7"/>
        <v>34504424.5</v>
      </c>
    </row>
    <row r="11" spans="2:32" s="2" customFormat="1" ht="48.6" customHeight="1" x14ac:dyDescent="0.3">
      <c r="B11" s="5">
        <v>4</v>
      </c>
      <c r="C11" s="26" t="s">
        <v>31</v>
      </c>
      <c r="D11" s="27"/>
      <c r="E11" s="27"/>
      <c r="F11" s="27"/>
      <c r="G11" s="27"/>
      <c r="H11" s="27"/>
      <c r="I11" s="28"/>
      <c r="J11" s="22" t="s">
        <v>15</v>
      </c>
      <c r="K11" s="22"/>
      <c r="L11" s="25">
        <v>4500</v>
      </c>
      <c r="M11" s="25"/>
      <c r="N11" s="14">
        <v>122595</v>
      </c>
      <c r="O11" s="7">
        <f t="shared" ref="O11:O15" si="15">+L11*N11</f>
        <v>551677500</v>
      </c>
      <c r="P11" s="14">
        <v>118575</v>
      </c>
      <c r="Q11" s="7">
        <f t="shared" ref="Q11:Q15" si="16">+L11*P11</f>
        <v>533587500</v>
      </c>
      <c r="R11" s="15">
        <v>118575</v>
      </c>
      <c r="S11" s="7">
        <f>+L11*R11</f>
        <v>533587500</v>
      </c>
      <c r="T11" s="14">
        <v>113511</v>
      </c>
      <c r="U11" s="7">
        <f>L11*T11</f>
        <v>510799500</v>
      </c>
      <c r="V11" s="8">
        <f t="shared" si="0"/>
        <v>118314</v>
      </c>
      <c r="W11" s="7">
        <f t="shared" si="1"/>
        <v>532413000</v>
      </c>
      <c r="X11" s="8">
        <f t="shared" si="14"/>
        <v>3720.7531495652865</v>
      </c>
      <c r="Y11" s="12">
        <f t="shared" si="12"/>
        <v>114593.24685043472</v>
      </c>
      <c r="Z11" s="12">
        <f t="shared" si="13"/>
        <v>122034.75314956528</v>
      </c>
      <c r="AA11" s="19">
        <f t="shared" si="2"/>
        <v>118314</v>
      </c>
      <c r="AB11" s="17">
        <f t="shared" si="3"/>
        <v>532413000</v>
      </c>
      <c r="AC11" s="8">
        <f t="shared" si="4"/>
        <v>118269.90380620873</v>
      </c>
      <c r="AD11" s="7">
        <f t="shared" si="5"/>
        <v>532214567.12793928</v>
      </c>
      <c r="AE11" s="20">
        <f t="shared" si="6"/>
        <v>118575</v>
      </c>
      <c r="AF11" s="7">
        <f t="shared" si="7"/>
        <v>533587500</v>
      </c>
    </row>
    <row r="12" spans="2:32" s="2" customFormat="1" ht="48" customHeight="1" x14ac:dyDescent="0.3">
      <c r="B12" s="5">
        <v>5</v>
      </c>
      <c r="C12" s="26" t="s">
        <v>32</v>
      </c>
      <c r="D12" s="27"/>
      <c r="E12" s="27"/>
      <c r="F12" s="27"/>
      <c r="G12" s="27"/>
      <c r="H12" s="27"/>
      <c r="I12" s="28"/>
      <c r="J12" s="22" t="s">
        <v>15</v>
      </c>
      <c r="K12" s="22"/>
      <c r="L12" s="23">
        <v>1</v>
      </c>
      <c r="M12" s="24"/>
      <c r="N12" s="14">
        <v>150648070</v>
      </c>
      <c r="O12" s="7">
        <f>+L12*N12</f>
        <v>150648070</v>
      </c>
      <c r="P12" s="16">
        <v>145667968</v>
      </c>
      <c r="Q12" s="7">
        <f>+L12*P12</f>
        <v>145667968</v>
      </c>
      <c r="R12" s="15">
        <v>144422943</v>
      </c>
      <c r="S12" s="7">
        <f>+L12*R12</f>
        <v>144422943</v>
      </c>
      <c r="T12" s="14">
        <v>140687867</v>
      </c>
      <c r="U12" s="7">
        <f>L12*T12</f>
        <v>140687867</v>
      </c>
      <c r="V12" s="8">
        <f t="shared" si="0"/>
        <v>145356712</v>
      </c>
      <c r="W12" s="7">
        <f t="shared" si="1"/>
        <v>145356712</v>
      </c>
      <c r="X12" s="8">
        <f t="shared" si="14"/>
        <v>4113611.0641416581</v>
      </c>
      <c r="Y12" s="12">
        <f t="shared" si="12"/>
        <v>141243100.93585834</v>
      </c>
      <c r="Z12" s="12">
        <f t="shared" si="13"/>
        <v>149470323.06414166</v>
      </c>
      <c r="AA12" s="19">
        <f t="shared" si="2"/>
        <v>145356712</v>
      </c>
      <c r="AB12" s="17">
        <f t="shared" si="3"/>
        <v>145356712</v>
      </c>
      <c r="AC12" s="8">
        <f t="shared" si="4"/>
        <v>145313217.02462018</v>
      </c>
      <c r="AD12" s="7">
        <f t="shared" si="5"/>
        <v>145313217.02462018</v>
      </c>
      <c r="AE12" s="20">
        <f t="shared" si="6"/>
        <v>145045455.5</v>
      </c>
      <c r="AF12" s="7">
        <f t="shared" si="7"/>
        <v>145045455.5</v>
      </c>
    </row>
    <row r="13" spans="2:32" s="2" customFormat="1" ht="60.75" customHeight="1" x14ac:dyDescent="0.3">
      <c r="B13" s="5">
        <v>6</v>
      </c>
      <c r="C13" s="26" t="s">
        <v>33</v>
      </c>
      <c r="D13" s="27"/>
      <c r="E13" s="27"/>
      <c r="F13" s="27"/>
      <c r="G13" s="27"/>
      <c r="H13" s="27"/>
      <c r="I13" s="28"/>
      <c r="J13" s="22" t="s">
        <v>15</v>
      </c>
      <c r="K13" s="22"/>
      <c r="L13" s="25">
        <v>24</v>
      </c>
      <c r="M13" s="25"/>
      <c r="N13" s="14">
        <v>7886256</v>
      </c>
      <c r="O13" s="7">
        <f t="shared" si="15"/>
        <v>189270144</v>
      </c>
      <c r="P13" s="14">
        <v>7627690</v>
      </c>
      <c r="Q13" s="7">
        <f t="shared" si="16"/>
        <v>183064560</v>
      </c>
      <c r="R13" s="15">
        <v>7498407</v>
      </c>
      <c r="S13" s="7">
        <f t="shared" ref="S13:S15" si="17">+L13*R13</f>
        <v>179961768</v>
      </c>
      <c r="T13" s="14">
        <v>7304483</v>
      </c>
      <c r="U13" s="7">
        <f>L13*T13</f>
        <v>175307592</v>
      </c>
      <c r="V13" s="8">
        <f t="shared" si="0"/>
        <v>7579209</v>
      </c>
      <c r="W13" s="7">
        <f t="shared" si="1"/>
        <v>181901016</v>
      </c>
      <c r="X13" s="8">
        <f>STDEV(N13,P13,R13,T13)</f>
        <v>244016.12368174907</v>
      </c>
      <c r="Y13" s="12">
        <f t="shared" si="12"/>
        <v>7335192.8763182508</v>
      </c>
      <c r="Z13" s="12">
        <f t="shared" si="13"/>
        <v>7823225.1236817492</v>
      </c>
      <c r="AA13" s="19">
        <f t="shared" si="2"/>
        <v>7579209</v>
      </c>
      <c r="AB13" s="17">
        <f t="shared" si="3"/>
        <v>181901016</v>
      </c>
      <c r="AC13" s="8">
        <f t="shared" si="4"/>
        <v>7576272.7189132487</v>
      </c>
      <c r="AD13" s="7">
        <f t="shared" si="5"/>
        <v>181830545.25391796</v>
      </c>
      <c r="AE13" s="20">
        <f t="shared" si="6"/>
        <v>7563048.5</v>
      </c>
      <c r="AF13" s="7">
        <f t="shared" si="7"/>
        <v>181513164</v>
      </c>
    </row>
    <row r="14" spans="2:32" s="2" customFormat="1" ht="29.4" customHeight="1" x14ac:dyDescent="0.3">
      <c r="B14" s="5">
        <v>7</v>
      </c>
      <c r="C14" s="26" t="s">
        <v>34</v>
      </c>
      <c r="D14" s="27"/>
      <c r="E14" s="27"/>
      <c r="F14" s="27"/>
      <c r="G14" s="27"/>
      <c r="H14" s="27"/>
      <c r="I14" s="28"/>
      <c r="J14" s="22" t="s">
        <v>15</v>
      </c>
      <c r="K14" s="22"/>
      <c r="L14" s="23">
        <v>3000</v>
      </c>
      <c r="M14" s="24"/>
      <c r="N14" s="14">
        <v>31483</v>
      </c>
      <c r="O14" s="7">
        <f t="shared" si="15"/>
        <v>94449000</v>
      </c>
      <c r="P14" s="14">
        <v>31221</v>
      </c>
      <c r="Q14" s="7">
        <f t="shared" si="16"/>
        <v>93663000</v>
      </c>
      <c r="R14" s="15">
        <v>30696</v>
      </c>
      <c r="S14" s="7">
        <f t="shared" si="17"/>
        <v>92088000</v>
      </c>
      <c r="T14" s="14">
        <v>29647</v>
      </c>
      <c r="U14" s="7">
        <f t="shared" ref="U14:U15" si="18">L14*T14</f>
        <v>88941000</v>
      </c>
      <c r="V14" s="8">
        <f t="shared" si="0"/>
        <v>30761.75</v>
      </c>
      <c r="W14" s="7">
        <f t="shared" si="1"/>
        <v>92285250</v>
      </c>
      <c r="X14" s="8">
        <f>STDEV(N14,P14,R14,T14)</f>
        <v>812.01452162712792</v>
      </c>
      <c r="Y14" s="12">
        <f t="shared" si="12"/>
        <v>29949.735478372873</v>
      </c>
      <c r="Z14" s="12">
        <f t="shared" si="13"/>
        <v>31573.764521627127</v>
      </c>
      <c r="AA14" s="19">
        <f t="shared" si="2"/>
        <v>30761.75</v>
      </c>
      <c r="AB14" s="17">
        <f t="shared" si="3"/>
        <v>92285250</v>
      </c>
      <c r="AC14" s="8">
        <f t="shared" si="4"/>
        <v>30753.62855075311</v>
      </c>
      <c r="AD14" s="7">
        <f t="shared" si="5"/>
        <v>92260885.652259335</v>
      </c>
      <c r="AE14" s="20">
        <f t="shared" si="6"/>
        <v>30958.5</v>
      </c>
      <c r="AF14" s="7">
        <f t="shared" si="7"/>
        <v>92875500</v>
      </c>
    </row>
    <row r="15" spans="2:32" s="2" customFormat="1" ht="53.1" customHeight="1" thickBot="1" x14ac:dyDescent="0.35">
      <c r="B15" s="5">
        <v>8</v>
      </c>
      <c r="C15" s="43" t="s">
        <v>35</v>
      </c>
      <c r="D15" s="44"/>
      <c r="E15" s="44"/>
      <c r="F15" s="44"/>
      <c r="G15" s="44"/>
      <c r="H15" s="44"/>
      <c r="I15" s="45"/>
      <c r="J15" s="22" t="s">
        <v>15</v>
      </c>
      <c r="K15" s="22"/>
      <c r="L15" s="23">
        <v>1</v>
      </c>
      <c r="M15" s="24"/>
      <c r="N15" s="14">
        <v>367929035</v>
      </c>
      <c r="O15" s="7">
        <f t="shared" si="15"/>
        <v>367929035</v>
      </c>
      <c r="P15" s="14">
        <v>348564349</v>
      </c>
      <c r="Q15" s="7">
        <f t="shared" si="16"/>
        <v>348564349</v>
      </c>
      <c r="R15" s="15">
        <v>338882006</v>
      </c>
      <c r="S15" s="7">
        <f t="shared" si="17"/>
        <v>338882006</v>
      </c>
      <c r="T15" s="14">
        <v>322744767</v>
      </c>
      <c r="U15" s="7">
        <f t="shared" si="18"/>
        <v>322744767</v>
      </c>
      <c r="V15" s="8">
        <f t="shared" si="0"/>
        <v>344530039.25</v>
      </c>
      <c r="W15" s="7">
        <f t="shared" si="1"/>
        <v>344530039.25</v>
      </c>
      <c r="X15" s="8">
        <f>STDEV(N15,P15,R15,T15)</f>
        <v>18888153.464250095</v>
      </c>
      <c r="Y15" s="12">
        <f t="shared" si="12"/>
        <v>325641885.78574991</v>
      </c>
      <c r="Z15" s="12">
        <f t="shared" si="13"/>
        <v>363418192.71425009</v>
      </c>
      <c r="AA15" s="19">
        <f t="shared" si="2"/>
        <v>344530039.25</v>
      </c>
      <c r="AB15" s="17">
        <f t="shared" si="3"/>
        <v>344530039.25</v>
      </c>
      <c r="AC15" s="8">
        <f t="shared" si="4"/>
        <v>344142798.82296783</v>
      </c>
      <c r="AD15" s="7">
        <f t="shared" si="5"/>
        <v>344142798.82296783</v>
      </c>
      <c r="AE15" s="20">
        <f t="shared" si="6"/>
        <v>343723177.5</v>
      </c>
      <c r="AF15" s="7">
        <f t="shared" si="7"/>
        <v>343723177.5</v>
      </c>
    </row>
    <row r="16" spans="2:32" ht="15.6" x14ac:dyDescent="0.3">
      <c r="B16" s="42" t="s">
        <v>7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7"/>
      <c r="O16" s="7">
        <f>SUM(O8:O15)</f>
        <v>1569161366</v>
      </c>
      <c r="P16" s="7"/>
      <c r="Q16" s="7">
        <f>SUM(Q8:Q15)</f>
        <v>1514735087</v>
      </c>
      <c r="R16" s="7" t="s">
        <v>11</v>
      </c>
      <c r="S16" s="7">
        <f>SUM(S8:S15)</f>
        <v>1498184595</v>
      </c>
      <c r="T16" s="7"/>
      <c r="U16" s="7">
        <f>SUM(U8:U15)</f>
        <v>1440106384</v>
      </c>
      <c r="V16" s="7"/>
      <c r="W16" s="7">
        <f>SUM(W8:W15)</f>
        <v>1505546858</v>
      </c>
      <c r="X16" s="7"/>
      <c r="Y16" s="7"/>
      <c r="Z16" s="7"/>
      <c r="AA16" s="7"/>
      <c r="AB16" s="18">
        <f>SUM(AB8:AB15)</f>
        <v>1505546858</v>
      </c>
      <c r="AC16" s="7"/>
      <c r="AD16" s="7">
        <f>SUM(AD8:AD15)</f>
        <v>1504763238.6767116</v>
      </c>
      <c r="AE16" s="7"/>
      <c r="AF16" s="7">
        <f>SUM(AF8:AF15)</f>
        <v>1506459841</v>
      </c>
    </row>
    <row r="17" spans="2:32" ht="15.6" x14ac:dyDescent="0.3">
      <c r="B17" s="42" t="s">
        <v>8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7"/>
      <c r="O17" s="7">
        <f>+O16*0.19</f>
        <v>298140659.54000002</v>
      </c>
      <c r="P17" s="7"/>
      <c r="Q17" s="7">
        <f>+Q16*0.19</f>
        <v>287799666.53000003</v>
      </c>
      <c r="R17" s="7"/>
      <c r="S17" s="7">
        <f>+S16*0.19</f>
        <v>284655073.05000001</v>
      </c>
      <c r="T17" s="7"/>
      <c r="U17" s="7">
        <f>+U16*0.19</f>
        <v>273620212.95999998</v>
      </c>
      <c r="V17" s="7"/>
      <c r="W17" s="7">
        <f t="shared" ref="W17" si="19">+W16*0.19</f>
        <v>286053903.01999998</v>
      </c>
      <c r="X17" s="7"/>
      <c r="Y17" s="7"/>
      <c r="Z17" s="7"/>
      <c r="AA17" s="7"/>
      <c r="AB17" s="18">
        <f>AB16*19%</f>
        <v>286053903.01999998</v>
      </c>
      <c r="AC17" s="7"/>
      <c r="AD17" s="7">
        <f t="shared" ref="AD17" si="20">+AD16*0.19</f>
        <v>285905015.34857517</v>
      </c>
      <c r="AE17" s="7"/>
      <c r="AF17" s="7">
        <f t="shared" ref="AF17" si="21">+AF16*0.19</f>
        <v>286227369.79000002</v>
      </c>
    </row>
    <row r="18" spans="2:32" ht="15.6" x14ac:dyDescent="0.3">
      <c r="B18" s="42" t="s">
        <v>9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7"/>
      <c r="O18" s="7">
        <f>SUM(O16:O17)</f>
        <v>1867302025.54</v>
      </c>
      <c r="P18" s="7"/>
      <c r="Q18" s="7">
        <f>SUM(Q16:Q17)</f>
        <v>1802534753.53</v>
      </c>
      <c r="R18" s="7"/>
      <c r="S18" s="7">
        <f>SUM(S16:S17)</f>
        <v>1782839668.05</v>
      </c>
      <c r="T18" s="7"/>
      <c r="U18" s="7">
        <f>SUM(U16:U17)</f>
        <v>1713726596.96</v>
      </c>
      <c r="V18" s="7"/>
      <c r="W18" s="7">
        <f>ROUND(SUM(W16:W17),0)</f>
        <v>1791600761</v>
      </c>
      <c r="X18" s="7"/>
      <c r="Y18" s="7"/>
      <c r="Z18" s="7"/>
      <c r="AA18" s="7"/>
      <c r="AB18" s="18">
        <f>AB16+AB17</f>
        <v>1791600761.02</v>
      </c>
      <c r="AC18" s="7"/>
      <c r="AD18" s="7">
        <f>ROUND(SUM(AD16:AD17),0)</f>
        <v>1790668254</v>
      </c>
      <c r="AE18" s="7"/>
      <c r="AF18" s="7">
        <f>ROUND(SUM(AF16:AF17),0)</f>
        <v>1792687211</v>
      </c>
    </row>
    <row r="19" spans="2:32" ht="25.5" customHeight="1" x14ac:dyDescent="0.3"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</row>
    <row r="20" spans="2:32" ht="42.75" customHeight="1" x14ac:dyDescent="0.3"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</row>
    <row r="21" spans="2:32" ht="25.5" customHeight="1" x14ac:dyDescent="0.3"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</row>
    <row r="22" spans="2:32" x14ac:dyDescent="0.3">
      <c r="AF22" s="4"/>
    </row>
  </sheetData>
  <mergeCells count="45">
    <mergeCell ref="B19:O21"/>
    <mergeCell ref="B16:M16"/>
    <mergeCell ref="B17:M17"/>
    <mergeCell ref="B18:M18"/>
    <mergeCell ref="C11:I11"/>
    <mergeCell ref="J11:K11"/>
    <mergeCell ref="L11:M11"/>
    <mergeCell ref="C13:I13"/>
    <mergeCell ref="J13:K13"/>
    <mergeCell ref="L13:M13"/>
    <mergeCell ref="C12:I12"/>
    <mergeCell ref="J12:K12"/>
    <mergeCell ref="L12:M12"/>
    <mergeCell ref="C14:I14"/>
    <mergeCell ref="C15:I15"/>
    <mergeCell ref="J14:K14"/>
    <mergeCell ref="B2:D3"/>
    <mergeCell ref="E2:O2"/>
    <mergeCell ref="E3:O4"/>
    <mergeCell ref="B4:D4"/>
    <mergeCell ref="B5:O5"/>
    <mergeCell ref="R6:S6"/>
    <mergeCell ref="AE6:AF6"/>
    <mergeCell ref="V6:W6"/>
    <mergeCell ref="AC6:AD6"/>
    <mergeCell ref="T6:U6"/>
    <mergeCell ref="AB6:AB7"/>
    <mergeCell ref="C10:I10"/>
    <mergeCell ref="P6:Q6"/>
    <mergeCell ref="C7:I7"/>
    <mergeCell ref="J7:K7"/>
    <mergeCell ref="L7:M7"/>
    <mergeCell ref="B6:M6"/>
    <mergeCell ref="N6:O6"/>
    <mergeCell ref="C8:I8"/>
    <mergeCell ref="J8:K8"/>
    <mergeCell ref="L8:M8"/>
    <mergeCell ref="C9:I9"/>
    <mergeCell ref="J9:K9"/>
    <mergeCell ref="L9:M9"/>
    <mergeCell ref="J15:K15"/>
    <mergeCell ref="L14:M14"/>
    <mergeCell ref="L15:M15"/>
    <mergeCell ref="J10:K10"/>
    <mergeCell ref="L10:M10"/>
  </mergeCells>
  <phoneticPr fontId="12" type="noConversion"/>
  <pageMargins left="0.7" right="0.7" top="0.75" bottom="0.75" header="0.3" footer="0.3"/>
  <pageSetup orientation="portrait" horizontalDpi="300" verticalDpi="300" r:id="rId1"/>
  <drawing r:id="rId2"/>
  <legacyDrawing r:id="rId3"/>
</worksheet>
</file>

<file path=docMetadata/LabelInfo.xml><?xml version="1.0" encoding="utf-8"?>
<clbl:labelList xmlns:clbl="http://schemas.microsoft.com/office/2020/mipLabelMetadata">
  <clbl:label id="{d72c7db8-fd2d-4ab4-928c-bd0c45a8099f}" enabled="1" method="Privileged" siteId="{292755c0-f07b-4b91-bb6e-87338209cc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Freddy Alejandro Reina Morales</dc:creator>
  <cp:lastModifiedBy>Alvaro Eduardo Varela Arenas</cp:lastModifiedBy>
  <dcterms:created xsi:type="dcterms:W3CDTF">2023-05-08T16:37:12Z</dcterms:created>
  <dcterms:modified xsi:type="dcterms:W3CDTF">2025-09-22T21:33:57Z</dcterms:modified>
</cp:coreProperties>
</file>